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1"/>
  </bookViews>
  <sheets>
    <sheet name="BEVgrowth" sheetId="1" r:id="rId1"/>
    <sheet name="BEVvalue" sheetId="3" r:id="rId2"/>
    <sheet name="Tesla sales" sheetId="2" r:id="rId3"/>
  </sheets>
  <calcPr calcId="125725"/>
</workbook>
</file>

<file path=xl/calcChain.xml><?xml version="1.0" encoding="utf-8"?>
<calcChain xmlns="http://schemas.openxmlformats.org/spreadsheetml/2006/main">
  <c r="Q16" i="3"/>
  <c r="Q17"/>
  <c r="Q18"/>
  <c r="Q19"/>
  <c r="Q20"/>
  <c r="Q21"/>
  <c r="B33" i="1"/>
  <c r="B33" i="3"/>
  <c r="I33" s="1"/>
  <c r="M33" s="1"/>
  <c r="G33"/>
  <c r="K33"/>
  <c r="P17"/>
  <c r="P18"/>
  <c r="P19"/>
  <c r="P20"/>
  <c r="P21"/>
  <c r="P16"/>
  <c r="L36"/>
  <c r="H38"/>
  <c r="H37"/>
  <c r="H36"/>
  <c r="E36"/>
  <c r="M17"/>
  <c r="M18"/>
  <c r="M19"/>
  <c r="M20"/>
  <c r="M21"/>
  <c r="M16"/>
  <c r="K24"/>
  <c r="K25" s="1"/>
  <c r="K26" s="1"/>
  <c r="K27" s="1"/>
  <c r="K28" s="1"/>
  <c r="K29" s="1"/>
  <c r="K30" s="1"/>
  <c r="K31" s="1"/>
  <c r="K32" s="1"/>
  <c r="L37" s="1"/>
  <c r="K23"/>
  <c r="L22"/>
  <c r="L20"/>
  <c r="L21"/>
  <c r="L19"/>
  <c r="L18"/>
  <c r="L17"/>
  <c r="C36"/>
  <c r="B24"/>
  <c r="F23"/>
  <c r="D23"/>
  <c r="D24" s="1"/>
  <c r="B23"/>
  <c r="G22"/>
  <c r="I22" s="1"/>
  <c r="M22" s="1"/>
  <c r="F22"/>
  <c r="E22"/>
  <c r="C22"/>
  <c r="J21"/>
  <c r="I21"/>
  <c r="H21"/>
  <c r="F21"/>
  <c r="E21"/>
  <c r="C21"/>
  <c r="J20"/>
  <c r="I20"/>
  <c r="H20"/>
  <c r="F20"/>
  <c r="E20"/>
  <c r="C20"/>
  <c r="J19"/>
  <c r="I19"/>
  <c r="H19"/>
  <c r="F19"/>
  <c r="E19"/>
  <c r="C19"/>
  <c r="J18"/>
  <c r="I18"/>
  <c r="H18"/>
  <c r="F18"/>
  <c r="E18"/>
  <c r="C18"/>
  <c r="J17"/>
  <c r="I17"/>
  <c r="H17"/>
  <c r="F17"/>
  <c r="E17"/>
  <c r="C17"/>
  <c r="J16"/>
  <c r="I16"/>
  <c r="F16"/>
  <c r="E36" i="1"/>
  <c r="C36"/>
  <c r="H17"/>
  <c r="H18"/>
  <c r="H19"/>
  <c r="H20"/>
  <c r="H21"/>
  <c r="H22"/>
  <c r="I36" s="1"/>
  <c r="H16"/>
  <c r="D23"/>
  <c r="F23" s="1"/>
  <c r="B23"/>
  <c r="B24" s="1"/>
  <c r="F17"/>
  <c r="F18"/>
  <c r="F19"/>
  <c r="F20"/>
  <c r="F21"/>
  <c r="F22"/>
  <c r="F16"/>
  <c r="C22"/>
  <c r="J21"/>
  <c r="J20"/>
  <c r="L20" s="1"/>
  <c r="J19"/>
  <c r="L19" s="1"/>
  <c r="J18"/>
  <c r="L18" s="1"/>
  <c r="J17"/>
  <c r="L17" s="1"/>
  <c r="J16"/>
  <c r="L16" s="1"/>
  <c r="I35" i="2"/>
  <c r="J22" i="1" s="1"/>
  <c r="L22" s="1"/>
  <c r="I31" i="2"/>
  <c r="I27"/>
  <c r="I23"/>
  <c r="I19"/>
  <c r="I15"/>
  <c r="I11"/>
  <c r="C21" i="1"/>
  <c r="C20"/>
  <c r="C19"/>
  <c r="C18"/>
  <c r="C17"/>
  <c r="H33" l="1"/>
  <c r="D33"/>
  <c r="D33" i="3"/>
  <c r="L38"/>
  <c r="J22"/>
  <c r="G23"/>
  <c r="D25"/>
  <c r="F24"/>
  <c r="B25"/>
  <c r="K36" i="1"/>
  <c r="H24"/>
  <c r="I24" s="1"/>
  <c r="B25"/>
  <c r="B26" s="1"/>
  <c r="B27" s="1"/>
  <c r="B28" s="1"/>
  <c r="B29" s="1"/>
  <c r="B30" s="1"/>
  <c r="B31" s="1"/>
  <c r="B32" s="1"/>
  <c r="I18"/>
  <c r="D24"/>
  <c r="I17"/>
  <c r="I19"/>
  <c r="I20"/>
  <c r="I21"/>
  <c r="G17"/>
  <c r="I22"/>
  <c r="G18"/>
  <c r="H23"/>
  <c r="I23" s="1"/>
  <c r="G23"/>
  <c r="G20"/>
  <c r="F24"/>
  <c r="G24" s="1"/>
  <c r="G19"/>
  <c r="G21"/>
  <c r="G22"/>
  <c r="K21"/>
  <c r="K18"/>
  <c r="D25"/>
  <c r="H25" s="1"/>
  <c r="I25" s="1"/>
  <c r="L21"/>
  <c r="K22"/>
  <c r="K17"/>
  <c r="J23"/>
  <c r="K20"/>
  <c r="K19"/>
  <c r="F33" l="1"/>
  <c r="G33" s="1"/>
  <c r="E33"/>
  <c r="J33" i="3"/>
  <c r="F33"/>
  <c r="E33"/>
  <c r="G24"/>
  <c r="I23"/>
  <c r="M23" s="1"/>
  <c r="J23"/>
  <c r="B26"/>
  <c r="D26"/>
  <c r="F25"/>
  <c r="C38" i="1"/>
  <c r="C37"/>
  <c r="D32"/>
  <c r="D26"/>
  <c r="H26" s="1"/>
  <c r="I26" s="1"/>
  <c r="F25"/>
  <c r="G25" s="1"/>
  <c r="J24"/>
  <c r="L23"/>
  <c r="E18"/>
  <c r="E19"/>
  <c r="E20"/>
  <c r="E21"/>
  <c r="E22"/>
  <c r="E17"/>
  <c r="G25" i="3" l="1"/>
  <c r="J24"/>
  <c r="I24"/>
  <c r="M24" s="1"/>
  <c r="B27"/>
  <c r="F26"/>
  <c r="D27"/>
  <c r="F32" i="1"/>
  <c r="E38"/>
  <c r="E37"/>
  <c r="H32"/>
  <c r="F26"/>
  <c r="G26" s="1"/>
  <c r="D27"/>
  <c r="H27" s="1"/>
  <c r="I27" s="1"/>
  <c r="L24"/>
  <c r="J25"/>
  <c r="G26" i="3" l="1"/>
  <c r="J25"/>
  <c r="I25"/>
  <c r="M25" s="1"/>
  <c r="B28"/>
  <c r="D28"/>
  <c r="F27"/>
  <c r="F27" i="1"/>
  <c r="G27" s="1"/>
  <c r="D28"/>
  <c r="H28" s="1"/>
  <c r="I28" s="1"/>
  <c r="J26"/>
  <c r="L25"/>
  <c r="G27" i="3" l="1"/>
  <c r="J26"/>
  <c r="I26"/>
  <c r="M26" s="1"/>
  <c r="B29"/>
  <c r="F28"/>
  <c r="D29"/>
  <c r="F28" i="1"/>
  <c r="G28" s="1"/>
  <c r="D29"/>
  <c r="H29" s="1"/>
  <c r="I29" s="1"/>
  <c r="J27"/>
  <c r="L26"/>
  <c r="G28" i="3" l="1"/>
  <c r="J27"/>
  <c r="I27"/>
  <c r="M27" s="1"/>
  <c r="B30"/>
  <c r="D30"/>
  <c r="F29"/>
  <c r="F29" i="1"/>
  <c r="G29" s="1"/>
  <c r="D30"/>
  <c r="H30" s="1"/>
  <c r="I30" s="1"/>
  <c r="J28"/>
  <c r="L27"/>
  <c r="G29" i="3" l="1"/>
  <c r="J28"/>
  <c r="I28"/>
  <c r="M28" s="1"/>
  <c r="B31"/>
  <c r="D31"/>
  <c r="F30"/>
  <c r="D31" i="1"/>
  <c r="H31" s="1"/>
  <c r="F30"/>
  <c r="G30" s="1"/>
  <c r="J29"/>
  <c r="L28"/>
  <c r="G30" i="3" l="1"/>
  <c r="J29"/>
  <c r="I29"/>
  <c r="M29" s="1"/>
  <c r="B32"/>
  <c r="F31"/>
  <c r="I31" i="1"/>
  <c r="I32"/>
  <c r="E32"/>
  <c r="F31"/>
  <c r="J30"/>
  <c r="L29"/>
  <c r="G31" i="3" l="1"/>
  <c r="J30"/>
  <c r="I30"/>
  <c r="M30" s="1"/>
  <c r="D32"/>
  <c r="C37"/>
  <c r="C38"/>
  <c r="G32" i="1"/>
  <c r="G31"/>
  <c r="J31"/>
  <c r="L30"/>
  <c r="G32" i="3" l="1"/>
  <c r="I32" s="1"/>
  <c r="M32" s="1"/>
  <c r="J31"/>
  <c r="I31"/>
  <c r="M31" s="1"/>
  <c r="E32"/>
  <c r="E37"/>
  <c r="F32"/>
  <c r="E38"/>
  <c r="J32" i="1"/>
  <c r="J33" s="1"/>
  <c r="L33" s="1"/>
  <c r="L31"/>
  <c r="J32" i="3" l="1"/>
  <c r="L32" i="1"/>
  <c r="K37"/>
  <c r="K38"/>
</calcChain>
</file>

<file path=xl/sharedStrings.xml><?xml version="1.0" encoding="utf-8"?>
<sst xmlns="http://schemas.openxmlformats.org/spreadsheetml/2006/main" count="144" uniqueCount="106">
  <si>
    <t>Global battery electric production/sales</t>
  </si>
  <si>
    <t>Year</t>
  </si>
  <si>
    <t xml:space="preserve">Annual </t>
  </si>
  <si>
    <t>growth</t>
  </si>
  <si>
    <t>globally</t>
  </si>
  <si>
    <t>Tesla sales</t>
  </si>
  <si>
    <t>Global vehicle sales</t>
  </si>
  <si>
    <t>Source for BEV sales 2016 to 2021: https://www.statista.com/outlook/mmo/electric-vehicles/worldwide#unit-sales</t>
  </si>
  <si>
    <t>Source for BEV sales 2022: https://www.ev-volumes.com/country/total-world-plug-in-vehicle-volumes/</t>
  </si>
  <si>
    <t>Source for global sales 2019 to 2021: https://www.oica.net/category/sales-statistics/</t>
  </si>
  <si>
    <t>Source for global sales 1997 to 2020: https://en.wikipedia.org/wiki/Automotive_industry#By_year</t>
  </si>
  <si>
    <t>Q1 2016</t>
  </si>
  <si>
    <t>Q2 2016</t>
  </si>
  <si>
    <t>Q3 2016</t>
  </si>
  <si>
    <t>Q1 2017</t>
  </si>
  <si>
    <t>~13,450</t>
  </si>
  <si>
    <t>~11,550</t>
  </si>
  <si>
    <t>Q2 2017</t>
  </si>
  <si>
    <t>~12,000</t>
  </si>
  <si>
    <t>~10,000</t>
  </si>
  <si>
    <t>Q3 2017</t>
  </si>
  <si>
    <t>Q4 2017</t>
  </si>
  <si>
    <t>~15,200</t>
  </si>
  <si>
    <t>~13,120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</si>
  <si>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</si>
  <si>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</si>
  <si>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</si>
  <si>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</si>
  <si>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</si>
  <si>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</si>
  <si>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</si>
  <si>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</si>
  <si>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</si>
  <si>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</si>
  <si>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</si>
  <si>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</si>
  <si>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</si>
  <si>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2,030[e]</t>
  </si>
  <si>
    <t>Q2 2021</t>
  </si>
  <si>
    <t>Q3 2021</t>
  </si>
  <si>
    <t>Q4 2021</t>
  </si>
  <si>
    <t>Q1 2022</t>
  </si>
  <si>
    <t>Q2 2022</t>
  </si>
  <si>
    <t>258,580[f]</t>
  </si>
  <si>
    <t>Q3 2022</t>
  </si>
  <si>
    <t>Quarter</t>
  </si>
  <si>
    <t>Cumulative</t>
  </si>
  <si>
    <t>production</t>
  </si>
  <si>
    <t>Total</t>
  </si>
  <si>
    <t>Model S</t>
  </si>
  <si>
    <t>sales</t>
  </si>
  <si>
    <t>Model X</t>
  </si>
  <si>
    <t>Model 3</t>
  </si>
  <si>
    <t>Model Y</t>
  </si>
  <si>
    <t>sales[a]</t>
  </si>
  <si>
    <t>sales[b]</t>
  </si>
  <si>
    <t xml:space="preserve">Tesla total sales </t>
  </si>
  <si>
    <t>Source: https://en.wikipedia.org/wiki/History_of_Tesla,_Inc.#Timeline_of_production_and_sales</t>
  </si>
  <si>
    <t>Annual sales</t>
  </si>
  <si>
    <t>Q4 2016</t>
  </si>
  <si>
    <t>Q4 est</t>
  </si>
  <si>
    <t>Source for global sales 2022: https://www.just-auto.com/analysis/global-vehicle-market-sales-rate-falls-back/#:~:text=A%20global%20market%20forecast%20at,in%20Europe%20and%20North%20America.</t>
  </si>
  <si>
    <t xml:space="preserve">BEV share of </t>
  </si>
  <si>
    <t>global market</t>
  </si>
  <si>
    <t xml:space="preserve">Tesla share of </t>
  </si>
  <si>
    <t>Change in BEV</t>
  </si>
  <si>
    <t>share of global</t>
  </si>
  <si>
    <t>market</t>
  </si>
  <si>
    <t>Annual growth</t>
  </si>
  <si>
    <t>2016 to 2022</t>
  </si>
  <si>
    <t>ICE vehicles</t>
  </si>
  <si>
    <t>sold globally</t>
  </si>
  <si>
    <t>2016 to 2032</t>
  </si>
  <si>
    <t>commercial</t>
  </si>
  <si>
    <t>Battery electric</t>
  </si>
  <si>
    <t>vehicles sold</t>
  </si>
  <si>
    <t>2022 to 2032</t>
  </si>
  <si>
    <t>of passenger and</t>
  </si>
  <si>
    <t>Global auto sales</t>
  </si>
  <si>
    <t xml:space="preserve">Average </t>
  </si>
  <si>
    <t>selling  price</t>
  </si>
  <si>
    <t>of BEV</t>
  </si>
  <si>
    <t xml:space="preserve">Value of </t>
  </si>
  <si>
    <t>global sales</t>
  </si>
  <si>
    <t>in billion $</t>
  </si>
  <si>
    <t>Value of global battery electric vehicle sales</t>
  </si>
  <si>
    <t>Global</t>
  </si>
  <si>
    <t>sales to</t>
  </si>
  <si>
    <t>GDP %</t>
  </si>
  <si>
    <t>sales $B</t>
  </si>
  <si>
    <t>BEV sales</t>
  </si>
  <si>
    <t>global GDP</t>
  </si>
  <si>
    <t>current $B</t>
  </si>
  <si>
    <t>Source for average new vehicle selling price in the US from 2016 to 2021: https://www.statista.com/statistics/274927/new-vehicle-average-selling-price-in-the-united-states/</t>
  </si>
  <si>
    <t>Source for global GDP in USD from 2016 to 2022: https://www.statista.com/statistics/268750/global-gross-domestic-product-gdp/</t>
  </si>
  <si>
    <t>Global oil</t>
  </si>
  <si>
    <t>Source for global oil production 2016 to 2022: https://www.statista.com/statistics/265203/global-oil-production-since-in-barrels-per-day/</t>
  </si>
  <si>
    <t>M barrels d.</t>
  </si>
  <si>
    <t xml:space="preserve">Price of </t>
  </si>
  <si>
    <t>oil USD</t>
  </si>
  <si>
    <t>barrel</t>
  </si>
  <si>
    <t>Source price of oil per barrel dec 2016 to 2021: https://www.macrotrends.net/1369/crude-oil-price-history-chart</t>
  </si>
  <si>
    <t>oil prod.</t>
  </si>
  <si>
    <t>Value ANN</t>
  </si>
  <si>
    <t>billion USD</t>
  </si>
  <si>
    <t>-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</si>
</sst>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0" fontId="2" fillId="2" borderId="0" xfId="0" applyFont="1" applyFill="1"/>
    <xf numFmtId="37" fontId="0" fillId="0" borderId="0" xfId="0" applyNumberFormat="1"/>
    <xf numFmtId="3" fontId="0" fillId="3" borderId="0" xfId="0" applyNumberFormat="1" applyFill="1"/>
    <xf numFmtId="10" fontId="0" fillId="3" borderId="0" xfId="0" applyNumberFormat="1" applyFill="1"/>
    <xf numFmtId="37" fontId="0" fillId="3" borderId="0" xfId="0" applyNumberFormat="1" applyFill="1"/>
    <xf numFmtId="0" fontId="2" fillId="3" borderId="0" xfId="0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0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selection activeCell="J22" sqref="J22"/>
    </sheetView>
  </sheetViews>
  <sheetFormatPr defaultRowHeight="14.5"/>
  <cols>
    <col min="1" max="1" width="13.36328125" customWidth="1"/>
    <col min="2" max="2" width="17.26953125" customWidth="1"/>
    <col min="3" max="3" width="8.08984375" customWidth="1"/>
    <col min="4" max="4" width="13.6328125" customWidth="1"/>
    <col min="5" max="5" width="8.26953125" customWidth="1"/>
    <col min="6" max="6" width="12.54296875" customWidth="1"/>
    <col min="7" max="7" width="13" customWidth="1"/>
    <col min="8" max="8" width="11.453125" customWidth="1"/>
    <col min="9" max="9" width="8.36328125" customWidth="1"/>
    <col min="10" max="10" width="11.1796875" customWidth="1"/>
    <col min="11" max="11" width="8.08984375" customWidth="1"/>
    <col min="12" max="12" width="12.90625" customWidth="1"/>
    <col min="14" max="14" width="3.90625" customWidth="1"/>
    <col min="15" max="15" width="28.90625" customWidth="1"/>
    <col min="16" max="16" width="16.36328125" customWidth="1"/>
    <col min="20" max="20" width="9.81640625" customWidth="1"/>
    <col min="21" max="21" width="12" customWidth="1"/>
    <col min="22" max="22" width="11.81640625" customWidth="1"/>
  </cols>
  <sheetData>
    <row r="1" spans="1:22" ht="21">
      <c r="A1" s="1" t="s">
        <v>0</v>
      </c>
    </row>
    <row r="3" spans="1:22">
      <c r="A3" t="s">
        <v>7</v>
      </c>
    </row>
    <row r="4" spans="1:22">
      <c r="A4" t="s">
        <v>8</v>
      </c>
    </row>
    <row r="5" spans="1:22">
      <c r="A5" t="s">
        <v>9</v>
      </c>
    </row>
    <row r="6" spans="1:22">
      <c r="A6" t="s">
        <v>10</v>
      </c>
    </row>
    <row r="7" spans="1:22">
      <c r="A7" t="s">
        <v>61</v>
      </c>
    </row>
    <row r="12" spans="1:22">
      <c r="P12" s="5"/>
      <c r="Q12" s="5"/>
      <c r="R12" s="5"/>
      <c r="S12" s="5"/>
      <c r="T12" s="14"/>
      <c r="U12" s="14"/>
      <c r="V12" s="5"/>
    </row>
    <row r="13" spans="1:22">
      <c r="A13" s="5" t="s">
        <v>1</v>
      </c>
      <c r="B13" s="8" t="s">
        <v>6</v>
      </c>
      <c r="C13" s="5" t="s">
        <v>2</v>
      </c>
      <c r="D13" s="8" t="s">
        <v>74</v>
      </c>
      <c r="E13" s="5" t="s">
        <v>2</v>
      </c>
      <c r="F13" s="5" t="s">
        <v>62</v>
      </c>
      <c r="G13" s="5" t="s">
        <v>65</v>
      </c>
      <c r="H13" s="8" t="s">
        <v>70</v>
      </c>
      <c r="I13" s="5" t="s">
        <v>2</v>
      </c>
      <c r="J13" s="8" t="s">
        <v>5</v>
      </c>
      <c r="K13" s="5" t="s">
        <v>2</v>
      </c>
      <c r="L13" s="5" t="s">
        <v>64</v>
      </c>
      <c r="P13" s="5"/>
      <c r="Q13" s="5"/>
      <c r="R13" s="5"/>
      <c r="S13" s="5"/>
      <c r="T13" s="14"/>
      <c r="U13" s="14"/>
      <c r="V13" s="5"/>
    </row>
    <row r="14" spans="1:22">
      <c r="A14" s="5"/>
      <c r="B14" s="8" t="s">
        <v>77</v>
      </c>
      <c r="C14" s="5" t="s">
        <v>3</v>
      </c>
      <c r="D14" s="8" t="s">
        <v>75</v>
      </c>
      <c r="E14" s="5" t="s">
        <v>3</v>
      </c>
      <c r="F14" s="5" t="s">
        <v>63</v>
      </c>
      <c r="G14" s="5" t="s">
        <v>66</v>
      </c>
      <c r="H14" s="8" t="s">
        <v>71</v>
      </c>
      <c r="I14" s="5" t="s">
        <v>3</v>
      </c>
      <c r="J14" s="8" t="s">
        <v>4</v>
      </c>
      <c r="K14" s="5" t="s">
        <v>3</v>
      </c>
      <c r="L14" s="5" t="s">
        <v>63</v>
      </c>
      <c r="O14" s="7"/>
      <c r="P14" s="3"/>
      <c r="T14" s="2"/>
      <c r="U14" s="2"/>
      <c r="V14" s="2"/>
    </row>
    <row r="15" spans="1:22">
      <c r="A15" s="5"/>
      <c r="B15" s="8" t="s">
        <v>73</v>
      </c>
      <c r="C15" s="5"/>
      <c r="D15" s="8" t="s">
        <v>4</v>
      </c>
      <c r="E15" s="5"/>
      <c r="F15" s="5"/>
      <c r="G15" s="5" t="s">
        <v>67</v>
      </c>
      <c r="H15" s="8"/>
      <c r="I15" s="5"/>
      <c r="J15" s="8"/>
      <c r="K15" s="5"/>
      <c r="L15" s="5"/>
      <c r="O15" s="7"/>
      <c r="P15" s="3"/>
      <c r="T15" s="2"/>
      <c r="U15" s="2"/>
      <c r="V15" s="2"/>
    </row>
    <row r="16" spans="1:22">
      <c r="A16" s="5">
        <v>2016</v>
      </c>
      <c r="B16" s="2">
        <v>94976569</v>
      </c>
      <c r="D16" s="2">
        <v>477700</v>
      </c>
      <c r="F16" s="3">
        <f t="shared" ref="F16:F32" si="0">D16/B16</f>
        <v>5.029661578952173E-3</v>
      </c>
      <c r="G16" s="3"/>
      <c r="H16" s="9">
        <f t="shared" ref="H16:H32" si="1">B16-D16</f>
        <v>94498869</v>
      </c>
      <c r="J16" s="2">
        <f>'Tesla sales'!$I$11</f>
        <v>76297</v>
      </c>
      <c r="K16" s="4"/>
      <c r="L16" s="3">
        <f t="shared" ref="L16:L32" si="2">J16/B16</f>
        <v>8.0332444942288867E-4</v>
      </c>
      <c r="O16" s="5"/>
      <c r="P16" s="3"/>
      <c r="T16" s="2"/>
      <c r="U16" s="2"/>
      <c r="V16" s="2"/>
    </row>
    <row r="17" spans="1:22">
      <c r="A17" s="5">
        <v>2017</v>
      </c>
      <c r="B17" s="2">
        <v>97302534</v>
      </c>
      <c r="C17" s="3">
        <f t="shared" ref="C17:C22" si="3">(B17-B16)/B16</f>
        <v>2.4489882341401488E-2</v>
      </c>
      <c r="D17" s="2">
        <v>801600</v>
      </c>
      <c r="E17" s="3">
        <f t="shared" ref="E17:E22" si="4">(D17-D16)/D16</f>
        <v>0.67804061126229853</v>
      </c>
      <c r="F17" s="3">
        <f t="shared" si="0"/>
        <v>8.2382232717598085E-3</v>
      </c>
      <c r="G17" s="3">
        <f t="shared" ref="G17:G32" si="5">F17-F16</f>
        <v>3.2085616928076354E-3</v>
      </c>
      <c r="H17" s="9">
        <f t="shared" si="1"/>
        <v>96500934</v>
      </c>
      <c r="I17" s="3">
        <f t="shared" ref="I17:I32" si="6">(H17-H16)/H16</f>
        <v>2.118612657681649E-2</v>
      </c>
      <c r="J17" s="2">
        <f>'Tesla sales'!$I$15</f>
        <v>103181</v>
      </c>
      <c r="K17" s="3">
        <f t="shared" ref="K17:K22" si="7">(J17-J16)/J16</f>
        <v>0.35235985687510651</v>
      </c>
      <c r="L17" s="3">
        <f t="shared" si="2"/>
        <v>1.0604143156230648E-3</v>
      </c>
      <c r="O17" s="5"/>
      <c r="P17" s="3"/>
      <c r="T17" s="2"/>
      <c r="U17" s="2"/>
      <c r="V17" s="2"/>
    </row>
    <row r="18" spans="1:22">
      <c r="A18" s="5">
        <v>2018</v>
      </c>
      <c r="B18" s="2">
        <v>95634593</v>
      </c>
      <c r="C18" s="3">
        <f t="shared" si="3"/>
        <v>-1.7141804343964978E-2</v>
      </c>
      <c r="D18" s="2">
        <v>1367800</v>
      </c>
      <c r="E18" s="3">
        <f t="shared" si="4"/>
        <v>0.70633732534930138</v>
      </c>
      <c r="F18" s="3">
        <f t="shared" si="0"/>
        <v>1.4302356052270751E-2</v>
      </c>
      <c r="G18" s="3">
        <f t="shared" si="5"/>
        <v>6.0641327805109422E-3</v>
      </c>
      <c r="H18" s="9">
        <f t="shared" si="1"/>
        <v>94266793</v>
      </c>
      <c r="I18" s="3">
        <f t="shared" si="6"/>
        <v>-2.3151496129560776E-2</v>
      </c>
      <c r="J18" s="2">
        <f>'Tesla sales'!$I$19</f>
        <v>245162</v>
      </c>
      <c r="K18" s="3">
        <f t="shared" si="7"/>
        <v>1.3760382240916449</v>
      </c>
      <c r="L18" s="3">
        <f t="shared" si="2"/>
        <v>2.5635284504217006E-3</v>
      </c>
      <c r="O18" s="7"/>
      <c r="P18" s="3"/>
      <c r="T18" s="2"/>
      <c r="U18" s="2"/>
      <c r="V18" s="2"/>
    </row>
    <row r="19" spans="1:22">
      <c r="A19" s="5">
        <v>2019</v>
      </c>
      <c r="B19" s="2">
        <v>91227182</v>
      </c>
      <c r="C19" s="3">
        <f t="shared" si="3"/>
        <v>-4.6085949254784826E-2</v>
      </c>
      <c r="D19" s="2">
        <v>1624600</v>
      </c>
      <c r="E19" s="3">
        <f t="shared" si="4"/>
        <v>0.18774674660038018</v>
      </c>
      <c r="F19" s="3">
        <f t="shared" si="0"/>
        <v>1.7808288762005166E-2</v>
      </c>
      <c r="G19" s="3">
        <f t="shared" si="5"/>
        <v>3.5059327097344151E-3</v>
      </c>
      <c r="H19" s="9">
        <f t="shared" si="1"/>
        <v>89602582</v>
      </c>
      <c r="I19" s="3">
        <f t="shared" si="6"/>
        <v>-4.9478833972849801E-2</v>
      </c>
      <c r="J19" s="2">
        <f>'Tesla sales'!$I$23</f>
        <v>367481</v>
      </c>
      <c r="K19" s="3">
        <f t="shared" si="7"/>
        <v>0.49893131888302428</v>
      </c>
      <c r="L19" s="3">
        <f t="shared" si="2"/>
        <v>4.0281963329745294E-3</v>
      </c>
    </row>
    <row r="20" spans="1:22">
      <c r="A20" s="5">
        <v>2020</v>
      </c>
      <c r="B20" s="2">
        <v>78774320</v>
      </c>
      <c r="C20" s="3">
        <f t="shared" si="3"/>
        <v>-0.13650385473925963</v>
      </c>
      <c r="D20" s="2">
        <v>2165400</v>
      </c>
      <c r="E20" s="3">
        <f t="shared" si="4"/>
        <v>0.33288194016988798</v>
      </c>
      <c r="F20" s="3">
        <f t="shared" si="0"/>
        <v>2.7488653662767256E-2</v>
      </c>
      <c r="G20" s="3">
        <f t="shared" si="5"/>
        <v>9.6803649007620902E-3</v>
      </c>
      <c r="H20" s="9">
        <f t="shared" si="1"/>
        <v>76608920</v>
      </c>
      <c r="I20" s="3">
        <f t="shared" si="6"/>
        <v>-0.14501437023321492</v>
      </c>
      <c r="J20" s="2">
        <f>'Tesla sales'!$I$27</f>
        <v>499647</v>
      </c>
      <c r="K20" s="3">
        <f t="shared" si="7"/>
        <v>0.3596539685044941</v>
      </c>
      <c r="L20" s="3">
        <f t="shared" si="2"/>
        <v>6.3427650026049096E-3</v>
      </c>
    </row>
    <row r="21" spans="1:22">
      <c r="A21" s="5">
        <v>2021</v>
      </c>
      <c r="B21" s="2">
        <v>82684788</v>
      </c>
      <c r="C21" s="3">
        <f t="shared" si="3"/>
        <v>4.9641405981035447E-2</v>
      </c>
      <c r="D21" s="2">
        <v>4599400</v>
      </c>
      <c r="E21" s="3">
        <f t="shared" si="4"/>
        <v>1.1240417474831439</v>
      </c>
      <c r="F21" s="3">
        <f t="shared" si="0"/>
        <v>5.5625709531963725E-2</v>
      </c>
      <c r="G21" s="3">
        <f t="shared" si="5"/>
        <v>2.8137055869196469E-2</v>
      </c>
      <c r="H21" s="9">
        <f t="shared" si="1"/>
        <v>78085388</v>
      </c>
      <c r="I21" s="3">
        <f t="shared" si="6"/>
        <v>1.9272794865141031E-2</v>
      </c>
      <c r="J21" s="2">
        <f>'Tesla sales'!$I$31</f>
        <v>936222</v>
      </c>
      <c r="K21" s="3">
        <f t="shared" si="7"/>
        <v>0.87376687941686826</v>
      </c>
      <c r="L21" s="3">
        <f t="shared" si="2"/>
        <v>1.1322784065189839E-2</v>
      </c>
    </row>
    <row r="22" spans="1:22">
      <c r="A22" s="5">
        <v>2022</v>
      </c>
      <c r="B22" s="2">
        <v>81700000</v>
      </c>
      <c r="C22" s="3">
        <f t="shared" si="3"/>
        <v>-1.191014724498054E-2</v>
      </c>
      <c r="D22" s="2">
        <v>8000000</v>
      </c>
      <c r="E22" s="3">
        <f t="shared" si="4"/>
        <v>0.73935730747488804</v>
      </c>
      <c r="F22" s="3">
        <f t="shared" si="0"/>
        <v>9.7919216646266835E-2</v>
      </c>
      <c r="G22" s="3">
        <f t="shared" si="5"/>
        <v>4.229350711430311E-2</v>
      </c>
      <c r="H22" s="9">
        <f t="shared" si="1"/>
        <v>73700000</v>
      </c>
      <c r="I22" s="3">
        <f t="shared" si="6"/>
        <v>-5.6161442138188515E-2</v>
      </c>
      <c r="J22" s="2">
        <f>'Tesla sales'!$I$35</f>
        <v>1313851</v>
      </c>
      <c r="K22" s="3">
        <f t="shared" si="7"/>
        <v>0.40335411900168977</v>
      </c>
      <c r="L22" s="3">
        <f t="shared" si="2"/>
        <v>1.6081407588739289E-2</v>
      </c>
    </row>
    <row r="23" spans="1:22">
      <c r="A23" s="13">
        <v>2023</v>
      </c>
      <c r="B23" s="10">
        <f t="shared" ref="B23:B32" si="8">B22*(1+C23)</f>
        <v>73530000</v>
      </c>
      <c r="C23" s="11">
        <v>-0.1</v>
      </c>
      <c r="D23" s="10">
        <f t="shared" ref="D23:D31" si="9">D22*(1+E23)</f>
        <v>12000000</v>
      </c>
      <c r="E23" s="11">
        <v>0.5</v>
      </c>
      <c r="F23" s="11">
        <f t="shared" si="0"/>
        <v>0.16319869441044471</v>
      </c>
      <c r="G23" s="11">
        <f t="shared" si="5"/>
        <v>6.5279477764177876E-2</v>
      </c>
      <c r="H23" s="12">
        <f t="shared" si="1"/>
        <v>61530000</v>
      </c>
      <c r="I23" s="11">
        <f t="shared" si="6"/>
        <v>-0.16512890094979646</v>
      </c>
      <c r="J23" s="10">
        <f t="shared" ref="J23:J32" si="10">J22*(1+K23)</f>
        <v>1970776.5</v>
      </c>
      <c r="K23" s="11">
        <v>0.5</v>
      </c>
      <c r="L23" s="11">
        <f t="shared" si="2"/>
        <v>2.6802345981232149E-2</v>
      </c>
    </row>
    <row r="24" spans="1:22">
      <c r="A24" s="13">
        <v>2024</v>
      </c>
      <c r="B24" s="10">
        <f t="shared" si="8"/>
        <v>82353600.000000015</v>
      </c>
      <c r="C24" s="11">
        <v>0.12</v>
      </c>
      <c r="D24" s="10">
        <f t="shared" si="9"/>
        <v>18000000</v>
      </c>
      <c r="E24" s="11">
        <v>0.5</v>
      </c>
      <c r="F24" s="11">
        <f t="shared" si="0"/>
        <v>0.21856968001398841</v>
      </c>
      <c r="G24" s="11">
        <f t="shared" si="5"/>
        <v>5.5370985603543699E-2</v>
      </c>
      <c r="H24" s="12">
        <f t="shared" si="1"/>
        <v>64353600.000000015</v>
      </c>
      <c r="I24" s="11">
        <f t="shared" si="6"/>
        <v>4.5889809848854463E-2</v>
      </c>
      <c r="J24" s="10">
        <f t="shared" si="10"/>
        <v>2956164.75</v>
      </c>
      <c r="K24" s="11">
        <v>0.5</v>
      </c>
      <c r="L24" s="11">
        <f t="shared" si="2"/>
        <v>3.5895999082007336E-2</v>
      </c>
    </row>
    <row r="25" spans="1:22">
      <c r="A25" s="13">
        <v>2025</v>
      </c>
      <c r="B25" s="10">
        <f t="shared" si="8"/>
        <v>84824208.000000015</v>
      </c>
      <c r="C25" s="11">
        <v>0.03</v>
      </c>
      <c r="D25" s="10">
        <f t="shared" si="9"/>
        <v>27000000</v>
      </c>
      <c r="E25" s="11">
        <v>0.5</v>
      </c>
      <c r="F25" s="11">
        <f t="shared" si="0"/>
        <v>0.31830535924367248</v>
      </c>
      <c r="G25" s="11">
        <f t="shared" si="5"/>
        <v>9.9735679229684071E-2</v>
      </c>
      <c r="H25" s="12">
        <f t="shared" si="1"/>
        <v>57824208.000000015</v>
      </c>
      <c r="I25" s="11">
        <f t="shared" si="6"/>
        <v>-0.10146117699709105</v>
      </c>
      <c r="J25" s="10">
        <f t="shared" si="10"/>
        <v>4434247.125</v>
      </c>
      <c r="K25" s="11">
        <v>0.5</v>
      </c>
      <c r="L25" s="11">
        <f t="shared" si="2"/>
        <v>5.227572681845729E-2</v>
      </c>
    </row>
    <row r="26" spans="1:22">
      <c r="A26" s="13">
        <v>2026</v>
      </c>
      <c r="B26" s="10">
        <f t="shared" si="8"/>
        <v>87368934.240000024</v>
      </c>
      <c r="C26" s="11">
        <v>0.03</v>
      </c>
      <c r="D26" s="10">
        <f t="shared" si="9"/>
        <v>36450000</v>
      </c>
      <c r="E26" s="11">
        <v>0.35</v>
      </c>
      <c r="F26" s="11">
        <f t="shared" si="0"/>
        <v>0.41719634463976485</v>
      </c>
      <c r="G26" s="11">
        <f t="shared" si="5"/>
        <v>9.8890985396092368E-2</v>
      </c>
      <c r="H26" s="12">
        <f t="shared" si="1"/>
        <v>50918934.240000024</v>
      </c>
      <c r="I26" s="11">
        <f t="shared" si="6"/>
        <v>-0.11941838892112433</v>
      </c>
      <c r="J26" s="10">
        <f t="shared" si="10"/>
        <v>6651370.6875</v>
      </c>
      <c r="K26" s="11">
        <v>0.5</v>
      </c>
      <c r="L26" s="11">
        <f t="shared" si="2"/>
        <v>7.612969925018051E-2</v>
      </c>
    </row>
    <row r="27" spans="1:22">
      <c r="A27" s="13">
        <v>2027</v>
      </c>
      <c r="B27" s="10">
        <f t="shared" si="8"/>
        <v>89990002.267200023</v>
      </c>
      <c r="C27" s="11">
        <v>0.03</v>
      </c>
      <c r="D27" s="10">
        <f t="shared" si="9"/>
        <v>46291500</v>
      </c>
      <c r="E27" s="11">
        <v>0.27</v>
      </c>
      <c r="F27" s="11">
        <f t="shared" si="0"/>
        <v>0.51440714339077798</v>
      </c>
      <c r="G27" s="11">
        <f t="shared" si="5"/>
        <v>9.7210798751013128E-2</v>
      </c>
      <c r="H27" s="12">
        <f t="shared" si="1"/>
        <v>43698502.267200023</v>
      </c>
      <c r="I27" s="11">
        <f t="shared" si="6"/>
        <v>-0.1418024960767521</v>
      </c>
      <c r="J27" s="10">
        <f t="shared" si="10"/>
        <v>9977056.03125</v>
      </c>
      <c r="K27" s="11">
        <v>0.5</v>
      </c>
      <c r="L27" s="11">
        <f t="shared" si="2"/>
        <v>0.11086849405366093</v>
      </c>
    </row>
    <row r="28" spans="1:22">
      <c r="A28" s="13">
        <v>2028</v>
      </c>
      <c r="B28" s="10">
        <f t="shared" si="8"/>
        <v>92689702.33521603</v>
      </c>
      <c r="C28" s="11">
        <v>0.03</v>
      </c>
      <c r="D28" s="10">
        <f t="shared" si="9"/>
        <v>56938545</v>
      </c>
      <c r="E28" s="11">
        <v>0.23</v>
      </c>
      <c r="F28" s="11">
        <f t="shared" si="0"/>
        <v>0.61429202560257956</v>
      </c>
      <c r="G28" s="11">
        <f t="shared" si="5"/>
        <v>9.9884882211801584E-2</v>
      </c>
      <c r="H28" s="12">
        <f t="shared" si="1"/>
        <v>35751157.33521603</v>
      </c>
      <c r="I28" s="11">
        <f t="shared" si="6"/>
        <v>-0.18186767325316885</v>
      </c>
      <c r="J28" s="10">
        <f t="shared" si="10"/>
        <v>13967878.44375</v>
      </c>
      <c r="K28" s="11">
        <v>0.4</v>
      </c>
      <c r="L28" s="11">
        <f t="shared" si="2"/>
        <v>0.15069504046128671</v>
      </c>
    </row>
    <row r="29" spans="1:22">
      <c r="A29" s="13">
        <v>2029</v>
      </c>
      <c r="B29" s="10">
        <f t="shared" si="8"/>
        <v>95470393.405272514</v>
      </c>
      <c r="C29" s="11">
        <v>0.03</v>
      </c>
      <c r="D29" s="10">
        <f t="shared" si="9"/>
        <v>68041561.275000006</v>
      </c>
      <c r="E29" s="11">
        <v>0.19500000000000001</v>
      </c>
      <c r="F29" s="11">
        <f t="shared" si="0"/>
        <v>0.71269802970396368</v>
      </c>
      <c r="G29" s="11">
        <f t="shared" si="5"/>
        <v>9.8406004101384115E-2</v>
      </c>
      <c r="H29" s="12">
        <f t="shared" si="1"/>
        <v>27428832.130272508</v>
      </c>
      <c r="I29" s="11">
        <f t="shared" si="6"/>
        <v>-0.23278477748035772</v>
      </c>
      <c r="J29" s="10">
        <f t="shared" si="10"/>
        <v>16761454.132499998</v>
      </c>
      <c r="K29" s="11">
        <v>0.2</v>
      </c>
      <c r="L29" s="11">
        <f t="shared" si="2"/>
        <v>0.17556703743062527</v>
      </c>
    </row>
    <row r="30" spans="1:22">
      <c r="A30" s="13">
        <v>2030</v>
      </c>
      <c r="B30" s="10">
        <f t="shared" si="8"/>
        <v>98334505.207430691</v>
      </c>
      <c r="C30" s="11">
        <v>0.03</v>
      </c>
      <c r="D30" s="10">
        <f t="shared" si="9"/>
        <v>79608626.691750005</v>
      </c>
      <c r="E30" s="11">
        <v>0.17</v>
      </c>
      <c r="F30" s="11">
        <f t="shared" si="0"/>
        <v>0.80956960655692956</v>
      </c>
      <c r="G30" s="11">
        <f t="shared" si="5"/>
        <v>9.6871576852965879E-2</v>
      </c>
      <c r="H30" s="12">
        <f t="shared" si="1"/>
        <v>18725878.515680686</v>
      </c>
      <c r="I30" s="11">
        <f t="shared" si="6"/>
        <v>-0.31729216808274502</v>
      </c>
      <c r="J30" s="10">
        <f t="shared" si="10"/>
        <v>19275672.252374995</v>
      </c>
      <c r="K30" s="11">
        <v>0.15</v>
      </c>
      <c r="L30" s="11">
        <f t="shared" si="2"/>
        <v>0.19602144955846507</v>
      </c>
    </row>
    <row r="31" spans="1:22">
      <c r="A31" s="13">
        <v>2031</v>
      </c>
      <c r="B31" s="10">
        <f t="shared" si="8"/>
        <v>101284540.36365362</v>
      </c>
      <c r="C31" s="11">
        <v>0.03</v>
      </c>
      <c r="D31" s="10">
        <f t="shared" si="9"/>
        <v>91549920.695512503</v>
      </c>
      <c r="E31" s="11">
        <v>0.15</v>
      </c>
      <c r="F31" s="11">
        <f t="shared" si="0"/>
        <v>0.90388839567035817</v>
      </c>
      <c r="G31" s="11">
        <f t="shared" si="5"/>
        <v>9.4318789113428614E-2</v>
      </c>
      <c r="H31" s="12">
        <f t="shared" si="1"/>
        <v>9734619.6681411117</v>
      </c>
      <c r="I31" s="11">
        <f t="shared" si="6"/>
        <v>-0.48015151011529145</v>
      </c>
      <c r="J31" s="10">
        <f t="shared" si="10"/>
        <v>19853942.419946246</v>
      </c>
      <c r="K31" s="11">
        <v>0.03</v>
      </c>
      <c r="L31" s="11">
        <f t="shared" si="2"/>
        <v>0.19602144955846507</v>
      </c>
    </row>
    <row r="32" spans="1:22">
      <c r="A32" s="13">
        <v>2032</v>
      </c>
      <c r="B32" s="10">
        <f t="shared" si="8"/>
        <v>104323076.57456322</v>
      </c>
      <c r="C32" s="11">
        <v>0.03</v>
      </c>
      <c r="D32" s="10">
        <f>B32</f>
        <v>104323076.57456322</v>
      </c>
      <c r="E32" s="11">
        <f>(D32-D31)/D31</f>
        <v>0.13952121183734481</v>
      </c>
      <c r="F32" s="11">
        <f t="shared" si="0"/>
        <v>1</v>
      </c>
      <c r="G32" s="11">
        <f t="shared" si="5"/>
        <v>9.6111604329641831E-2</v>
      </c>
      <c r="H32" s="12">
        <f t="shared" si="1"/>
        <v>0</v>
      </c>
      <c r="I32" s="11">
        <f t="shared" si="6"/>
        <v>-1</v>
      </c>
      <c r="J32" s="10">
        <f t="shared" si="10"/>
        <v>20449560.692544635</v>
      </c>
      <c r="K32" s="11">
        <v>0.03</v>
      </c>
      <c r="L32" s="11">
        <f t="shared" si="2"/>
        <v>0.19602144955846509</v>
      </c>
    </row>
    <row r="33" spans="1:12">
      <c r="A33" s="13">
        <v>2033</v>
      </c>
      <c r="B33" s="10">
        <f t="shared" ref="B33" si="11">B32*(1+C33)</f>
        <v>107452768.87180012</v>
      </c>
      <c r="C33" s="11">
        <v>0.03</v>
      </c>
      <c r="D33" s="10">
        <f>B33</f>
        <v>107452768.87180012</v>
      </c>
      <c r="E33" s="11">
        <f>(D33-D32)/D32</f>
        <v>3.0000000000000075E-2</v>
      </c>
      <c r="F33" s="11">
        <f t="shared" ref="F33" si="12">D33/B33</f>
        <v>1</v>
      </c>
      <c r="G33" s="11">
        <f t="shared" ref="G33" si="13">F33-F32</f>
        <v>0</v>
      </c>
      <c r="H33" s="12">
        <f t="shared" ref="H33" si="14">B33-D33</f>
        <v>0</v>
      </c>
      <c r="I33" s="21" t="s">
        <v>105</v>
      </c>
      <c r="J33" s="10">
        <f t="shared" ref="J33" si="15">J32*(1+K33)</f>
        <v>21063047.513320975</v>
      </c>
      <c r="K33" s="11">
        <v>0.03</v>
      </c>
      <c r="L33" s="11">
        <f t="shared" ref="L33" si="16">J33/B33</f>
        <v>0.19602144955846509</v>
      </c>
    </row>
    <row r="35" spans="1:12">
      <c r="A35" s="5" t="s">
        <v>68</v>
      </c>
    </row>
    <row r="36" spans="1:12">
      <c r="A36" s="15" t="s">
        <v>69</v>
      </c>
      <c r="C36" s="3">
        <f>((B22/B16)^(1/($A22-$A16)))-1</f>
        <v>-2.4783748533292127E-2</v>
      </c>
      <c r="E36" s="3">
        <f>((D22/D16)^(1/($A22-$A16)))-1</f>
        <v>0.59951797256853889</v>
      </c>
      <c r="F36" s="3"/>
      <c r="G36" s="3"/>
      <c r="I36" s="3">
        <f>((H22/H16)^(1/($A22-$A16)))-1</f>
        <v>-4.0584318078091486E-2</v>
      </c>
      <c r="K36" s="3">
        <f>((J22/J16)^(1/($A22-$A16)))-1</f>
        <v>0.60696509066883175</v>
      </c>
    </row>
    <row r="37" spans="1:12">
      <c r="A37" s="15" t="s">
        <v>76</v>
      </c>
      <c r="C37" s="3">
        <f>((B32/B22)^(1/($A32-$A22)))-1</f>
        <v>2.4745059032062366E-2</v>
      </c>
      <c r="E37" s="3">
        <f>((D32/D22)^(1/($A32-$A22)))-1</f>
        <v>0.29279314299673476</v>
      </c>
      <c r="F37" s="3"/>
      <c r="G37" s="3"/>
      <c r="H37" s="3"/>
      <c r="I37" s="3"/>
      <c r="J37" s="3"/>
      <c r="K37" s="3">
        <f>((J32/J22)^(1/($A32-$A22)))-1</f>
        <v>0.31587242679852112</v>
      </c>
    </row>
    <row r="38" spans="1:12">
      <c r="A38" s="15" t="s">
        <v>72</v>
      </c>
      <c r="C38" s="3">
        <f>((B32/B16)^(1/($A32-$A16)))-1</f>
        <v>5.8836391596777116E-3</v>
      </c>
      <c r="E38" s="3">
        <f>((D32/D16)^(1/($A32-$A16)))-1</f>
        <v>0.40023707175349177</v>
      </c>
      <c r="F38" s="3"/>
      <c r="G38" s="3"/>
      <c r="H38" s="3"/>
      <c r="I38" s="3"/>
      <c r="J38" s="3"/>
      <c r="K38" s="3">
        <f>((J32/J16)^(1/($A32-$A16)))-1</f>
        <v>0.41827691018244595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R16" sqref="R16"/>
    </sheetView>
  </sheetViews>
  <sheetFormatPr defaultRowHeight="14.5"/>
  <cols>
    <col min="1" max="1" width="13.08984375" customWidth="1"/>
    <col min="2" max="2" width="15.6328125" customWidth="1"/>
    <col min="3" max="3" width="8.1796875" customWidth="1"/>
    <col min="4" max="4" width="14.08984375" customWidth="1"/>
    <col min="6" max="6" width="12.90625" customWidth="1"/>
    <col min="7" max="7" width="11.08984375" customWidth="1"/>
    <col min="9" max="9" width="10.81640625" customWidth="1"/>
    <col min="11" max="11" width="9.453125" customWidth="1"/>
    <col min="12" max="12" width="6.81640625" customWidth="1"/>
    <col min="14" max="14" width="10.54296875" customWidth="1"/>
    <col min="16" max="16" width="9.6328125" customWidth="1"/>
  </cols>
  <sheetData>
    <row r="1" spans="1:17" ht="21">
      <c r="A1" s="1" t="s">
        <v>85</v>
      </c>
    </row>
    <row r="3" spans="1:17">
      <c r="A3" s="19" t="s">
        <v>93</v>
      </c>
    </row>
    <row r="4" spans="1:17">
      <c r="A4" s="19" t="s">
        <v>94</v>
      </c>
    </row>
    <row r="5" spans="1:17">
      <c r="A5" s="19" t="s">
        <v>96</v>
      </c>
    </row>
    <row r="6" spans="1:17">
      <c r="A6" s="19" t="s">
        <v>101</v>
      </c>
    </row>
    <row r="7" spans="1:17">
      <c r="A7" s="19"/>
    </row>
    <row r="11" spans="1:17">
      <c r="A11" s="18"/>
    </row>
    <row r="13" spans="1:17">
      <c r="A13" s="5" t="s">
        <v>1</v>
      </c>
      <c r="B13" s="8" t="s">
        <v>78</v>
      </c>
      <c r="C13" s="5" t="s">
        <v>2</v>
      </c>
      <c r="D13" s="8" t="s">
        <v>74</v>
      </c>
      <c r="E13" s="5" t="s">
        <v>2</v>
      </c>
      <c r="F13" s="5" t="s">
        <v>62</v>
      </c>
      <c r="G13" s="8" t="s">
        <v>79</v>
      </c>
      <c r="H13" s="5" t="s">
        <v>2</v>
      </c>
      <c r="I13" s="8" t="s">
        <v>82</v>
      </c>
      <c r="J13" s="8" t="s">
        <v>82</v>
      </c>
      <c r="K13" s="8" t="s">
        <v>82</v>
      </c>
      <c r="L13" s="5" t="s">
        <v>2</v>
      </c>
      <c r="M13" s="5" t="s">
        <v>86</v>
      </c>
      <c r="N13" s="8" t="s">
        <v>95</v>
      </c>
      <c r="O13" s="8" t="s">
        <v>98</v>
      </c>
      <c r="P13" s="8" t="s">
        <v>103</v>
      </c>
      <c r="Q13" s="5" t="s">
        <v>86</v>
      </c>
    </row>
    <row r="14" spans="1:17">
      <c r="A14" s="5"/>
      <c r="B14" s="8" t="s">
        <v>77</v>
      </c>
      <c r="C14" s="5" t="s">
        <v>3</v>
      </c>
      <c r="D14" s="8" t="s">
        <v>75</v>
      </c>
      <c r="E14" s="5" t="s">
        <v>3</v>
      </c>
      <c r="F14" s="5" t="s">
        <v>63</v>
      </c>
      <c r="G14" s="8" t="s">
        <v>80</v>
      </c>
      <c r="H14" s="5" t="s">
        <v>3</v>
      </c>
      <c r="I14" s="8" t="s">
        <v>83</v>
      </c>
      <c r="J14" s="8" t="s">
        <v>90</v>
      </c>
      <c r="K14" s="8" t="s">
        <v>91</v>
      </c>
      <c r="L14" s="5" t="s">
        <v>3</v>
      </c>
      <c r="M14" s="5" t="s">
        <v>87</v>
      </c>
      <c r="N14" s="8" t="s">
        <v>47</v>
      </c>
      <c r="O14" s="8" t="s">
        <v>99</v>
      </c>
      <c r="P14" s="8" t="s">
        <v>102</v>
      </c>
      <c r="Q14" s="5" t="s">
        <v>87</v>
      </c>
    </row>
    <row r="15" spans="1:17">
      <c r="A15" s="5"/>
      <c r="B15" s="8" t="s">
        <v>73</v>
      </c>
      <c r="C15" s="5"/>
      <c r="D15" s="8" t="s">
        <v>4</v>
      </c>
      <c r="E15" s="5"/>
      <c r="F15" s="5"/>
      <c r="G15" s="8" t="s">
        <v>81</v>
      </c>
      <c r="H15" s="5"/>
      <c r="I15" s="8" t="s">
        <v>84</v>
      </c>
      <c r="J15" s="8" t="s">
        <v>89</v>
      </c>
      <c r="K15" s="8" t="s">
        <v>92</v>
      </c>
      <c r="L15" s="5"/>
      <c r="M15" s="5" t="s">
        <v>88</v>
      </c>
      <c r="N15" s="8" t="s">
        <v>97</v>
      </c>
      <c r="O15" s="8" t="s">
        <v>100</v>
      </c>
      <c r="P15" s="8" t="s">
        <v>104</v>
      </c>
      <c r="Q15" s="5" t="s">
        <v>88</v>
      </c>
    </row>
    <row r="16" spans="1:17">
      <c r="A16" s="5">
        <v>2016</v>
      </c>
      <c r="B16" s="2">
        <v>94976569</v>
      </c>
      <c r="D16" s="2">
        <v>477700</v>
      </c>
      <c r="F16" s="3">
        <f t="shared" ref="F16:F32" si="0">D16/B16</f>
        <v>5.029661578952173E-3</v>
      </c>
      <c r="G16" s="16">
        <v>34450</v>
      </c>
      <c r="I16" s="16">
        <f t="shared" ref="I16:I32" si="1">B16*G16/1000000000</f>
        <v>3271.94280205</v>
      </c>
      <c r="J16" s="16">
        <f t="shared" ref="J16:J32" si="2">D16*G16/1000000000</f>
        <v>16.456765000000001</v>
      </c>
      <c r="K16" s="16">
        <v>76153</v>
      </c>
      <c r="M16" s="3">
        <f>I16/K16</f>
        <v>4.2965382874607695E-2</v>
      </c>
      <c r="N16">
        <v>92.05</v>
      </c>
      <c r="O16" s="20">
        <v>66.239999999999995</v>
      </c>
      <c r="P16" s="16">
        <f>N16*365*O16/1000</f>
        <v>2225.5480799999996</v>
      </c>
      <c r="Q16" s="3">
        <f>P16/K16</f>
        <v>2.922469344608879E-2</v>
      </c>
    </row>
    <row r="17" spans="1:17">
      <c r="A17" s="5">
        <v>2017</v>
      </c>
      <c r="B17" s="2">
        <v>97302534</v>
      </c>
      <c r="C17" s="3">
        <f t="shared" ref="C17:C22" si="3">(B17-B16)/B16</f>
        <v>2.4489882341401488E-2</v>
      </c>
      <c r="D17" s="2">
        <v>801600</v>
      </c>
      <c r="E17" s="3">
        <f t="shared" ref="E17:E22" si="4">(D17-D16)/D16</f>
        <v>0.67804061126229853</v>
      </c>
      <c r="F17" s="3">
        <f t="shared" si="0"/>
        <v>8.2382232717598085E-3</v>
      </c>
      <c r="G17" s="16">
        <v>34670</v>
      </c>
      <c r="H17" s="3">
        <f>(G17-G16)/G16</f>
        <v>6.3860667634252537E-3</v>
      </c>
      <c r="I17" s="16">
        <f t="shared" si="1"/>
        <v>3373.47885378</v>
      </c>
      <c r="J17" s="16">
        <f t="shared" si="2"/>
        <v>27.791471999999999</v>
      </c>
      <c r="K17" s="16">
        <v>80823</v>
      </c>
      <c r="L17" s="3">
        <f t="shared" ref="L17:L22" si="5">(K17-K16)/K16</f>
        <v>6.1323913700051212E-2</v>
      </c>
      <c r="M17" s="3">
        <f t="shared" ref="M17:M32" si="6">I17/K17</f>
        <v>4.1739094735162019E-2</v>
      </c>
      <c r="N17">
        <v>92.55</v>
      </c>
      <c r="O17" s="20">
        <v>72.989999999999995</v>
      </c>
      <c r="P17" s="16">
        <f t="shared" ref="P17:P21" si="7">N17*365*O17/1000</f>
        <v>2465.6569424999998</v>
      </c>
      <c r="Q17" s="3">
        <f t="shared" ref="Q17:Q21" si="8">P17/K17</f>
        <v>3.0506872332133176E-2</v>
      </c>
    </row>
    <row r="18" spans="1:17">
      <c r="A18" s="5">
        <v>2018</v>
      </c>
      <c r="B18" s="2">
        <v>95634593</v>
      </c>
      <c r="C18" s="3">
        <f t="shared" si="3"/>
        <v>-1.7141804343964978E-2</v>
      </c>
      <c r="D18" s="2">
        <v>1367800</v>
      </c>
      <c r="E18" s="3">
        <f t="shared" si="4"/>
        <v>0.70633732534930138</v>
      </c>
      <c r="F18" s="3">
        <f t="shared" si="0"/>
        <v>1.4302356052270751E-2</v>
      </c>
      <c r="G18" s="16">
        <v>35610</v>
      </c>
      <c r="H18" s="3">
        <f>(G18-G17)/G17</f>
        <v>2.7112777617536776E-2</v>
      </c>
      <c r="I18" s="16">
        <f t="shared" si="1"/>
        <v>3405.5478567300001</v>
      </c>
      <c r="J18" s="16">
        <f t="shared" si="2"/>
        <v>48.707357999999999</v>
      </c>
      <c r="K18" s="16">
        <v>86085</v>
      </c>
      <c r="L18" s="3">
        <f t="shared" si="5"/>
        <v>6.5105229946921056E-2</v>
      </c>
      <c r="M18" s="3">
        <f t="shared" si="6"/>
        <v>3.9560293392925598E-2</v>
      </c>
      <c r="N18">
        <v>94.87</v>
      </c>
      <c r="O18" s="20">
        <v>53.81</v>
      </c>
      <c r="P18" s="16">
        <f t="shared" si="7"/>
        <v>1863.3084655000002</v>
      </c>
      <c r="Q18" s="3">
        <f t="shared" si="8"/>
        <v>2.1644984207469364E-2</v>
      </c>
    </row>
    <row r="19" spans="1:17">
      <c r="A19" s="5">
        <v>2019</v>
      </c>
      <c r="B19" s="2">
        <v>91227182</v>
      </c>
      <c r="C19" s="3">
        <f t="shared" si="3"/>
        <v>-4.6085949254784826E-2</v>
      </c>
      <c r="D19" s="2">
        <v>1624600</v>
      </c>
      <c r="E19" s="3">
        <f t="shared" si="4"/>
        <v>0.18774674660038018</v>
      </c>
      <c r="F19" s="3">
        <f t="shared" si="0"/>
        <v>1.7808288762005166E-2</v>
      </c>
      <c r="G19" s="16">
        <v>36820</v>
      </c>
      <c r="H19" s="3">
        <f>(G19-G18)/G18</f>
        <v>3.3979219320415616E-2</v>
      </c>
      <c r="I19" s="16">
        <f t="shared" si="1"/>
        <v>3358.9848412400002</v>
      </c>
      <c r="J19" s="16">
        <f t="shared" si="2"/>
        <v>59.817771999999998</v>
      </c>
      <c r="K19" s="16">
        <v>87536</v>
      </c>
      <c r="L19" s="3">
        <f t="shared" si="5"/>
        <v>1.6855433583086485E-2</v>
      </c>
      <c r="M19" s="3">
        <f t="shared" si="6"/>
        <v>3.8372610597239995E-2</v>
      </c>
      <c r="N19">
        <v>94.92</v>
      </c>
      <c r="O19" s="20">
        <v>70.989999999999995</v>
      </c>
      <c r="P19" s="16">
        <f t="shared" si="7"/>
        <v>2459.5053420000004</v>
      </c>
      <c r="Q19" s="3">
        <f t="shared" si="8"/>
        <v>2.8097072541582897E-2</v>
      </c>
    </row>
    <row r="20" spans="1:17">
      <c r="A20" s="5">
        <v>2020</v>
      </c>
      <c r="B20" s="2">
        <v>78774320</v>
      </c>
      <c r="C20" s="3">
        <f t="shared" si="3"/>
        <v>-0.13650385473925963</v>
      </c>
      <c r="D20" s="2">
        <v>2165400</v>
      </c>
      <c r="E20" s="3">
        <f t="shared" si="4"/>
        <v>0.33288194016988798</v>
      </c>
      <c r="F20" s="3">
        <f t="shared" si="0"/>
        <v>2.7488653662767256E-2</v>
      </c>
      <c r="G20" s="16">
        <v>38960</v>
      </c>
      <c r="H20" s="3">
        <f>(G20-G19)/G19</f>
        <v>5.8120586637696904E-2</v>
      </c>
      <c r="I20" s="16">
        <f t="shared" si="1"/>
        <v>3069.0475071999999</v>
      </c>
      <c r="J20" s="16">
        <f t="shared" si="2"/>
        <v>84.363984000000002</v>
      </c>
      <c r="K20" s="16">
        <v>85239</v>
      </c>
      <c r="L20" s="3">
        <f t="shared" si="5"/>
        <v>-2.6240632425516358E-2</v>
      </c>
      <c r="M20" s="3">
        <f t="shared" si="6"/>
        <v>3.6005203101866515E-2</v>
      </c>
      <c r="N20">
        <v>88.49</v>
      </c>
      <c r="O20" s="20">
        <v>55.46</v>
      </c>
      <c r="P20" s="16">
        <f t="shared" si="7"/>
        <v>1791.2942209999999</v>
      </c>
      <c r="Q20" s="3">
        <f t="shared" si="8"/>
        <v>2.1014960534497119E-2</v>
      </c>
    </row>
    <row r="21" spans="1:17">
      <c r="A21" s="5">
        <v>2021</v>
      </c>
      <c r="B21" s="2">
        <v>82684788</v>
      </c>
      <c r="C21" s="3">
        <f t="shared" si="3"/>
        <v>4.9641405981035447E-2</v>
      </c>
      <c r="D21" s="2">
        <v>4599400</v>
      </c>
      <c r="E21" s="3">
        <f t="shared" si="4"/>
        <v>1.1240417474831439</v>
      </c>
      <c r="F21" s="3">
        <f t="shared" si="0"/>
        <v>5.5625709531963725E-2</v>
      </c>
      <c r="G21" s="16">
        <v>42380</v>
      </c>
      <c r="H21" s="3">
        <f>(G21-G20)/G20</f>
        <v>8.7782340862422994E-2</v>
      </c>
      <c r="I21" s="16">
        <f t="shared" si="1"/>
        <v>3504.1813154400002</v>
      </c>
      <c r="J21" s="16">
        <f t="shared" si="2"/>
        <v>194.922572</v>
      </c>
      <c r="K21" s="16">
        <v>96293</v>
      </c>
      <c r="L21" s="3">
        <f t="shared" si="5"/>
        <v>0.12968242236534919</v>
      </c>
      <c r="M21" s="3">
        <f t="shared" si="6"/>
        <v>3.6390820884591821E-2</v>
      </c>
      <c r="N21">
        <v>89.88</v>
      </c>
      <c r="O21" s="20">
        <v>80.319999999999993</v>
      </c>
      <c r="P21" s="16">
        <f t="shared" si="7"/>
        <v>2634.9939839999997</v>
      </c>
      <c r="Q21" s="3">
        <f t="shared" si="8"/>
        <v>2.7364335766878172E-2</v>
      </c>
    </row>
    <row r="22" spans="1:17">
      <c r="A22" s="5">
        <v>2022</v>
      </c>
      <c r="B22" s="2">
        <v>81700000</v>
      </c>
      <c r="C22" s="3">
        <f t="shared" si="3"/>
        <v>-1.191014724498054E-2</v>
      </c>
      <c r="D22" s="2">
        <v>8000000</v>
      </c>
      <c r="E22" s="3">
        <f t="shared" si="4"/>
        <v>0.73935730747488804</v>
      </c>
      <c r="F22" s="3">
        <f t="shared" si="0"/>
        <v>9.7919216646266835E-2</v>
      </c>
      <c r="G22" s="17">
        <f t="shared" ref="G22:G32" si="9">G21*(1+H22)</f>
        <v>44922.8</v>
      </c>
      <c r="H22" s="11">
        <v>0.06</v>
      </c>
      <c r="I22" s="16">
        <f t="shared" si="1"/>
        <v>3670.1927599999999</v>
      </c>
      <c r="J22" s="16">
        <f t="shared" si="2"/>
        <v>359.38240000000002</v>
      </c>
      <c r="K22" s="16">
        <v>103867</v>
      </c>
      <c r="L22" s="3">
        <f t="shared" si="5"/>
        <v>7.8655769370566911E-2</v>
      </c>
      <c r="M22" s="3">
        <f t="shared" si="6"/>
        <v>3.5335503672966388E-2</v>
      </c>
    </row>
    <row r="23" spans="1:17">
      <c r="A23" s="13">
        <v>2023</v>
      </c>
      <c r="B23" s="10">
        <f t="shared" ref="B23:B32" si="10">B22*(1+C23)</f>
        <v>73530000</v>
      </c>
      <c r="C23" s="11">
        <v>-0.1</v>
      </c>
      <c r="D23" s="10">
        <f t="shared" ref="D23:D31" si="11">D22*(1+E23)</f>
        <v>12000000</v>
      </c>
      <c r="E23" s="11">
        <v>0.5</v>
      </c>
      <c r="F23" s="11">
        <f t="shared" si="0"/>
        <v>0.16319869441044471</v>
      </c>
      <c r="G23" s="17">
        <f t="shared" si="9"/>
        <v>45911.101600000002</v>
      </c>
      <c r="H23" s="11">
        <v>2.1999999999999999E-2</v>
      </c>
      <c r="I23" s="17">
        <f t="shared" si="1"/>
        <v>3375.843300648</v>
      </c>
      <c r="J23" s="17">
        <f t="shared" si="2"/>
        <v>550.93321920000005</v>
      </c>
      <c r="K23" s="17">
        <f>K22*(1+L23)</f>
        <v>105944.34</v>
      </c>
      <c r="L23" s="11">
        <v>0.02</v>
      </c>
      <c r="M23" s="11">
        <f t="shared" si="6"/>
        <v>3.186431007685734E-2</v>
      </c>
    </row>
    <row r="24" spans="1:17">
      <c r="A24" s="13">
        <v>2024</v>
      </c>
      <c r="B24" s="10">
        <f t="shared" si="10"/>
        <v>82353600.000000015</v>
      </c>
      <c r="C24" s="11">
        <v>0.12</v>
      </c>
      <c r="D24" s="10">
        <f t="shared" si="11"/>
        <v>18000000</v>
      </c>
      <c r="E24" s="11">
        <v>0.5</v>
      </c>
      <c r="F24" s="11">
        <f t="shared" si="0"/>
        <v>0.21856968001398841</v>
      </c>
      <c r="G24" s="17">
        <f t="shared" si="9"/>
        <v>46921.145835200005</v>
      </c>
      <c r="H24" s="11">
        <v>2.1999999999999999E-2</v>
      </c>
      <c r="I24" s="17">
        <f t="shared" si="1"/>
        <v>3864.1252756537278</v>
      </c>
      <c r="J24" s="17">
        <f t="shared" si="2"/>
        <v>844.58062503360009</v>
      </c>
      <c r="K24" s="17">
        <f t="shared" ref="K24:K32" si="12">K23*(1+L24)</f>
        <v>113360.44380000001</v>
      </c>
      <c r="L24" s="11">
        <v>7.0000000000000007E-2</v>
      </c>
      <c r="M24" s="11">
        <f t="shared" si="6"/>
        <v>3.4087069052685971E-2</v>
      </c>
    </row>
    <row r="25" spans="1:17">
      <c r="A25" s="13">
        <v>2025</v>
      </c>
      <c r="B25" s="10">
        <f t="shared" si="10"/>
        <v>84824208.000000015</v>
      </c>
      <c r="C25" s="11">
        <v>0.03</v>
      </c>
      <c r="D25" s="10">
        <f t="shared" si="11"/>
        <v>27000000</v>
      </c>
      <c r="E25" s="11">
        <v>0.5</v>
      </c>
      <c r="F25" s="11">
        <f t="shared" si="0"/>
        <v>0.31830535924367248</v>
      </c>
      <c r="G25" s="17">
        <f t="shared" si="9"/>
        <v>47953.411043574408</v>
      </c>
      <c r="H25" s="11">
        <v>2.1999999999999999E-2</v>
      </c>
      <c r="I25" s="17">
        <f t="shared" si="1"/>
        <v>4067.6101126696535</v>
      </c>
      <c r="J25" s="17">
        <f t="shared" si="2"/>
        <v>1294.742098176509</v>
      </c>
      <c r="K25" s="17">
        <f t="shared" si="12"/>
        <v>119028.46599000001</v>
      </c>
      <c r="L25" s="11">
        <v>0.05</v>
      </c>
      <c r="M25" s="11">
        <f t="shared" si="6"/>
        <v>3.4173422960952778E-2</v>
      </c>
    </row>
    <row r="26" spans="1:17">
      <c r="A26" s="13">
        <v>2026</v>
      </c>
      <c r="B26" s="10">
        <f t="shared" si="10"/>
        <v>87368934.240000024</v>
      </c>
      <c r="C26" s="11">
        <v>0.03</v>
      </c>
      <c r="D26" s="10">
        <f t="shared" si="11"/>
        <v>36450000</v>
      </c>
      <c r="E26" s="11">
        <v>0.35</v>
      </c>
      <c r="F26" s="11">
        <f t="shared" si="0"/>
        <v>0.41719634463976485</v>
      </c>
      <c r="G26" s="17">
        <f t="shared" si="9"/>
        <v>49008.386086533043</v>
      </c>
      <c r="H26" s="11">
        <v>2.1999999999999999E-2</v>
      </c>
      <c r="I26" s="17">
        <f t="shared" si="1"/>
        <v>4281.8104612028374</v>
      </c>
      <c r="J26" s="17">
        <f t="shared" si="2"/>
        <v>1786.3556728541294</v>
      </c>
      <c r="K26" s="17">
        <f t="shared" si="12"/>
        <v>124979.88928950002</v>
      </c>
      <c r="L26" s="11">
        <v>0.05</v>
      </c>
      <c r="M26" s="11">
        <f t="shared" si="6"/>
        <v>3.4259995632453862E-2</v>
      </c>
    </row>
    <row r="27" spans="1:17">
      <c r="A27" s="13">
        <v>2027</v>
      </c>
      <c r="B27" s="10">
        <f t="shared" si="10"/>
        <v>89990002.267200023</v>
      </c>
      <c r="C27" s="11">
        <v>0.03</v>
      </c>
      <c r="D27" s="10">
        <f t="shared" si="11"/>
        <v>46291500</v>
      </c>
      <c r="E27" s="11">
        <v>0.27</v>
      </c>
      <c r="F27" s="11">
        <f t="shared" si="0"/>
        <v>0.51440714339077798</v>
      </c>
      <c r="G27" s="17">
        <f t="shared" si="9"/>
        <v>50086.570580436768</v>
      </c>
      <c r="H27" s="11">
        <v>2.1999999999999999E-2</v>
      </c>
      <c r="I27" s="17">
        <f t="shared" si="1"/>
        <v>4507.2906000897783</v>
      </c>
      <c r="J27" s="17">
        <f t="shared" si="2"/>
        <v>2318.5824820242888</v>
      </c>
      <c r="K27" s="17">
        <f t="shared" si="12"/>
        <v>131228.88375397501</v>
      </c>
      <c r="L27" s="11">
        <v>0.05</v>
      </c>
      <c r="M27" s="11">
        <f t="shared" si="6"/>
        <v>3.4346787621389409E-2</v>
      </c>
    </row>
    <row r="28" spans="1:17">
      <c r="A28" s="13">
        <v>2028</v>
      </c>
      <c r="B28" s="10">
        <f t="shared" si="10"/>
        <v>92689702.33521603</v>
      </c>
      <c r="C28" s="11">
        <v>0.03</v>
      </c>
      <c r="D28" s="10">
        <f t="shared" si="11"/>
        <v>56938545</v>
      </c>
      <c r="E28" s="11">
        <v>0.23</v>
      </c>
      <c r="F28" s="11">
        <f t="shared" si="0"/>
        <v>0.61429202560257956</v>
      </c>
      <c r="G28" s="17">
        <f t="shared" si="9"/>
        <v>51188.475133206375</v>
      </c>
      <c r="H28" s="11">
        <v>2.1999999999999999E-2</v>
      </c>
      <c r="I28" s="17">
        <f t="shared" si="1"/>
        <v>4744.6445230905065</v>
      </c>
      <c r="J28" s="17">
        <f t="shared" si="2"/>
        <v>2914.5972948534522</v>
      </c>
      <c r="K28" s="17">
        <f t="shared" si="12"/>
        <v>137790.32794167378</v>
      </c>
      <c r="L28" s="11">
        <v>0.05</v>
      </c>
      <c r="M28" s="11">
        <f t="shared" si="6"/>
        <v>3.4433799483363593E-2</v>
      </c>
    </row>
    <row r="29" spans="1:17">
      <c r="A29" s="13">
        <v>2029</v>
      </c>
      <c r="B29" s="10">
        <f t="shared" si="10"/>
        <v>95470393.405272514</v>
      </c>
      <c r="C29" s="11">
        <v>0.03</v>
      </c>
      <c r="D29" s="10">
        <f t="shared" si="11"/>
        <v>68041561.275000006</v>
      </c>
      <c r="E29" s="11">
        <v>0.19500000000000001</v>
      </c>
      <c r="F29" s="11">
        <f t="shared" si="0"/>
        <v>0.71269802970396368</v>
      </c>
      <c r="G29" s="17">
        <f t="shared" si="9"/>
        <v>52314.621586136913</v>
      </c>
      <c r="H29" s="11">
        <v>2.1999999999999999E-2</v>
      </c>
      <c r="I29" s="17">
        <f t="shared" si="1"/>
        <v>4994.4975036764517</v>
      </c>
      <c r="J29" s="17">
        <f t="shared" si="2"/>
        <v>3559.5685302315728</v>
      </c>
      <c r="K29" s="17">
        <f t="shared" si="12"/>
        <v>144679.84433875748</v>
      </c>
      <c r="L29" s="11">
        <v>0.05</v>
      </c>
      <c r="M29" s="11">
        <f t="shared" si="6"/>
        <v>3.4521031775388102E-2</v>
      </c>
    </row>
    <row r="30" spans="1:17">
      <c r="A30" s="13">
        <v>2030</v>
      </c>
      <c r="B30" s="10">
        <f t="shared" si="10"/>
        <v>98334505.207430691</v>
      </c>
      <c r="C30" s="11">
        <v>0.03</v>
      </c>
      <c r="D30" s="10">
        <f t="shared" si="11"/>
        <v>79608626.691750005</v>
      </c>
      <c r="E30" s="11">
        <v>0.17</v>
      </c>
      <c r="F30" s="11">
        <f t="shared" si="0"/>
        <v>0.80956960655692956</v>
      </c>
      <c r="G30" s="17">
        <f t="shared" si="9"/>
        <v>53465.543261031926</v>
      </c>
      <c r="H30" s="11">
        <v>2.1999999999999999E-2</v>
      </c>
      <c r="I30" s="17">
        <f t="shared" si="1"/>
        <v>5257.5077422200548</v>
      </c>
      <c r="J30" s="17">
        <f t="shared" si="2"/>
        <v>4256.3184743391002</v>
      </c>
      <c r="K30" s="17">
        <f t="shared" si="12"/>
        <v>151913.83655569536</v>
      </c>
      <c r="L30" s="11">
        <v>0.05</v>
      </c>
      <c r="M30" s="11">
        <f t="shared" si="6"/>
        <v>3.4608485055885756E-2</v>
      </c>
    </row>
    <row r="31" spans="1:17">
      <c r="A31" s="13">
        <v>2031</v>
      </c>
      <c r="B31" s="10">
        <f t="shared" si="10"/>
        <v>101284540.36365362</v>
      </c>
      <c r="C31" s="11">
        <v>0.03</v>
      </c>
      <c r="D31" s="10">
        <f t="shared" si="11"/>
        <v>91549920.695512503</v>
      </c>
      <c r="E31" s="11">
        <v>0.15</v>
      </c>
      <c r="F31" s="11">
        <f t="shared" si="0"/>
        <v>0.90388839567035817</v>
      </c>
      <c r="G31" s="17">
        <f t="shared" si="9"/>
        <v>54641.78521277463</v>
      </c>
      <c r="H31" s="11">
        <v>2.1999999999999999E-2</v>
      </c>
      <c r="I31" s="17">
        <f t="shared" si="1"/>
        <v>5534.3680999253629</v>
      </c>
      <c r="J31" s="17">
        <f t="shared" si="2"/>
        <v>5002.4511028907455</v>
      </c>
      <c r="K31" s="17">
        <f t="shared" si="12"/>
        <v>159509.52838348015</v>
      </c>
      <c r="L31" s="11">
        <v>0.05</v>
      </c>
      <c r="M31" s="11">
        <f t="shared" si="6"/>
        <v>3.4696159884693996E-2</v>
      </c>
    </row>
    <row r="32" spans="1:17">
      <c r="A32" s="13">
        <v>2032</v>
      </c>
      <c r="B32" s="10">
        <f t="shared" si="10"/>
        <v>104323076.57456322</v>
      </c>
      <c r="C32" s="11">
        <v>0.03</v>
      </c>
      <c r="D32" s="10">
        <f>B32</f>
        <v>104323076.57456322</v>
      </c>
      <c r="E32" s="11">
        <f>(D32-D31)/D31</f>
        <v>0.13952121183734481</v>
      </c>
      <c r="F32" s="11">
        <f t="shared" si="0"/>
        <v>1</v>
      </c>
      <c r="G32" s="17">
        <f t="shared" si="9"/>
        <v>55843.904487455671</v>
      </c>
      <c r="H32" s="11">
        <v>2.1999999999999999E-2</v>
      </c>
      <c r="I32" s="17">
        <f t="shared" si="1"/>
        <v>5825.8079240674324</v>
      </c>
      <c r="J32" s="17">
        <f t="shared" si="2"/>
        <v>5825.8079240674324</v>
      </c>
      <c r="K32" s="17">
        <f t="shared" si="12"/>
        <v>167485.00480265418</v>
      </c>
      <c r="L32" s="11">
        <v>0.05</v>
      </c>
      <c r="M32" s="11">
        <f t="shared" si="6"/>
        <v>3.4784056823068552E-2</v>
      </c>
    </row>
    <row r="33" spans="1:13">
      <c r="A33" s="13">
        <v>2033</v>
      </c>
      <c r="B33" s="10">
        <f t="shared" ref="B33" si="13">B32*(1+C33)</f>
        <v>107452768.87180012</v>
      </c>
      <c r="C33" s="11">
        <v>0.03</v>
      </c>
      <c r="D33" s="10">
        <f>B33</f>
        <v>107452768.87180012</v>
      </c>
      <c r="E33" s="11">
        <f>(D33-D32)/D32</f>
        <v>3.0000000000000075E-2</v>
      </c>
      <c r="F33" s="11">
        <f t="shared" ref="F33" si="14">D33/B33</f>
        <v>1</v>
      </c>
      <c r="G33" s="17">
        <f t="shared" ref="G33" si="15">G32*(1+H33)</f>
        <v>57072.470386179695</v>
      </c>
      <c r="H33" s="11">
        <v>2.1999999999999999E-2</v>
      </c>
      <c r="I33" s="17">
        <f t="shared" ref="I33" si="16">B33*G33/1000000000</f>
        <v>6132.5949693488246</v>
      </c>
      <c r="J33" s="17">
        <f t="shared" ref="J33" si="17">D33*G33/1000000000</f>
        <v>6132.5949693488246</v>
      </c>
      <c r="K33" s="17">
        <f t="shared" ref="K33" si="18">K32*(1+L33)</f>
        <v>175859.25504278688</v>
      </c>
      <c r="L33" s="11">
        <v>0.05</v>
      </c>
      <c r="M33" s="11">
        <f t="shared" ref="M33" si="19">I33/K33</f>
        <v>3.4872176433687001E-2</v>
      </c>
    </row>
    <row r="35" spans="1:13">
      <c r="A35" s="5" t="s">
        <v>68</v>
      </c>
    </row>
    <row r="36" spans="1:13">
      <c r="A36" s="15" t="s">
        <v>69</v>
      </c>
      <c r="C36" s="3">
        <f>((B22/B16)^(1/($A22-$A16)))-1</f>
        <v>-2.4783748533292127E-2</v>
      </c>
      <c r="E36" s="3">
        <f>((D22/D16)^(1/($A22-$A16)))-1</f>
        <v>0.59951797256853889</v>
      </c>
      <c r="F36" s="3"/>
      <c r="G36" s="3"/>
      <c r="H36" s="3">
        <f>((G22/G16)^(1/($A22-$A16)))-1</f>
        <v>4.5232564674618114E-2</v>
      </c>
      <c r="I36" s="3"/>
      <c r="K36" s="3"/>
      <c r="L36" s="3">
        <f>((K22/K16)^(1/($A22-$A16)))-1</f>
        <v>5.3089045648502031E-2</v>
      </c>
    </row>
    <row r="37" spans="1:13">
      <c r="A37" s="15" t="s">
        <v>76</v>
      </c>
      <c r="C37" s="3">
        <f>((B32/B22)^(1/($A32-$A22)))-1</f>
        <v>2.4745059032062366E-2</v>
      </c>
      <c r="E37" s="3">
        <f>((D32/D22)^(1/($A32-$A22)))-1</f>
        <v>0.29279314299673476</v>
      </c>
      <c r="F37" s="3"/>
      <c r="G37" s="3"/>
      <c r="H37" s="3">
        <f>((G32/G22)^(1/($A32-$A22)))-1</f>
        <v>2.200000000000002E-2</v>
      </c>
      <c r="I37" s="3"/>
      <c r="J37" s="3"/>
      <c r="K37" s="3"/>
      <c r="L37" s="3">
        <f>((K32/K22)^(1/($A32-$A22)))-1</f>
        <v>4.8938036873920288E-2</v>
      </c>
    </row>
    <row r="38" spans="1:13">
      <c r="A38" s="15" t="s">
        <v>72</v>
      </c>
      <c r="C38" s="3">
        <f>((B32/B16)^(1/($A32-$A16)))-1</f>
        <v>5.8836391596777116E-3</v>
      </c>
      <c r="E38" s="3">
        <f>((D32/D16)^(1/($A32-$A16)))-1</f>
        <v>0.40023707175349177</v>
      </c>
      <c r="F38" s="3"/>
      <c r="G38" s="3"/>
      <c r="H38" s="3">
        <f>((G32/G16)^(1/($A32-$A16)))-1</f>
        <v>3.0651072051166794E-2</v>
      </c>
      <c r="I38" s="3"/>
      <c r="J38" s="3"/>
      <c r="K38" s="3"/>
      <c r="L38" s="3">
        <f>((K32/K16)^(1/($A32-$A16)))-1</f>
        <v>5.0492744244567289E-2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H35" sqref="H35"/>
    </sheetView>
  </sheetViews>
  <sheetFormatPr defaultRowHeight="14.5"/>
  <sheetData>
    <row r="2" spans="1:9" ht="23.5">
      <c r="A2" s="6" t="s">
        <v>56</v>
      </c>
    </row>
    <row r="3" spans="1:9">
      <c r="A3" t="s">
        <v>57</v>
      </c>
    </row>
    <row r="6" spans="1:9">
      <c r="A6" t="s">
        <v>45</v>
      </c>
      <c r="B6" t="s">
        <v>46</v>
      </c>
      <c r="C6" t="s">
        <v>48</v>
      </c>
      <c r="D6" t="s">
        <v>49</v>
      </c>
      <c r="E6" t="s">
        <v>51</v>
      </c>
      <c r="F6" t="s">
        <v>52</v>
      </c>
      <c r="G6" t="s">
        <v>53</v>
      </c>
      <c r="H6" t="s">
        <v>48</v>
      </c>
      <c r="I6" t="s">
        <v>58</v>
      </c>
    </row>
    <row r="7" spans="1:9">
      <c r="B7" s="2" t="s">
        <v>47</v>
      </c>
      <c r="C7" s="2" t="s">
        <v>47</v>
      </c>
      <c r="D7" s="2" t="s">
        <v>50</v>
      </c>
      <c r="E7" s="2" t="s">
        <v>50</v>
      </c>
      <c r="F7" t="s">
        <v>50</v>
      </c>
      <c r="G7" t="s">
        <v>54</v>
      </c>
      <c r="H7" s="2" t="s">
        <v>55</v>
      </c>
      <c r="I7" s="2"/>
    </row>
    <row r="8" spans="1:9">
      <c r="A8" t="s">
        <v>11</v>
      </c>
      <c r="B8" s="2">
        <v>131883</v>
      </c>
      <c r="C8" s="2">
        <v>15510</v>
      </c>
      <c r="D8" s="2">
        <v>12420</v>
      </c>
      <c r="E8" s="2">
        <v>2400</v>
      </c>
      <c r="H8" s="2">
        <v>14820</v>
      </c>
      <c r="I8" s="2"/>
    </row>
    <row r="9" spans="1:9">
      <c r="A9" t="s">
        <v>12</v>
      </c>
      <c r="B9" s="2">
        <v>150228</v>
      </c>
      <c r="C9" s="2">
        <v>18345</v>
      </c>
      <c r="D9" s="2">
        <v>9764</v>
      </c>
      <c r="E9" s="2">
        <v>4638</v>
      </c>
      <c r="H9" s="2">
        <v>14402</v>
      </c>
      <c r="I9" s="2"/>
    </row>
    <row r="10" spans="1:9">
      <c r="A10" t="s">
        <v>13</v>
      </c>
      <c r="B10" s="2">
        <v>175413</v>
      </c>
      <c r="C10" s="2">
        <v>25185</v>
      </c>
      <c r="D10" s="2">
        <v>16047</v>
      </c>
      <c r="E10" s="2">
        <v>8774</v>
      </c>
      <c r="H10" s="2">
        <v>24821</v>
      </c>
      <c r="I10" s="2"/>
    </row>
    <row r="11" spans="1:9">
      <c r="A11" t="s">
        <v>59</v>
      </c>
      <c r="B11" s="2">
        <v>200295</v>
      </c>
      <c r="C11" s="2">
        <v>24882</v>
      </c>
      <c r="D11" s="2">
        <v>12700</v>
      </c>
      <c r="E11" s="2">
        <v>9500</v>
      </c>
      <c r="H11" s="2">
        <v>22254</v>
      </c>
      <c r="I11" s="2">
        <f>SUM(H8:H11)</f>
        <v>76297</v>
      </c>
    </row>
    <row r="12" spans="1:9">
      <c r="A12" t="s">
        <v>14</v>
      </c>
      <c r="B12" s="2">
        <v>225713</v>
      </c>
      <c r="C12" s="2">
        <v>25418</v>
      </c>
      <c r="D12" t="s">
        <v>15</v>
      </c>
      <c r="E12" t="s">
        <v>16</v>
      </c>
      <c r="H12" s="2">
        <v>25051</v>
      </c>
    </row>
    <row r="13" spans="1:9">
      <c r="A13" t="s">
        <v>17</v>
      </c>
      <c r="B13" s="2">
        <v>251421</v>
      </c>
      <c r="C13" s="2">
        <v>25708</v>
      </c>
      <c r="D13" t="s">
        <v>18</v>
      </c>
      <c r="E13" t="s">
        <v>19</v>
      </c>
      <c r="H13" s="2">
        <v>22026</v>
      </c>
    </row>
    <row r="14" spans="1:9">
      <c r="A14" t="s">
        <v>20</v>
      </c>
      <c r="B14" s="2">
        <v>276757</v>
      </c>
      <c r="C14" s="2">
        <v>25336</v>
      </c>
      <c r="D14" s="2">
        <v>14065</v>
      </c>
      <c r="E14" s="2">
        <v>11865</v>
      </c>
      <c r="F14">
        <v>222</v>
      </c>
      <c r="H14" s="2">
        <v>26137</v>
      </c>
      <c r="I14" s="2"/>
    </row>
    <row r="15" spans="1:9">
      <c r="A15" t="s">
        <v>21</v>
      </c>
      <c r="B15" s="2">
        <v>301322</v>
      </c>
      <c r="C15" s="2">
        <v>24565</v>
      </c>
      <c r="D15" t="s">
        <v>22</v>
      </c>
      <c r="E15" t="s">
        <v>23</v>
      </c>
      <c r="F15" s="2">
        <v>1542</v>
      </c>
      <c r="H15" s="2">
        <v>29967</v>
      </c>
      <c r="I15" s="2">
        <f>SUM(H12:H15)</f>
        <v>103181</v>
      </c>
    </row>
    <row r="16" spans="1:9">
      <c r="A16" t="s">
        <v>24</v>
      </c>
      <c r="B16" s="2">
        <v>335816</v>
      </c>
      <c r="C16" s="2">
        <v>34494</v>
      </c>
      <c r="D16" s="2">
        <v>11730</v>
      </c>
      <c r="E16" s="2">
        <v>10070</v>
      </c>
      <c r="F16" s="2">
        <v>8182</v>
      </c>
      <c r="H16" s="2">
        <v>29997</v>
      </c>
      <c r="I16" s="2"/>
    </row>
    <row r="17" spans="1:9">
      <c r="A17" t="s">
        <v>25</v>
      </c>
      <c r="B17" s="2">
        <v>389155</v>
      </c>
      <c r="C17" s="2">
        <v>53339</v>
      </c>
      <c r="D17" s="2">
        <v>10930</v>
      </c>
      <c r="E17" s="2">
        <v>11370</v>
      </c>
      <c r="F17" s="2">
        <v>18440</v>
      </c>
      <c r="H17" s="2">
        <v>40740</v>
      </c>
      <c r="I17" s="2"/>
    </row>
    <row r="18" spans="1:9">
      <c r="A18" t="s">
        <v>26</v>
      </c>
      <c r="B18" s="2">
        <v>469297</v>
      </c>
      <c r="C18" s="2">
        <v>80142</v>
      </c>
      <c r="D18" s="2">
        <v>14470</v>
      </c>
      <c r="E18" s="2">
        <v>13190</v>
      </c>
      <c r="F18" s="2">
        <v>56065</v>
      </c>
      <c r="H18" s="2">
        <v>83725</v>
      </c>
      <c r="I18" s="2"/>
    </row>
    <row r="19" spans="1:9">
      <c r="A19" t="s">
        <v>27</v>
      </c>
      <c r="B19" s="2">
        <v>555852</v>
      </c>
      <c r="C19" s="2">
        <v>86555</v>
      </c>
      <c r="D19" s="2">
        <v>13500</v>
      </c>
      <c r="E19" s="2">
        <v>14050</v>
      </c>
      <c r="F19" s="2">
        <v>63359</v>
      </c>
      <c r="H19" s="2">
        <v>90700</v>
      </c>
      <c r="I19" s="2">
        <f>SUM(H16:H19)</f>
        <v>245162</v>
      </c>
    </row>
    <row r="20" spans="1:9">
      <c r="A20" t="s">
        <v>28</v>
      </c>
      <c r="B20" s="2">
        <v>632952</v>
      </c>
      <c r="C20" s="2">
        <v>77100</v>
      </c>
      <c r="D20" s="2">
        <v>12100</v>
      </c>
      <c r="F20" s="2">
        <v>50900</v>
      </c>
      <c r="H20" s="2">
        <v>63000</v>
      </c>
    </row>
    <row r="21" spans="1:9">
      <c r="A21" t="s">
        <v>29</v>
      </c>
      <c r="B21" s="2">
        <v>720000</v>
      </c>
      <c r="C21" s="2">
        <v>87048</v>
      </c>
      <c r="D21" s="2">
        <v>17650</v>
      </c>
      <c r="F21" s="2">
        <v>77550</v>
      </c>
      <c r="H21" s="2">
        <v>95200</v>
      </c>
    </row>
    <row r="22" spans="1:9">
      <c r="A22" t="s">
        <v>30</v>
      </c>
      <c r="B22" s="2">
        <v>816155</v>
      </c>
      <c r="C22" s="2">
        <v>96155</v>
      </c>
      <c r="D22" s="2">
        <v>17483</v>
      </c>
      <c r="F22" s="2">
        <v>79703</v>
      </c>
      <c r="H22" s="2">
        <v>97186</v>
      </c>
      <c r="I22" s="2"/>
    </row>
    <row r="23" spans="1:9">
      <c r="A23" t="s">
        <v>31</v>
      </c>
      <c r="B23" s="2">
        <v>921046</v>
      </c>
      <c r="C23" s="2">
        <v>104891</v>
      </c>
      <c r="D23" s="2">
        <v>19475</v>
      </c>
      <c r="F23" s="2">
        <v>92620</v>
      </c>
      <c r="H23" s="2">
        <v>112095</v>
      </c>
      <c r="I23" s="2">
        <f>SUM(H20:H23)</f>
        <v>367481</v>
      </c>
    </row>
    <row r="24" spans="1:9">
      <c r="A24" t="s">
        <v>32</v>
      </c>
      <c r="B24" s="2">
        <v>1023718</v>
      </c>
      <c r="C24" s="2">
        <v>102672</v>
      </c>
      <c r="D24" s="2">
        <v>12230</v>
      </c>
      <c r="F24" s="2">
        <v>76266</v>
      </c>
      <c r="H24" s="2">
        <v>88496</v>
      </c>
    </row>
    <row r="25" spans="1:9">
      <c r="A25" t="s">
        <v>33</v>
      </c>
      <c r="B25" s="2">
        <v>1105990</v>
      </c>
      <c r="C25" s="2">
        <v>82272</v>
      </c>
      <c r="D25" s="2">
        <v>10614</v>
      </c>
      <c r="F25" s="2">
        <v>80277</v>
      </c>
      <c r="H25" s="2">
        <v>90891</v>
      </c>
    </row>
    <row r="26" spans="1:9">
      <c r="A26" t="s">
        <v>34</v>
      </c>
      <c r="B26" s="2">
        <v>1251026</v>
      </c>
      <c r="C26" s="2">
        <v>145036</v>
      </c>
      <c r="D26" s="2">
        <v>15275</v>
      </c>
      <c r="F26" s="2">
        <v>124318</v>
      </c>
      <c r="H26" s="2">
        <v>139593</v>
      </c>
    </row>
    <row r="27" spans="1:9">
      <c r="A27" t="s">
        <v>35</v>
      </c>
      <c r="B27" s="2">
        <v>1430783</v>
      </c>
      <c r="C27" s="2">
        <v>179757</v>
      </c>
      <c r="D27" s="2">
        <v>18966</v>
      </c>
      <c r="F27" s="2">
        <v>161701</v>
      </c>
      <c r="H27" s="2">
        <v>180667</v>
      </c>
      <c r="I27" s="2">
        <f>SUM(H24:H27)</f>
        <v>499647</v>
      </c>
    </row>
    <row r="28" spans="1:9">
      <c r="A28" t="s">
        <v>36</v>
      </c>
      <c r="B28" s="2">
        <v>1611121</v>
      </c>
      <c r="C28" s="2">
        <v>180338</v>
      </c>
      <c r="D28" t="s">
        <v>37</v>
      </c>
      <c r="F28" s="2">
        <v>182847</v>
      </c>
      <c r="H28" s="2">
        <v>184877</v>
      </c>
    </row>
    <row r="29" spans="1:9">
      <c r="A29" t="s">
        <v>38</v>
      </c>
      <c r="B29" s="2">
        <v>1817542</v>
      </c>
      <c r="C29" s="2">
        <v>206421</v>
      </c>
      <c r="D29" s="2">
        <v>1895</v>
      </c>
      <c r="F29" s="2">
        <v>199409</v>
      </c>
      <c r="H29" s="2">
        <v>201304</v>
      </c>
    </row>
    <row r="30" spans="1:9">
      <c r="A30" t="s">
        <v>39</v>
      </c>
      <c r="B30" s="2">
        <v>2055365</v>
      </c>
      <c r="C30" s="2">
        <v>237823</v>
      </c>
      <c r="D30" s="2">
        <v>9289</v>
      </c>
      <c r="F30" s="2">
        <v>232102</v>
      </c>
      <c r="H30" s="2">
        <v>241391</v>
      </c>
      <c r="I30" s="2"/>
    </row>
    <row r="31" spans="1:9">
      <c r="A31" t="s">
        <v>40</v>
      </c>
      <c r="B31" s="2">
        <v>2361205</v>
      </c>
      <c r="C31" s="2">
        <v>305840</v>
      </c>
      <c r="D31" s="2">
        <v>11766</v>
      </c>
      <c r="F31" s="2">
        <v>296884</v>
      </c>
      <c r="H31" s="2">
        <v>308650</v>
      </c>
      <c r="I31" s="2">
        <f>SUM(H28:H31)</f>
        <v>936222</v>
      </c>
    </row>
    <row r="32" spans="1:9">
      <c r="A32" t="s">
        <v>41</v>
      </c>
      <c r="B32" s="2">
        <v>2666612</v>
      </c>
      <c r="C32" s="2">
        <v>305407</v>
      </c>
      <c r="D32" s="2">
        <v>14724</v>
      </c>
      <c r="F32" s="2">
        <v>295324</v>
      </c>
      <c r="H32" s="2">
        <v>310048</v>
      </c>
      <c r="I32" s="2"/>
    </row>
    <row r="33" spans="1:9">
      <c r="A33" t="s">
        <v>42</v>
      </c>
      <c r="B33" s="2">
        <v>2925192</v>
      </c>
      <c r="C33" t="s">
        <v>43</v>
      </c>
      <c r="D33" s="2">
        <v>16162</v>
      </c>
      <c r="F33" s="2">
        <v>238533</v>
      </c>
      <c r="H33" s="2">
        <v>254695</v>
      </c>
    </row>
    <row r="34" spans="1:9">
      <c r="A34" t="s">
        <v>44</v>
      </c>
      <c r="B34" s="2">
        <v>3291115</v>
      </c>
      <c r="C34" s="2">
        <v>365923</v>
      </c>
      <c r="D34" s="2">
        <v>18672</v>
      </c>
      <c r="F34" s="2">
        <v>325158</v>
      </c>
      <c r="H34" s="2">
        <v>343830</v>
      </c>
    </row>
    <row r="35" spans="1:9">
      <c r="A35" t="s">
        <v>60</v>
      </c>
      <c r="H35" s="2">
        <v>405278</v>
      </c>
      <c r="I35" s="2">
        <f>SUM(H32:H35)</f>
        <v>1313851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BEVgrowth</vt:lpstr>
      <vt:lpstr>BEVvalue</vt:lpstr>
      <vt:lpstr>Tesla sales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2023-01-03T13:52:04Z</dcterms:modified>
</cp:coreProperties>
</file>