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508EAEB0-7496-457A-8857-566ABF3854C7}" xr6:coauthVersionLast="47" xr6:coauthVersionMax="47" xr10:uidLastSave="{00000000-0000-0000-0000-000000000000}"/>
  <bookViews>
    <workbookView xWindow="6740" yWindow="4310" windowWidth="28800" windowHeight="15370" activeTab="2" xr2:uid="{00000000-000D-0000-FFFF-FFFF00000000}"/>
  </bookViews>
  <sheets>
    <sheet name="Sheet1" sheetId="1" r:id="rId1"/>
    <sheet name="CostOfRawMaterialsToMakeBEV" sheetId="2" r:id="rId2"/>
    <sheet name="TotalCopperSav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F13" i="3"/>
  <c r="D13" i="3"/>
  <c r="H15" i="3"/>
  <c r="D18" i="3"/>
  <c r="C18" i="3"/>
  <c r="E18" i="3"/>
  <c r="A4" i="3"/>
  <c r="A3" i="3"/>
  <c r="A1" i="3"/>
  <c r="C51" i="1"/>
  <c r="C49" i="1"/>
  <c r="E19" i="2"/>
  <c r="E17" i="2"/>
  <c r="E15" i="2"/>
  <c r="E13" i="2"/>
  <c r="E12" i="2"/>
  <c r="E11" i="2"/>
  <c r="E18" i="2"/>
  <c r="E16" i="2"/>
  <c r="E14" i="2"/>
  <c r="B28" i="1"/>
  <c r="B28" i="2" s="1"/>
  <c r="B29" i="1"/>
  <c r="B29" i="2" s="1"/>
  <c r="B30" i="1"/>
  <c r="B31" i="1"/>
  <c r="B32" i="1"/>
  <c r="B33" i="1"/>
  <c r="B33" i="2" s="1"/>
  <c r="B34" i="1"/>
  <c r="B34" i="2" s="1"/>
  <c r="B27" i="1"/>
  <c r="D13" i="1"/>
  <c r="B11" i="2"/>
  <c r="B12" i="2"/>
  <c r="B13" i="2"/>
  <c r="B14" i="2"/>
  <c r="B15" i="2"/>
  <c r="B16" i="2"/>
  <c r="B17" i="2"/>
  <c r="B18" i="2"/>
  <c r="B19" i="2"/>
  <c r="B20" i="2"/>
  <c r="B21" i="2"/>
  <c r="A1" i="2"/>
  <c r="A3" i="2"/>
  <c r="A4" i="2"/>
  <c r="C11" i="2"/>
  <c r="D11" i="2"/>
  <c r="C12" i="2"/>
  <c r="F12" i="2" s="1"/>
  <c r="D12" i="2"/>
  <c r="C13" i="2"/>
  <c r="F13" i="2" s="1"/>
  <c r="D13" i="2"/>
  <c r="C14" i="2"/>
  <c r="F14" i="2" s="1"/>
  <c r="D14" i="2"/>
  <c r="C15" i="2"/>
  <c r="F15" i="2" s="1"/>
  <c r="D15" i="2"/>
  <c r="C16" i="2"/>
  <c r="F16" i="2" s="1"/>
  <c r="D16" i="2"/>
  <c r="C17" i="2"/>
  <c r="F17" i="2" s="1"/>
  <c r="D17" i="2"/>
  <c r="C18" i="2"/>
  <c r="F18" i="2" s="1"/>
  <c r="D18" i="2"/>
  <c r="C19" i="2"/>
  <c r="F19" i="2" s="1"/>
  <c r="D19" i="2"/>
  <c r="C20" i="2"/>
  <c r="F20" i="2" s="1"/>
  <c r="D20" i="2"/>
  <c r="B23" i="2"/>
  <c r="B25" i="2"/>
  <c r="C25" i="2"/>
  <c r="D25" i="2"/>
  <c r="C26" i="2"/>
  <c r="D26" i="2"/>
  <c r="B27" i="2"/>
  <c r="C27" i="2"/>
  <c r="D27" i="2"/>
  <c r="C28" i="2"/>
  <c r="D28" i="2"/>
  <c r="C29" i="2"/>
  <c r="D29" i="2"/>
  <c r="B30" i="2"/>
  <c r="C30" i="2"/>
  <c r="D30" i="2"/>
  <c r="B31" i="2"/>
  <c r="C31" i="2"/>
  <c r="D31" i="2"/>
  <c r="B32" i="2"/>
  <c r="C32" i="2"/>
  <c r="D32" i="2"/>
  <c r="C33" i="2"/>
  <c r="D33" i="2"/>
  <c r="C34" i="2"/>
  <c r="D34" i="2"/>
  <c r="B35" i="2"/>
  <c r="C35" i="2"/>
  <c r="D35" i="2"/>
  <c r="B36" i="2"/>
  <c r="C36" i="2"/>
  <c r="D36" i="2"/>
  <c r="D11" i="1"/>
  <c r="D12" i="1"/>
  <c r="D19" i="1"/>
  <c r="H13" i="1"/>
  <c r="H14" i="1"/>
  <c r="H15" i="1"/>
  <c r="H16" i="1"/>
  <c r="H17" i="1"/>
  <c r="H18" i="1"/>
  <c r="E19" i="1"/>
  <c r="H19" i="1" s="1"/>
  <c r="D20" i="1"/>
  <c r="E12" i="1"/>
  <c r="H12" i="1" s="1"/>
  <c r="E13" i="1"/>
  <c r="E14" i="1"/>
  <c r="E15" i="1"/>
  <c r="E16" i="1"/>
  <c r="E17" i="1"/>
  <c r="E18" i="1"/>
  <c r="E11" i="1"/>
  <c r="H11" i="1" s="1"/>
  <c r="C21" i="1"/>
  <c r="C17" i="1"/>
  <c r="C14" i="1"/>
  <c r="C15" i="1"/>
  <c r="C16" i="1"/>
  <c r="C18" i="1"/>
  <c r="F26" i="1"/>
  <c r="E26" i="1"/>
  <c r="F10" i="1"/>
  <c r="E10" i="1"/>
  <c r="F18" i="3" l="1"/>
  <c r="F19" i="3" s="1"/>
  <c r="D19" i="3"/>
  <c r="F11" i="2"/>
  <c r="F21" i="2"/>
  <c r="C21" i="2"/>
</calcChain>
</file>

<file path=xl/sharedStrings.xml><?xml version="1.0" encoding="utf-8"?>
<sst xmlns="http://schemas.openxmlformats.org/spreadsheetml/2006/main" count="177" uniqueCount="101">
  <si>
    <t>Proprietary. © H. Mathiesen. This material can be used by others free of charge provided that the author H. Mathiesen is attributed and a clickable link is made visible to the location of used material on www.hmexperience.dk</t>
  </si>
  <si>
    <t>Sources to all information used in this spreadsheet can also be found in associated PowerPoint presentation located also at www.hmexperience.dk</t>
  </si>
  <si>
    <t>How Tesla’s next generation vehicles may nearly cut the need for copper in half #18</t>
  </si>
  <si>
    <t>Material type</t>
  </si>
  <si>
    <t xml:space="preserve">Global production </t>
  </si>
  <si>
    <t>Data year</t>
  </si>
  <si>
    <t>Copper (battery, motor, wires)</t>
  </si>
  <si>
    <t>Global 100M BEVs</t>
  </si>
  <si>
    <t>Used parameters</t>
  </si>
  <si>
    <t xml:space="preserve">Tesla 20M BEVs </t>
  </si>
  <si>
    <t>in kg per vehicle</t>
  </si>
  <si>
    <t>in tons</t>
  </si>
  <si>
    <t xml:space="preserve">1 average BEV </t>
  </si>
  <si>
    <t>Tesla vehibles by 2030</t>
  </si>
  <si>
    <t>Global BEV vehibles by 2031?</t>
  </si>
  <si>
    <t>Sources and attribution</t>
  </si>
  <si>
    <t>https://www.mining.com/all-the-mines-tesla-needs-to-build-20-million-cars-a-year/</t>
  </si>
  <si>
    <t>-</t>
  </si>
  <si>
    <t>Ton to kg</t>
  </si>
  <si>
    <t>Manganese (batteries)</t>
  </si>
  <si>
    <t>Cobalt (batteries)</t>
  </si>
  <si>
    <t>Aluminum (vehicle GM Volt))</t>
  </si>
  <si>
    <t>Other textile and plastic</t>
  </si>
  <si>
    <t>My own estimate</t>
  </si>
  <si>
    <t>https://www.statista.com/statistics/1187186/global-rare-earths-mine-production/</t>
  </si>
  <si>
    <t>Rare earth (fx Nd, Pr, Dy, Tb)</t>
  </si>
  <si>
    <t>year</t>
  </si>
  <si>
    <t xml:space="preserve">Data </t>
  </si>
  <si>
    <t>https://www.mining-technology.com/comment/global-copper-output-grow/</t>
  </si>
  <si>
    <t>https://worldsteel.org/steel-topics/statistics/world-steel-in-figures-2022/</t>
  </si>
  <si>
    <t>global production</t>
  </si>
  <si>
    <t>Crude steel (98% Fe/Iron)</t>
  </si>
  <si>
    <t>Total vehicle weight</t>
  </si>
  <si>
    <t>Raw materials needed to make 100 million fully electric vehicles per year if no innovation</t>
  </si>
  <si>
    <t xml:space="preserve">One average BEV </t>
  </si>
  <si>
    <t>https://www.mining.com/web/graphite-deficit-starting-this-year-as-demand-for-ev-battery-anode-ingredient-exceeds-supply/#:~:text=Graphite%20is%20thus%20considered%20indispensable,containing%2020%2D30%25%20graphite.</t>
  </si>
  <si>
    <t>https://natural-resources.canada.ca/our-natural-resources/minerals-mining/minerals-metals-facts/graphite-facts/24027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</si>
  <si>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graphite is both mined at 1.1 million tons per year and made synthetically at about 2.2 million tons per year </t>
    </r>
  </si>
  <si>
    <t>Note: A BEV use about 90 kg of purified graphite that actually require 10% more material to make so about 100 kg needed for 1 BEV</t>
  </si>
  <si>
    <r>
      <t>Graphite</t>
    </r>
    <r>
      <rPr>
        <sz val="11"/>
        <color theme="1"/>
        <rFont val="Calibri"/>
        <family val="2"/>
        <scheme val="minor"/>
      </rPr>
      <t xml:space="preserve"> (99.95% pure anode)</t>
    </r>
  </si>
  <si>
    <t>Price of raw materials needed to make 1 fully electric vehicle if no innovation</t>
  </si>
  <si>
    <t>Price per kg</t>
  </si>
  <si>
    <t>material in BEV</t>
  </si>
  <si>
    <t xml:space="preserve">Price USD of needed </t>
  </si>
  <si>
    <t xml:space="preserve">Date of </t>
  </si>
  <si>
    <t>price info</t>
  </si>
  <si>
    <t>https://tradingeconomics.com/commodity/nickel</t>
  </si>
  <si>
    <t xml:space="preserve">Price in USD </t>
  </si>
  <si>
    <t xml:space="preserve">per kg </t>
  </si>
  <si>
    <t>https://www.visualcapitalist.com/visualizing-25-years-of-lithium-production-by-country/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</si>
  <si>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this is measured in tons of lithium carbonate equivalent (not all mined lithium is lithium carbonate, today much is mined as spodumene rock that is processed to lithium hydroxide</t>
    </r>
  </si>
  <si>
    <t>https://www.quora.com/How-much-lithium-in-kg-is-used-in-an-electric-car</t>
  </si>
  <si>
    <t>https://tradingeconomics.com/commodity/lithium</t>
  </si>
  <si>
    <t>kg to lbs</t>
  </si>
  <si>
    <t xml:space="preserve">CNY to USD </t>
  </si>
  <si>
    <t>https://moneyexchangerate.org/currencyexchange/cny/usd/</t>
  </si>
  <si>
    <t>https://tradingeconomics.com/commodity/cobalt</t>
  </si>
  <si>
    <t>https://tradingeconomics.com/commodity/copper</t>
  </si>
  <si>
    <t>https://tradingeconomics.com/commodity/manganese</t>
  </si>
  <si>
    <t>https://tradingeconomics.com/commodity/neodymium</t>
  </si>
  <si>
    <t>Note price of neodymium is used because this is the most used metal in magnets</t>
  </si>
  <si>
    <t>https://tradingeconomics.com/commodity/aluminum</t>
  </si>
  <si>
    <t>https://tradingeconomics.com/commodity/steel</t>
  </si>
  <si>
    <t>Crude steel https://kdmfab.com/mild-steel-vs-stainless-steel/</t>
  </si>
  <si>
    <t>My guestimate</t>
  </si>
  <si>
    <t xml:space="preserve">Lithium carbonate or equivalent </t>
  </si>
  <si>
    <t>Total cost</t>
  </si>
  <si>
    <t xml:space="preserve">Price in </t>
  </si>
  <si>
    <t>CYN</t>
  </si>
  <si>
    <t>https://www.alibaba.com/product-detail/High-purity-99-95-nano-graphite_10000000439969.html</t>
  </si>
  <si>
    <t>Battery pack contain 8% copper</t>
  </si>
  <si>
    <t>https://cambridgehouse.com/news/8707/how-evs-will-forever-change-the-copper-landscape#:~:text=Average%20ICEs%20contain%2018%2D49%20pounds%20of%20copper</t>
  </si>
  <si>
    <t>https://www.uetechnologies.com/how-much-does-a-tesla-battery-weigh/</t>
  </si>
  <si>
    <t>Weight of tesla model Y long range in kg</t>
  </si>
  <si>
    <t xml:space="preserve">So copper in kg is </t>
  </si>
  <si>
    <t>Copper used in motor</t>
  </si>
  <si>
    <t>In % of current</t>
  </si>
  <si>
    <t>Copper use in typical battery electric vehicle curret and next generation</t>
  </si>
  <si>
    <t>Where copper is used</t>
  </si>
  <si>
    <t>(new technology applied)</t>
  </si>
  <si>
    <t>All wheel drive vehicles (two motors)</t>
  </si>
  <si>
    <t>Rear wheel drive vehicles (one motor)</t>
  </si>
  <si>
    <t>Current Model 3/Y like BEV</t>
  </si>
  <si>
    <t>Next gen Model 3/Y like BEV</t>
  </si>
  <si>
    <t>Wire harness tech</t>
  </si>
  <si>
    <t>Rear motor  tech</t>
  </si>
  <si>
    <t>Front motor tech</t>
  </si>
  <si>
    <t>Reduction in percentage</t>
  </si>
  <si>
    <t>Wire harness copper in kg</t>
  </si>
  <si>
    <t>Rear motor copper in kg</t>
  </si>
  <si>
    <t>Total copper use in kg</t>
  </si>
  <si>
    <r>
      <t xml:space="preserve">Nickel </t>
    </r>
    <r>
      <rPr>
        <sz val="11"/>
        <color theme="1"/>
        <rFont val="Calibri"/>
        <family val="2"/>
        <scheme val="minor"/>
      </rPr>
      <t>(tesla battery 78kWh)</t>
    </r>
  </si>
  <si>
    <t>12V copper wires</t>
  </si>
  <si>
    <t>48V, partial aluminium wires</t>
  </si>
  <si>
    <t>900V PM no rare earth</t>
  </si>
  <si>
    <t>Front motor copper in kg</t>
  </si>
  <si>
    <t>Battery pack copper in kg</t>
  </si>
  <si>
    <t>400V permanent magnet</t>
  </si>
  <si>
    <t>400V induction motor</t>
  </si>
  <si>
    <t>volt</t>
  </si>
  <si>
    <t>Recuction in copper use for motors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</si>
</sst>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3" fontId="0" fillId="0" borderId="0" xfId="0" applyNumberFormat="1"/>
    <xf numFmtId="0" fontId="3" fillId="2" borderId="0" xfId="0" applyFont="1" applyFill="1"/>
    <xf numFmtId="0" fontId="0" fillId="2" borderId="0" xfId="0" applyFill="1"/>
    <xf numFmtId="0" fontId="6" fillId="0" borderId="0" xfId="0" applyFont="1" applyAlignment="1">
      <alignment horizontal="left" vertical="center" readingOrder="1"/>
    </xf>
    <xf numFmtId="10" fontId="0" fillId="0" borderId="0" xfId="0" applyNumberFormat="1"/>
    <xf numFmtId="0" fontId="7" fillId="0" borderId="0" xfId="1"/>
    <xf numFmtId="0" fontId="3" fillId="5" borderId="0" xfId="0" applyFont="1" applyFill="1"/>
    <xf numFmtId="0" fontId="8" fillId="0" borderId="0" xfId="0" applyFont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0" fillId="6" borderId="4" xfId="0" applyFill="1" applyBorder="1"/>
    <xf numFmtId="0" fontId="0" fillId="6" borderId="0" xfId="0" applyFill="1"/>
    <xf numFmtId="0" fontId="3" fillId="6" borderId="5" xfId="0" applyFont="1" applyFill="1" applyBorder="1"/>
    <xf numFmtId="0" fontId="3" fillId="0" borderId="4" xfId="0" applyFont="1" applyBorder="1"/>
    <xf numFmtId="164" fontId="0" fillId="0" borderId="0" xfId="0" applyNumberFormat="1"/>
    <xf numFmtId="10" fontId="0" fillId="0" borderId="5" xfId="0" applyNumberFormat="1" applyBorder="1"/>
    <xf numFmtId="0" fontId="0" fillId="0" borderId="5" xfId="0" applyBorder="1"/>
    <xf numFmtId="0" fontId="3" fillId="4" borderId="6" xfId="0" applyFont="1" applyFill="1" applyBorder="1"/>
    <xf numFmtId="164" fontId="3" fillId="4" borderId="7" xfId="0" applyNumberFormat="1" applyFont="1" applyFill="1" applyBorder="1"/>
    <xf numFmtId="0" fontId="0" fillId="4" borderId="7" xfId="0" applyFill="1" applyBorder="1"/>
    <xf numFmtId="0" fontId="0" fillId="4" borderId="8" xfId="0" applyFill="1" applyBorder="1"/>
    <xf numFmtId="0" fontId="9" fillId="0" borderId="0" xfId="0" applyFont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0" fillId="5" borderId="4" xfId="0" applyFill="1" applyBorder="1"/>
    <xf numFmtId="0" fontId="0" fillId="5" borderId="0" xfId="0" applyFill="1"/>
    <xf numFmtId="0" fontId="3" fillId="5" borderId="5" xfId="0" applyFont="1" applyFill="1" applyBorder="1"/>
    <xf numFmtId="4" fontId="0" fillId="0" borderId="0" xfId="0" applyNumberFormat="1"/>
    <xf numFmtId="15" fontId="0" fillId="0" borderId="5" xfId="0" applyNumberFormat="1" applyBorder="1"/>
    <xf numFmtId="4" fontId="3" fillId="3" borderId="7" xfId="0" applyNumberFormat="1" applyFont="1" applyFill="1" applyBorder="1"/>
    <xf numFmtId="0" fontId="3" fillId="3" borderId="4" xfId="0" applyFont="1" applyFill="1" applyBorder="1"/>
    <xf numFmtId="164" fontId="0" fillId="3" borderId="0" xfId="0" applyNumberFormat="1" applyFill="1"/>
    <xf numFmtId="3" fontId="0" fillId="3" borderId="0" xfId="0" applyNumberFormat="1" applyFill="1"/>
    <xf numFmtId="0" fontId="0" fillId="3" borderId="0" xfId="0" applyFill="1"/>
    <xf numFmtId="10" fontId="0" fillId="3" borderId="5" xfId="0" applyNumberFormat="1" applyFill="1" applyBorder="1"/>
    <xf numFmtId="4" fontId="0" fillId="3" borderId="0" xfId="0" applyNumberFormat="1" applyFill="1"/>
    <xf numFmtId="15" fontId="0" fillId="3" borderId="5" xfId="0" applyNumberFormat="1" applyFill="1" applyBorder="1"/>
    <xf numFmtId="0" fontId="3" fillId="7" borderId="2" xfId="0" applyFont="1" applyFill="1" applyBorder="1"/>
    <xf numFmtId="0" fontId="3" fillId="8" borderId="2" xfId="0" applyFont="1" applyFill="1" applyBorder="1"/>
    <xf numFmtId="0" fontId="3" fillId="8" borderId="3" xfId="0" applyFont="1" applyFill="1" applyBorder="1"/>
    <xf numFmtId="0" fontId="3" fillId="0" borderId="5" xfId="0" applyFont="1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7" xfId="0" applyFont="1" applyFill="1" applyBorder="1"/>
    <xf numFmtId="10" fontId="3" fillId="9" borderId="7" xfId="0" applyNumberFormat="1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10" fontId="3" fillId="9" borderId="8" xfId="0" applyNumberFormat="1" applyFont="1" applyFill="1" applyBorder="1" applyAlignment="1">
      <alignment horizontal="center"/>
    </xf>
    <xf numFmtId="0" fontId="3" fillId="10" borderId="1" xfId="0" applyFont="1" applyFill="1" applyBorder="1"/>
    <xf numFmtId="0" fontId="3" fillId="10" borderId="4" xfId="0" applyFont="1" applyFill="1" applyBorder="1"/>
    <xf numFmtId="0" fontId="0" fillId="10" borderId="4" xfId="0" applyFill="1" applyBorder="1"/>
    <xf numFmtId="1" fontId="0" fillId="0" borderId="5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9" borderId="0" xfId="0" applyNumberFormat="1" applyFont="1" applyFill="1" applyAlignment="1">
      <alignment horizontal="center" vertical="center"/>
    </xf>
    <xf numFmtId="1" fontId="3" fillId="9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9" borderId="0" xfId="0" applyFill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" fontId="0" fillId="9" borderId="5" xfId="0" applyNumberFormat="1" applyFill="1" applyBorder="1" applyAlignment="1">
      <alignment horizontal="center" vertical="center"/>
    </xf>
    <xf numFmtId="0" fontId="3" fillId="10" borderId="6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atural-resources.canada.ca/our-natural-resources/minerals-mining/minerals-metals-facts/graphite-facts/24027" TargetMode="External"/><Relationship Id="rId1" Type="http://schemas.openxmlformats.org/officeDocument/2006/relationships/hyperlink" Target="https://worldsteel.org/steel-topics/statistics/world-steel-in-figures-2022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oneyexchangerate.org/currencyexchange/cny/usd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workbookViewId="0">
      <selection activeCell="B7" sqref="B7:H21"/>
    </sheetView>
  </sheetViews>
  <sheetFormatPr defaultRowHeight="14.5" x14ac:dyDescent="0.35"/>
  <cols>
    <col min="2" max="2" width="27.453125" customWidth="1"/>
    <col min="3" max="3" width="15.7265625" customWidth="1"/>
    <col min="4" max="4" width="14.7265625" customWidth="1"/>
    <col min="5" max="5" width="18" customWidth="1"/>
    <col min="6" max="6" width="16.453125" customWidth="1"/>
    <col min="7" max="7" width="5.81640625" customWidth="1"/>
    <col min="8" max="8" width="16.26953125" customWidth="1"/>
    <col min="9" max="9" width="11.81640625" customWidth="1"/>
    <col min="11" max="11" width="24.7265625" customWidth="1"/>
    <col min="13" max="13" width="13.7265625" customWidth="1"/>
  </cols>
  <sheetData>
    <row r="1" spans="1:14" ht="34" customHeight="1" x14ac:dyDescent="0.65">
      <c r="A1" s="2" t="s">
        <v>2</v>
      </c>
    </row>
    <row r="3" spans="1:14" ht="15.5" x14ac:dyDescent="0.35">
      <c r="A3" s="1" t="s">
        <v>0</v>
      </c>
    </row>
    <row r="4" spans="1:14" ht="15.5" x14ac:dyDescent="0.35">
      <c r="A4" s="1" t="s">
        <v>1</v>
      </c>
    </row>
    <row r="5" spans="1:14" x14ac:dyDescent="0.35">
      <c r="M5" s="4" t="s">
        <v>8</v>
      </c>
    </row>
    <row r="6" spans="1:14" x14ac:dyDescent="0.35">
      <c r="M6" s="5">
        <v>20000000</v>
      </c>
      <c r="N6" t="s">
        <v>13</v>
      </c>
    </row>
    <row r="7" spans="1:14" ht="26" x14ac:dyDescent="0.6">
      <c r="B7" s="27" t="s">
        <v>33</v>
      </c>
      <c r="C7" s="3"/>
      <c r="M7" s="5">
        <v>100000000</v>
      </c>
      <c r="N7" t="s">
        <v>14</v>
      </c>
    </row>
    <row r="8" spans="1:14" ht="6" customHeight="1" thickBot="1" x14ac:dyDescent="0.4">
      <c r="M8">
        <v>1000</v>
      </c>
      <c r="N8" t="s">
        <v>18</v>
      </c>
    </row>
    <row r="9" spans="1:14" ht="15" thickTop="1" x14ac:dyDescent="0.35">
      <c r="B9" s="13" t="s">
        <v>3</v>
      </c>
      <c r="C9" s="14" t="s">
        <v>34</v>
      </c>
      <c r="D9" s="14" t="s">
        <v>9</v>
      </c>
      <c r="E9" s="14" t="s">
        <v>7</v>
      </c>
      <c r="F9" s="14" t="s">
        <v>4</v>
      </c>
      <c r="G9" s="14" t="s">
        <v>27</v>
      </c>
      <c r="H9" s="15" t="s">
        <v>76</v>
      </c>
    </row>
    <row r="10" spans="1:14" x14ac:dyDescent="0.35">
      <c r="B10" s="16"/>
      <c r="C10" s="17" t="s">
        <v>10</v>
      </c>
      <c r="D10" s="17" t="s">
        <v>11</v>
      </c>
      <c r="E10" s="17" t="str">
        <f>D10</f>
        <v>in tons</v>
      </c>
      <c r="F10" s="17" t="str">
        <f>D10</f>
        <v>in tons</v>
      </c>
      <c r="G10" s="17" t="s">
        <v>26</v>
      </c>
      <c r="H10" s="18" t="s">
        <v>30</v>
      </c>
    </row>
    <row r="11" spans="1:14" x14ac:dyDescent="0.35">
      <c r="B11" s="19" t="s">
        <v>39</v>
      </c>
      <c r="C11" s="20">
        <v>100</v>
      </c>
      <c r="D11" s="5">
        <f>C11*$M$6/$M$8</f>
        <v>2000000</v>
      </c>
      <c r="E11" s="5">
        <f>D11*5</f>
        <v>10000000</v>
      </c>
      <c r="F11" s="5">
        <v>3300000</v>
      </c>
      <c r="G11">
        <v>2021</v>
      </c>
      <c r="H11" s="21">
        <f>E11/F11</f>
        <v>3.0303030303030303</v>
      </c>
    </row>
    <row r="12" spans="1:14" x14ac:dyDescent="0.35">
      <c r="B12" s="19" t="s">
        <v>91</v>
      </c>
      <c r="C12" s="20">
        <v>45</v>
      </c>
      <c r="D12" s="5">
        <f>C12*$M$6/$M$8</f>
        <v>900000</v>
      </c>
      <c r="E12" s="5">
        <f t="shared" ref="E12:E19" si="0">D12*5</f>
        <v>4500000</v>
      </c>
      <c r="F12" s="5">
        <v>2460000</v>
      </c>
      <c r="G12">
        <v>2019</v>
      </c>
      <c r="H12" s="21">
        <f t="shared" ref="H12:H19" si="1">E12/F12</f>
        <v>1.8292682926829269</v>
      </c>
    </row>
    <row r="13" spans="1:14" x14ac:dyDescent="0.35">
      <c r="B13" s="19" t="s">
        <v>65</v>
      </c>
      <c r="C13" s="20">
        <v>63</v>
      </c>
      <c r="D13" s="5">
        <f>C13*$M$6/$M$8</f>
        <v>1260000</v>
      </c>
      <c r="E13" s="5">
        <f t="shared" si="0"/>
        <v>6300000</v>
      </c>
      <c r="F13" s="5">
        <v>540000</v>
      </c>
      <c r="G13">
        <v>2021</v>
      </c>
      <c r="H13" s="21">
        <f t="shared" si="1"/>
        <v>11.666666666666666</v>
      </c>
    </row>
    <row r="14" spans="1:14" x14ac:dyDescent="0.35">
      <c r="B14" s="37" t="s">
        <v>6</v>
      </c>
      <c r="C14" s="38">
        <f t="shared" ref="C14:C18" si="2">$M$8*D14/$M$6</f>
        <v>91</v>
      </c>
      <c r="D14" s="39">
        <v>1820000</v>
      </c>
      <c r="E14" s="39">
        <f t="shared" si="0"/>
        <v>9100000</v>
      </c>
      <c r="F14" s="39">
        <v>21200000</v>
      </c>
      <c r="G14" s="40">
        <v>2021</v>
      </c>
      <c r="H14" s="41">
        <f t="shared" si="1"/>
        <v>0.42924528301886794</v>
      </c>
    </row>
    <row r="15" spans="1:14" x14ac:dyDescent="0.35">
      <c r="B15" s="19" t="s">
        <v>19</v>
      </c>
      <c r="C15" s="20">
        <f t="shared" si="2"/>
        <v>1.0405500000000001</v>
      </c>
      <c r="D15" s="5">
        <v>20811</v>
      </c>
      <c r="E15" s="5">
        <f t="shared" si="0"/>
        <v>104055</v>
      </c>
      <c r="F15" s="5">
        <v>19000000</v>
      </c>
      <c r="G15">
        <v>2019</v>
      </c>
      <c r="H15" s="21">
        <f t="shared" si="1"/>
        <v>5.4765789473684209E-3</v>
      </c>
    </row>
    <row r="16" spans="1:14" x14ac:dyDescent="0.35">
      <c r="B16" s="19" t="s">
        <v>20</v>
      </c>
      <c r="C16" s="20">
        <f t="shared" si="2"/>
        <v>3.4157500000000001</v>
      </c>
      <c r="D16" s="5">
        <v>68315</v>
      </c>
      <c r="E16" s="5">
        <f t="shared" si="0"/>
        <v>341575</v>
      </c>
      <c r="F16" s="5">
        <v>122000</v>
      </c>
      <c r="G16">
        <v>2019</v>
      </c>
      <c r="H16" s="21">
        <f t="shared" si="1"/>
        <v>2.7997950819672131</v>
      </c>
    </row>
    <row r="17" spans="2:8" x14ac:dyDescent="0.35">
      <c r="B17" s="19" t="s">
        <v>25</v>
      </c>
      <c r="C17" s="20">
        <f t="shared" si="2"/>
        <v>0.9</v>
      </c>
      <c r="D17" s="5">
        <v>18000</v>
      </c>
      <c r="E17" s="5">
        <f t="shared" si="0"/>
        <v>90000</v>
      </c>
      <c r="F17" s="5">
        <v>300000</v>
      </c>
      <c r="G17">
        <v>2019</v>
      </c>
      <c r="H17" s="21">
        <f t="shared" si="1"/>
        <v>0.3</v>
      </c>
    </row>
    <row r="18" spans="2:8" x14ac:dyDescent="0.35">
      <c r="B18" s="19" t="s">
        <v>21</v>
      </c>
      <c r="C18" s="20">
        <f t="shared" si="2"/>
        <v>169</v>
      </c>
      <c r="D18" s="5">
        <v>3380000</v>
      </c>
      <c r="E18" s="5">
        <f t="shared" si="0"/>
        <v>16900000</v>
      </c>
      <c r="F18" s="5">
        <v>64000000</v>
      </c>
      <c r="G18">
        <v>2019</v>
      </c>
      <c r="H18" s="21">
        <f t="shared" si="1"/>
        <v>0.26406249999999998</v>
      </c>
    </row>
    <row r="19" spans="2:8" x14ac:dyDescent="0.35">
      <c r="B19" s="19" t="s">
        <v>31</v>
      </c>
      <c r="C19" s="20">
        <v>1000</v>
      </c>
      <c r="D19" s="5">
        <f>C19*$M$6/$M$8</f>
        <v>20000000</v>
      </c>
      <c r="E19" s="5">
        <f t="shared" si="0"/>
        <v>100000000</v>
      </c>
      <c r="F19" s="5">
        <v>1951000000</v>
      </c>
      <c r="G19">
        <v>2021</v>
      </c>
      <c r="H19" s="21">
        <f t="shared" si="1"/>
        <v>5.1255766273705795E-2</v>
      </c>
    </row>
    <row r="20" spans="2:8" x14ac:dyDescent="0.35">
      <c r="B20" s="19" t="s">
        <v>22</v>
      </c>
      <c r="C20" s="20">
        <v>200</v>
      </c>
      <c r="D20" s="5">
        <f>C20*M6/M8</f>
        <v>4000000</v>
      </c>
      <c r="H20" s="22"/>
    </row>
    <row r="21" spans="2:8" ht="15" thickBot="1" x14ac:dyDescent="0.4">
      <c r="B21" s="23" t="s">
        <v>32</v>
      </c>
      <c r="C21" s="24">
        <f>SUM(C11:C20)</f>
        <v>1673.3562999999999</v>
      </c>
      <c r="D21" s="25"/>
      <c r="E21" s="25"/>
      <c r="F21" s="25"/>
      <c r="G21" s="25"/>
      <c r="H21" s="26"/>
    </row>
    <row r="22" spans="2:8" ht="15" thickTop="1" x14ac:dyDescent="0.35"/>
    <row r="23" spans="2:8" x14ac:dyDescent="0.35">
      <c r="B23" s="6" t="s">
        <v>15</v>
      </c>
      <c r="C23" s="7"/>
      <c r="D23" s="7"/>
      <c r="E23" s="7"/>
      <c r="F23" s="7"/>
      <c r="G23" s="7"/>
      <c r="H23" s="7"/>
    </row>
    <row r="25" spans="2:8" x14ac:dyDescent="0.35">
      <c r="B25" s="4" t="s">
        <v>3</v>
      </c>
      <c r="C25" s="4" t="s">
        <v>12</v>
      </c>
      <c r="D25" s="4" t="s">
        <v>9</v>
      </c>
      <c r="E25" s="4" t="s">
        <v>7</v>
      </c>
      <c r="F25" s="4" t="s">
        <v>4</v>
      </c>
      <c r="G25" s="4" t="s">
        <v>5</v>
      </c>
    </row>
    <row r="26" spans="2:8" x14ac:dyDescent="0.35">
      <c r="C26" t="s">
        <v>10</v>
      </c>
      <c r="D26" t="s">
        <v>11</v>
      </c>
      <c r="E26" t="str">
        <f>D26</f>
        <v>in tons</v>
      </c>
      <c r="F26" t="str">
        <f>D26</f>
        <v>in tons</v>
      </c>
    </row>
    <row r="27" spans="2:8" x14ac:dyDescent="0.35">
      <c r="B27" s="4" t="str">
        <f>B11</f>
        <v>Graphite (99.95% pure anode)</v>
      </c>
      <c r="C27" t="s">
        <v>35</v>
      </c>
      <c r="D27" t="s">
        <v>38</v>
      </c>
      <c r="E27" t="s">
        <v>17</v>
      </c>
      <c r="F27" s="10" t="s">
        <v>36</v>
      </c>
      <c r="G27" t="s">
        <v>37</v>
      </c>
    </row>
    <row r="28" spans="2:8" x14ac:dyDescent="0.35">
      <c r="B28" s="4" t="str">
        <f t="shared" ref="B28:B34" si="3">B12</f>
        <v>Nickel (tesla battery 78kWh)</v>
      </c>
      <c r="C28" t="s">
        <v>16</v>
      </c>
      <c r="D28" t="s">
        <v>17</v>
      </c>
      <c r="E28" t="s">
        <v>17</v>
      </c>
      <c r="F28" t="s">
        <v>16</v>
      </c>
      <c r="G28" t="s">
        <v>17</v>
      </c>
    </row>
    <row r="29" spans="2:8" x14ac:dyDescent="0.35">
      <c r="B29" s="4" t="str">
        <f t="shared" si="3"/>
        <v xml:space="preserve">Lithium carbonate or equivalent </v>
      </c>
      <c r="C29" t="s">
        <v>51</v>
      </c>
      <c r="D29" t="s">
        <v>17</v>
      </c>
      <c r="E29" t="s">
        <v>17</v>
      </c>
      <c r="F29" t="s">
        <v>49</v>
      </c>
      <c r="G29" t="s">
        <v>50</v>
      </c>
    </row>
    <row r="30" spans="2:8" x14ac:dyDescent="0.35">
      <c r="B30" s="4" t="str">
        <f t="shared" si="3"/>
        <v>Copper (battery, motor, wires)</v>
      </c>
      <c r="C30" t="s">
        <v>17</v>
      </c>
      <c r="D30" t="s">
        <v>16</v>
      </c>
      <c r="E30" t="s">
        <v>17</v>
      </c>
      <c r="F30" t="s">
        <v>28</v>
      </c>
      <c r="G30" t="s">
        <v>17</v>
      </c>
    </row>
    <row r="31" spans="2:8" x14ac:dyDescent="0.35">
      <c r="B31" s="4" t="str">
        <f t="shared" si="3"/>
        <v>Manganese (batteries)</v>
      </c>
      <c r="C31" t="s">
        <v>17</v>
      </c>
      <c r="D31" t="s">
        <v>16</v>
      </c>
      <c r="E31" t="s">
        <v>17</v>
      </c>
      <c r="F31" t="s">
        <v>16</v>
      </c>
      <c r="G31" t="s">
        <v>17</v>
      </c>
    </row>
    <row r="32" spans="2:8" x14ac:dyDescent="0.35">
      <c r="B32" s="4" t="str">
        <f t="shared" si="3"/>
        <v>Cobalt (batteries)</v>
      </c>
      <c r="C32" t="s">
        <v>17</v>
      </c>
      <c r="D32" t="s">
        <v>16</v>
      </c>
      <c r="E32" t="s">
        <v>17</v>
      </c>
      <c r="F32" t="s">
        <v>16</v>
      </c>
      <c r="G32" t="s">
        <v>17</v>
      </c>
    </row>
    <row r="33" spans="2:7" ht="15.5" x14ac:dyDescent="0.35">
      <c r="B33" s="4" t="str">
        <f t="shared" si="3"/>
        <v>Rare earth (fx Nd, Pr, Dy, Tb)</v>
      </c>
      <c r="C33" t="s">
        <v>17</v>
      </c>
      <c r="D33" t="s">
        <v>16</v>
      </c>
      <c r="E33" t="s">
        <v>17</v>
      </c>
      <c r="F33" s="8" t="s">
        <v>24</v>
      </c>
      <c r="G33" t="s">
        <v>17</v>
      </c>
    </row>
    <row r="34" spans="2:7" x14ac:dyDescent="0.35">
      <c r="B34" s="4" t="str">
        <f t="shared" si="3"/>
        <v>Aluminum (vehicle GM Volt))</v>
      </c>
      <c r="C34" t="s">
        <v>17</v>
      </c>
      <c r="D34" t="s">
        <v>16</v>
      </c>
      <c r="E34" t="s">
        <v>17</v>
      </c>
      <c r="F34" t="s">
        <v>16</v>
      </c>
      <c r="G34" t="s">
        <v>17</v>
      </c>
    </row>
    <row r="35" spans="2:7" x14ac:dyDescent="0.35">
      <c r="B35" s="4" t="s">
        <v>63</v>
      </c>
      <c r="C35" t="s">
        <v>23</v>
      </c>
      <c r="D35" t="s">
        <v>17</v>
      </c>
      <c r="E35" t="s">
        <v>17</v>
      </c>
      <c r="F35" s="10" t="s">
        <v>29</v>
      </c>
      <c r="G35" t="s">
        <v>17</v>
      </c>
    </row>
    <row r="36" spans="2:7" x14ac:dyDescent="0.35">
      <c r="B36" s="4" t="s">
        <v>22</v>
      </c>
      <c r="C36" t="s">
        <v>23</v>
      </c>
      <c r="D36" t="s">
        <v>17</v>
      </c>
      <c r="F36" t="s">
        <v>17</v>
      </c>
    </row>
    <row r="42" spans="2:7" x14ac:dyDescent="0.35">
      <c r="B42" t="s">
        <v>70</v>
      </c>
    </row>
    <row r="43" spans="2:7" x14ac:dyDescent="0.35">
      <c r="B43">
        <v>0.08</v>
      </c>
    </row>
    <row r="44" spans="2:7" x14ac:dyDescent="0.35">
      <c r="B44" t="s">
        <v>71</v>
      </c>
    </row>
    <row r="45" spans="2:7" x14ac:dyDescent="0.35">
      <c r="B45" t="s">
        <v>73</v>
      </c>
    </row>
    <row r="46" spans="2:7" x14ac:dyDescent="0.35">
      <c r="B46">
        <v>530</v>
      </c>
    </row>
    <row r="47" spans="2:7" x14ac:dyDescent="0.35">
      <c r="B47" t="s">
        <v>72</v>
      </c>
    </row>
    <row r="49" spans="2:3" x14ac:dyDescent="0.35">
      <c r="B49" t="s">
        <v>74</v>
      </c>
      <c r="C49">
        <f>B46*B43</f>
        <v>42.4</v>
      </c>
    </row>
    <row r="51" spans="2:3" x14ac:dyDescent="0.35">
      <c r="B51" t="s">
        <v>75</v>
      </c>
      <c r="C51">
        <f>90-C49-23</f>
        <v>24.6</v>
      </c>
    </row>
  </sheetData>
  <phoneticPr fontId="5" type="noConversion"/>
  <hyperlinks>
    <hyperlink ref="F35" r:id="rId1" xr:uid="{0D27EFBF-958B-4066-9BAE-8886F7B0858D}"/>
    <hyperlink ref="F27" r:id="rId2" xr:uid="{D1072F87-D3D1-46B9-BF90-6850E64AF18D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workbookViewId="0">
      <selection activeCell="B7" sqref="B7:G21"/>
    </sheetView>
  </sheetViews>
  <sheetFormatPr defaultRowHeight="14.5" x14ac:dyDescent="0.35"/>
  <cols>
    <col min="2" max="2" width="28.54296875" customWidth="1"/>
    <col min="3" max="3" width="15.1796875" customWidth="1"/>
    <col min="4" max="4" width="14.1796875" customWidth="1"/>
    <col min="5" max="5" width="11" customWidth="1"/>
    <col min="6" max="6" width="17.81640625" customWidth="1"/>
    <col min="7" max="7" width="10.1796875" customWidth="1"/>
    <col min="8" max="8" width="19.54296875" customWidth="1"/>
    <col min="13" max="13" width="14.54296875" customWidth="1"/>
  </cols>
  <sheetData>
    <row r="1" spans="1:14" ht="28.5" x14ac:dyDescent="0.65">
      <c r="A1" s="2" t="str">
        <f>Sheet1!A1</f>
        <v>How Tesla’s next generation vehicles may nearly cut the need for copper in half #18</v>
      </c>
    </row>
    <row r="3" spans="1:14" ht="15.5" x14ac:dyDescent="0.35">
      <c r="A3" s="1" t="str">
        <f>Sheet1!A3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14" ht="15.5" x14ac:dyDescent="0.35">
      <c r="A4" s="1" t="str">
        <f>Sheet1!A4</f>
        <v>Sources to all information used in this spreadsheet can also be found in associated PowerPoint presentation located also at www.hmexperience.dk</v>
      </c>
    </row>
    <row r="5" spans="1:14" x14ac:dyDescent="0.35">
      <c r="M5" s="4" t="s">
        <v>8</v>
      </c>
    </row>
    <row r="6" spans="1:14" x14ac:dyDescent="0.35">
      <c r="M6" s="5">
        <v>20000000</v>
      </c>
      <c r="N6" t="s">
        <v>13</v>
      </c>
    </row>
    <row r="7" spans="1:14" ht="25.5" customHeight="1" x14ac:dyDescent="0.6">
      <c r="B7" s="12" t="s">
        <v>40</v>
      </c>
      <c r="C7" s="3"/>
      <c r="M7" s="5">
        <v>100000000</v>
      </c>
      <c r="N7" t="s">
        <v>14</v>
      </c>
    </row>
    <row r="8" spans="1:14" ht="5.5" customHeight="1" thickBot="1" x14ac:dyDescent="0.4">
      <c r="M8">
        <v>1000</v>
      </c>
      <c r="N8" t="s">
        <v>18</v>
      </c>
    </row>
    <row r="9" spans="1:14" ht="15" thickTop="1" x14ac:dyDescent="0.35">
      <c r="B9" s="28" t="s">
        <v>3</v>
      </c>
      <c r="C9" s="29" t="s">
        <v>34</v>
      </c>
      <c r="D9" s="29" t="s">
        <v>9</v>
      </c>
      <c r="E9" s="29" t="s">
        <v>47</v>
      </c>
      <c r="F9" s="29" t="s">
        <v>43</v>
      </c>
      <c r="G9" s="30" t="s">
        <v>44</v>
      </c>
      <c r="H9" s="4"/>
      <c r="I9" s="11" t="s">
        <v>67</v>
      </c>
      <c r="M9">
        <v>2.2000000000000002</v>
      </c>
      <c r="N9" t="s">
        <v>53</v>
      </c>
    </row>
    <row r="10" spans="1:14" x14ac:dyDescent="0.35">
      <c r="B10" s="31"/>
      <c r="C10" s="32" t="s">
        <v>10</v>
      </c>
      <c r="D10" s="32" t="s">
        <v>11</v>
      </c>
      <c r="E10" s="11" t="s">
        <v>48</v>
      </c>
      <c r="F10" s="11" t="s">
        <v>42</v>
      </c>
      <c r="G10" s="33" t="s">
        <v>45</v>
      </c>
      <c r="H10" s="4"/>
      <c r="I10" s="11" t="s">
        <v>68</v>
      </c>
      <c r="M10" t="s">
        <v>54</v>
      </c>
      <c r="N10" s="10" t="s">
        <v>55</v>
      </c>
    </row>
    <row r="11" spans="1:14" x14ac:dyDescent="0.35">
      <c r="B11" s="19" t="str">
        <f>Sheet1!B11</f>
        <v>Graphite (99.95% pure anode)</v>
      </c>
      <c r="C11" s="20">
        <f>Sheet1!C11</f>
        <v>100</v>
      </c>
      <c r="D11" s="5">
        <f>Sheet1!D11</f>
        <v>2000000</v>
      </c>
      <c r="E11" s="34">
        <f>1500/M8</f>
        <v>1.5</v>
      </c>
      <c r="F11" s="34">
        <f t="shared" ref="F11:F20" si="0">E11*C11</f>
        <v>150</v>
      </c>
      <c r="G11" s="35">
        <v>45010</v>
      </c>
      <c r="H11" s="9"/>
      <c r="M11">
        <v>0.14560100000000001</v>
      </c>
    </row>
    <row r="12" spans="1:14" x14ac:dyDescent="0.35">
      <c r="B12" s="19" t="str">
        <f>Sheet1!B12</f>
        <v>Nickel (tesla battery 78kWh)</v>
      </c>
      <c r="C12" s="20">
        <f>Sheet1!C12</f>
        <v>45</v>
      </c>
      <c r="D12" s="5">
        <f>Sheet1!D12</f>
        <v>900000</v>
      </c>
      <c r="E12" s="34">
        <f>23300/M8</f>
        <v>23.3</v>
      </c>
      <c r="F12" s="34">
        <f t="shared" si="0"/>
        <v>1048.5</v>
      </c>
      <c r="G12" s="35">
        <v>45010</v>
      </c>
      <c r="H12" s="9"/>
    </row>
    <row r="13" spans="1:14" x14ac:dyDescent="0.35">
      <c r="B13" s="19" t="str">
        <f>Sheet1!B13</f>
        <v xml:space="preserve">Lithium carbonate or equivalent </v>
      </c>
      <c r="C13" s="20">
        <f>Sheet1!C13</f>
        <v>63</v>
      </c>
      <c r="D13" s="5">
        <f>Sheet1!D13</f>
        <v>1260000</v>
      </c>
      <c r="E13" s="34">
        <f>I13*$M$11/$M$8</f>
        <v>40.2586765</v>
      </c>
      <c r="F13" s="34">
        <f t="shared" si="0"/>
        <v>2536.2966194999999</v>
      </c>
      <c r="G13" s="35">
        <v>45010</v>
      </c>
      <c r="H13" s="9"/>
      <c r="I13">
        <v>276500</v>
      </c>
    </row>
    <row r="14" spans="1:14" x14ac:dyDescent="0.35">
      <c r="B14" s="37" t="str">
        <f>Sheet1!B14</f>
        <v>Copper (battery, motor, wires)</v>
      </c>
      <c r="C14" s="38">
        <f>Sheet1!C14</f>
        <v>91</v>
      </c>
      <c r="D14" s="39">
        <f>Sheet1!D14</f>
        <v>1820000</v>
      </c>
      <c r="E14" s="42">
        <f>4.1*M9</f>
        <v>9.02</v>
      </c>
      <c r="F14" s="42">
        <f t="shared" si="0"/>
        <v>820.81999999999994</v>
      </c>
      <c r="G14" s="43">
        <v>45010</v>
      </c>
      <c r="H14" s="9"/>
    </row>
    <row r="15" spans="1:14" x14ac:dyDescent="0.35">
      <c r="B15" s="19" t="str">
        <f>Sheet1!B15</f>
        <v>Manganese (batteries)</v>
      </c>
      <c r="C15" s="20">
        <f>Sheet1!C15</f>
        <v>1.0405500000000001</v>
      </c>
      <c r="D15" s="5">
        <f>Sheet1!D15</f>
        <v>20811</v>
      </c>
      <c r="E15" s="34">
        <f>I15*$M$11/$M$8</f>
        <v>4.7320324999999999</v>
      </c>
      <c r="F15" s="34">
        <f t="shared" si="0"/>
        <v>4.9239164178750006</v>
      </c>
      <c r="G15" s="35">
        <v>45010</v>
      </c>
      <c r="H15" s="9"/>
      <c r="I15">
        <v>32500</v>
      </c>
    </row>
    <row r="16" spans="1:14" x14ac:dyDescent="0.35">
      <c r="B16" s="19" t="str">
        <f>Sheet1!B16</f>
        <v>Cobalt (batteries)</v>
      </c>
      <c r="C16" s="20">
        <f>Sheet1!C16</f>
        <v>3.4157500000000001</v>
      </c>
      <c r="D16" s="5">
        <f>Sheet1!D16</f>
        <v>68315</v>
      </c>
      <c r="E16" s="34">
        <f>34180/M8</f>
        <v>34.18</v>
      </c>
      <c r="F16" s="34">
        <f t="shared" si="0"/>
        <v>116.75033500000001</v>
      </c>
      <c r="G16" s="35">
        <v>45010</v>
      </c>
      <c r="H16" s="9"/>
    </row>
    <row r="17" spans="2:9" x14ac:dyDescent="0.35">
      <c r="B17" s="19" t="str">
        <f>Sheet1!B17</f>
        <v>Rare earth (fx Nd, Pr, Dy, Tb)</v>
      </c>
      <c r="C17" s="20">
        <f>Sheet1!C17</f>
        <v>0.9</v>
      </c>
      <c r="D17" s="5">
        <f>Sheet1!D17</f>
        <v>18000</v>
      </c>
      <c r="E17" s="34">
        <f>I17*$M$11/$M$8</f>
        <v>103.37671</v>
      </c>
      <c r="F17" s="34">
        <f t="shared" si="0"/>
        <v>93.039039000000002</v>
      </c>
      <c r="G17" s="35">
        <v>45010</v>
      </c>
      <c r="H17" s="9"/>
      <c r="I17">
        <v>710000</v>
      </c>
    </row>
    <row r="18" spans="2:9" x14ac:dyDescent="0.35">
      <c r="B18" s="19" t="str">
        <f>Sheet1!B18</f>
        <v>Aluminum (vehicle GM Volt))</v>
      </c>
      <c r="C18" s="20">
        <f>Sheet1!C18</f>
        <v>169</v>
      </c>
      <c r="D18" s="5">
        <f>Sheet1!D18</f>
        <v>3380000</v>
      </c>
      <c r="E18" s="34">
        <f>2348/M8</f>
        <v>2.3479999999999999</v>
      </c>
      <c r="F18" s="34">
        <f t="shared" si="0"/>
        <v>396.81199999999995</v>
      </c>
      <c r="G18" s="35">
        <v>45010</v>
      </c>
      <c r="H18" s="9"/>
    </row>
    <row r="19" spans="2:9" x14ac:dyDescent="0.35">
      <c r="B19" s="19" t="str">
        <f>Sheet1!B19</f>
        <v>Crude steel (98% Fe/Iron)</v>
      </c>
      <c r="C19" s="20">
        <f>Sheet1!C19</f>
        <v>1000</v>
      </c>
      <c r="D19" s="5">
        <f>Sheet1!D19</f>
        <v>20000000</v>
      </c>
      <c r="E19" s="34">
        <f>I19*$M$11/$M$8</f>
        <v>0.59478008500000001</v>
      </c>
      <c r="F19" s="34">
        <f t="shared" si="0"/>
        <v>594.78008499999999</v>
      </c>
      <c r="G19" s="35">
        <v>45010</v>
      </c>
      <c r="H19" s="9"/>
      <c r="I19">
        <v>4085</v>
      </c>
    </row>
    <row r="20" spans="2:9" x14ac:dyDescent="0.35">
      <c r="B20" s="19" t="str">
        <f>Sheet1!B20</f>
        <v>Other textile and plastic</v>
      </c>
      <c r="C20" s="20">
        <f>Sheet1!C20</f>
        <v>200</v>
      </c>
      <c r="D20" s="5">
        <f>Sheet1!D20</f>
        <v>4000000</v>
      </c>
      <c r="E20" s="34">
        <v>4</v>
      </c>
      <c r="F20" s="34">
        <f t="shared" si="0"/>
        <v>800</v>
      </c>
      <c r="G20" s="35">
        <v>45010</v>
      </c>
    </row>
    <row r="21" spans="2:9" ht="15" thickBot="1" x14ac:dyDescent="0.4">
      <c r="B21" s="23" t="str">
        <f>Sheet1!B21</f>
        <v>Total vehicle weight</v>
      </c>
      <c r="C21" s="24">
        <f>SUM(C11:C20)</f>
        <v>1673.3562999999999</v>
      </c>
      <c r="D21" s="25"/>
      <c r="E21" s="36" t="s">
        <v>66</v>
      </c>
      <c r="F21" s="36">
        <f>SUM(F11:F20)</f>
        <v>6561.9219949178751</v>
      </c>
      <c r="G21" s="26"/>
    </row>
    <row r="22" spans="2:9" ht="15" thickTop="1" x14ac:dyDescent="0.35"/>
    <row r="23" spans="2:9" x14ac:dyDescent="0.35">
      <c r="B23" s="6" t="str">
        <f>Sheet1!B23</f>
        <v>Sources and attribution</v>
      </c>
      <c r="C23" s="6"/>
      <c r="D23" s="6"/>
      <c r="E23" s="6"/>
      <c r="F23" s="7"/>
      <c r="G23" s="7"/>
    </row>
    <row r="25" spans="2:9" x14ac:dyDescent="0.35">
      <c r="B25" s="4" t="str">
        <f>Sheet1!B25</f>
        <v>Material type</v>
      </c>
      <c r="C25" s="4" t="str">
        <f>Sheet1!C25</f>
        <v xml:space="preserve">1 average BEV </v>
      </c>
      <c r="D25" s="4" t="str">
        <f>Sheet1!D25</f>
        <v xml:space="preserve">Tesla 20M BEVs </v>
      </c>
      <c r="E25" s="4" t="s">
        <v>41</v>
      </c>
      <c r="F25" s="4" t="s">
        <v>43</v>
      </c>
      <c r="G25" s="4" t="s">
        <v>44</v>
      </c>
    </row>
    <row r="26" spans="2:9" x14ac:dyDescent="0.35">
      <c r="B26" s="4"/>
      <c r="C26" s="4" t="str">
        <f>Sheet1!C26</f>
        <v>in kg per vehicle</v>
      </c>
      <c r="D26" s="4" t="str">
        <f>Sheet1!D26</f>
        <v>in tons</v>
      </c>
      <c r="F26" s="4" t="s">
        <v>42</v>
      </c>
      <c r="G26" t="s">
        <v>45</v>
      </c>
    </row>
    <row r="27" spans="2:9" x14ac:dyDescent="0.35">
      <c r="B27" s="4" t="str">
        <f>Sheet1!B27</f>
        <v>Graphite (99.95% pure anode)</v>
      </c>
      <c r="C27" t="str">
        <f>Sheet1!C27</f>
        <v>https://www.mining.com/web/graphite-deficit-starting-this-year-as-demand-for-ev-battery-anode-ingredient-exceeds-supply/#:~:text=Graphite%20is%20thus%20considered%20indispensable,containing%2020%2D30%25%20graphite.</v>
      </c>
      <c r="D27" t="str">
        <f>Sheet1!D27</f>
        <v>Note: A BEV use about 90 kg of purified graphite that actually require 10% more material to make so about 100 kg needed for 1 BEV</v>
      </c>
      <c r="E27" t="s">
        <v>69</v>
      </c>
      <c r="F27" t="s">
        <v>17</v>
      </c>
    </row>
    <row r="28" spans="2:9" x14ac:dyDescent="0.35">
      <c r="B28" s="4" t="str">
        <f>Sheet1!B28</f>
        <v>Nickel (tesla battery 78kWh)</v>
      </c>
      <c r="C28" t="str">
        <f>Sheet1!C28</f>
        <v>https://www.mining.com/all-the-mines-tesla-needs-to-build-20-million-cars-a-year/</v>
      </c>
      <c r="D28" t="str">
        <f>Sheet1!D28</f>
        <v>-</v>
      </c>
      <c r="E28" t="s">
        <v>46</v>
      </c>
      <c r="F28" t="s">
        <v>17</v>
      </c>
    </row>
    <row r="29" spans="2:9" x14ac:dyDescent="0.35">
      <c r="B29" s="4" t="str">
        <f>Sheet1!B29</f>
        <v xml:space="preserve">Lithium carbonate or equivalent </v>
      </c>
      <c r="C29" t="str">
        <f>Sheet1!C29</f>
        <v>https://www.quora.com/How-much-lithium-in-kg-is-used-in-an-electric-car</v>
      </c>
      <c r="D29" t="str">
        <f>Sheet1!D29</f>
        <v>-</v>
      </c>
      <c r="E29" t="s">
        <v>52</v>
      </c>
      <c r="F29" t="s">
        <v>17</v>
      </c>
    </row>
    <row r="30" spans="2:9" x14ac:dyDescent="0.35">
      <c r="B30" s="4" t="str">
        <f>Sheet1!B30</f>
        <v>Copper (battery, motor, wires)</v>
      </c>
      <c r="C30" t="str">
        <f>Sheet1!C30</f>
        <v>-</v>
      </c>
      <c r="D30" t="str">
        <f>Sheet1!D30</f>
        <v>https://www.mining.com/all-the-mines-tesla-needs-to-build-20-million-cars-a-year/</v>
      </c>
      <c r="E30" t="s">
        <v>57</v>
      </c>
      <c r="F30" t="s">
        <v>17</v>
      </c>
    </row>
    <row r="31" spans="2:9" x14ac:dyDescent="0.35">
      <c r="B31" s="4" t="str">
        <f>Sheet1!B31</f>
        <v>Manganese (batteries)</v>
      </c>
      <c r="C31" t="str">
        <f>Sheet1!C31</f>
        <v>-</v>
      </c>
      <c r="D31" t="str">
        <f>Sheet1!D31</f>
        <v>https://www.mining.com/all-the-mines-tesla-needs-to-build-20-million-cars-a-year/</v>
      </c>
      <c r="E31" t="s">
        <v>58</v>
      </c>
      <c r="F31" t="s">
        <v>17</v>
      </c>
    </row>
    <row r="32" spans="2:9" x14ac:dyDescent="0.35">
      <c r="B32" s="4" t="str">
        <f>Sheet1!B32</f>
        <v>Cobalt (batteries)</v>
      </c>
      <c r="C32" t="str">
        <f>Sheet1!C32</f>
        <v>-</v>
      </c>
      <c r="D32" t="str">
        <f>Sheet1!D32</f>
        <v>https://www.mining.com/all-the-mines-tesla-needs-to-build-20-million-cars-a-year/</v>
      </c>
      <c r="E32" t="s">
        <v>56</v>
      </c>
      <c r="F32" t="s">
        <v>17</v>
      </c>
    </row>
    <row r="33" spans="2:6" x14ac:dyDescent="0.35">
      <c r="B33" s="4" t="str">
        <f>Sheet1!B33</f>
        <v>Rare earth (fx Nd, Pr, Dy, Tb)</v>
      </c>
      <c r="C33" t="str">
        <f>Sheet1!C33</f>
        <v>-</v>
      </c>
      <c r="D33" t="str">
        <f>Sheet1!D33</f>
        <v>https://www.mining.com/all-the-mines-tesla-needs-to-build-20-million-cars-a-year/</v>
      </c>
      <c r="E33" t="s">
        <v>59</v>
      </c>
      <c r="F33" t="s">
        <v>60</v>
      </c>
    </row>
    <row r="34" spans="2:6" x14ac:dyDescent="0.35">
      <c r="B34" s="4" t="str">
        <f>Sheet1!B34</f>
        <v>Aluminum (vehicle GM Volt))</v>
      </c>
      <c r="C34" t="str">
        <f>Sheet1!C34</f>
        <v>-</v>
      </c>
      <c r="D34" t="str">
        <f>Sheet1!D34</f>
        <v>https://www.mining.com/all-the-mines-tesla-needs-to-build-20-million-cars-a-year/</v>
      </c>
      <c r="E34" t="s">
        <v>61</v>
      </c>
      <c r="F34" t="s">
        <v>17</v>
      </c>
    </row>
    <row r="35" spans="2:6" x14ac:dyDescent="0.35">
      <c r="B35" s="4" t="str">
        <f>Sheet1!B35</f>
        <v>Crude steel https://kdmfab.com/mild-steel-vs-stainless-steel/</v>
      </c>
      <c r="C35" t="str">
        <f>Sheet1!C35</f>
        <v>My own estimate</v>
      </c>
      <c r="D35" t="str">
        <f>Sheet1!D35</f>
        <v>-</v>
      </c>
      <c r="E35" t="s">
        <v>62</v>
      </c>
      <c r="F35" t="s">
        <v>17</v>
      </c>
    </row>
    <row r="36" spans="2:6" x14ac:dyDescent="0.35">
      <c r="B36" s="4" t="str">
        <f>Sheet1!B36</f>
        <v>Other textile and plastic</v>
      </c>
      <c r="C36" t="str">
        <f>Sheet1!C36</f>
        <v>My own estimate</v>
      </c>
      <c r="D36" t="str">
        <f>Sheet1!D36</f>
        <v>-</v>
      </c>
      <c r="E36" t="s">
        <v>64</v>
      </c>
      <c r="F36" t="s">
        <v>17</v>
      </c>
    </row>
  </sheetData>
  <hyperlinks>
    <hyperlink ref="N10" r:id="rId1" xr:uid="{F2DB019C-C5B0-47E1-B2FC-FE95179BB327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tabSelected="1" workbookViewId="0">
      <selection activeCell="H6" sqref="H6"/>
    </sheetView>
  </sheetViews>
  <sheetFormatPr defaultRowHeight="14.5" x14ac:dyDescent="0.35"/>
  <cols>
    <col min="2" max="2" width="23.6328125" customWidth="1"/>
    <col min="3" max="3" width="24.08984375" customWidth="1"/>
    <col min="4" max="4" width="25.08984375" customWidth="1"/>
    <col min="5" max="5" width="23.54296875" customWidth="1"/>
    <col min="6" max="6" width="25.08984375" customWidth="1"/>
    <col min="7" max="7" width="25.6328125" customWidth="1"/>
  </cols>
  <sheetData>
    <row r="1" spans="1:9" ht="28.5" x14ac:dyDescent="0.65">
      <c r="A1" s="2" t="str">
        <f>Sheet1!A1</f>
        <v>How Tesla’s next generation vehicles may nearly cut the need for copper in half #18</v>
      </c>
    </row>
    <row r="3" spans="1:9" ht="15.5" x14ac:dyDescent="0.35">
      <c r="A3" s="1" t="str">
        <f>Sheet1!A3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9" ht="15.5" x14ac:dyDescent="0.35">
      <c r="A4" s="1" t="str">
        <f>Sheet1!A4</f>
        <v>Sources to all information used in this spreadsheet can also be found in associated PowerPoint presentation located also at www.hmexperience.dk</v>
      </c>
    </row>
    <row r="6" spans="1:9" ht="21" x14ac:dyDescent="0.5">
      <c r="B6" s="12" t="s">
        <v>77</v>
      </c>
    </row>
    <row r="7" spans="1:9" ht="7.5" customHeight="1" thickBot="1" x14ac:dyDescent="0.4"/>
    <row r="8" spans="1:9" ht="15" thickTop="1" x14ac:dyDescent="0.35">
      <c r="B8" s="55" t="s">
        <v>78</v>
      </c>
      <c r="C8" s="44" t="s">
        <v>81</v>
      </c>
      <c r="D8" s="44"/>
      <c r="E8" s="45" t="s">
        <v>80</v>
      </c>
      <c r="F8" s="46"/>
    </row>
    <row r="9" spans="1:9" x14ac:dyDescent="0.35">
      <c r="B9" s="56" t="s">
        <v>79</v>
      </c>
      <c r="C9" s="4" t="s">
        <v>82</v>
      </c>
      <c r="D9" s="4" t="s">
        <v>83</v>
      </c>
      <c r="E9" s="4" t="s">
        <v>82</v>
      </c>
      <c r="F9" s="47" t="s">
        <v>83</v>
      </c>
    </row>
    <row r="10" spans="1:9" x14ac:dyDescent="0.35">
      <c r="B10" s="57"/>
      <c r="F10" s="22"/>
    </row>
    <row r="11" spans="1:9" x14ac:dyDescent="0.35">
      <c r="B11" s="56" t="s">
        <v>88</v>
      </c>
      <c r="C11" s="64">
        <v>23</v>
      </c>
      <c r="D11" s="64">
        <v>3</v>
      </c>
      <c r="E11" s="64">
        <v>23</v>
      </c>
      <c r="F11" s="65">
        <v>3</v>
      </c>
    </row>
    <row r="12" spans="1:9" x14ac:dyDescent="0.35">
      <c r="B12" s="56" t="s">
        <v>84</v>
      </c>
      <c r="C12" s="64" t="s">
        <v>92</v>
      </c>
      <c r="D12" s="64" t="s">
        <v>93</v>
      </c>
      <c r="E12" s="64" t="s">
        <v>92</v>
      </c>
      <c r="F12" s="65" t="s">
        <v>93</v>
      </c>
      <c r="H12">
        <v>900</v>
      </c>
      <c r="I12" s="62" t="s">
        <v>99</v>
      </c>
    </row>
    <row r="13" spans="1:9" x14ac:dyDescent="0.35">
      <c r="B13" s="56" t="s">
        <v>89</v>
      </c>
      <c r="C13" s="48">
        <v>25</v>
      </c>
      <c r="D13" s="59">
        <f>C13*(1-H15)</f>
        <v>11.111111111111111</v>
      </c>
      <c r="E13" s="48">
        <v>25</v>
      </c>
      <c r="F13" s="58">
        <f>D13</f>
        <v>11.111111111111111</v>
      </c>
      <c r="H13">
        <v>400</v>
      </c>
      <c r="I13" t="s">
        <v>99</v>
      </c>
    </row>
    <row r="14" spans="1:9" x14ac:dyDescent="0.35">
      <c r="B14" s="56" t="s">
        <v>85</v>
      </c>
      <c r="C14" s="48" t="s">
        <v>97</v>
      </c>
      <c r="D14" s="48" t="s">
        <v>94</v>
      </c>
      <c r="E14" s="48" t="s">
        <v>97</v>
      </c>
      <c r="F14" s="49" t="s">
        <v>94</v>
      </c>
      <c r="H14" s="63" t="s">
        <v>100</v>
      </c>
    </row>
    <row r="15" spans="1:9" x14ac:dyDescent="0.35">
      <c r="B15" s="56" t="s">
        <v>95</v>
      </c>
      <c r="C15" s="64" t="s">
        <v>17</v>
      </c>
      <c r="D15" s="64" t="s">
        <v>17</v>
      </c>
      <c r="E15" s="64">
        <v>40</v>
      </c>
      <c r="F15" s="66">
        <f>D13</f>
        <v>11.111111111111111</v>
      </c>
      <c r="H15" s="9">
        <f>1-H13/H12</f>
        <v>0.55555555555555558</v>
      </c>
    </row>
    <row r="16" spans="1:9" x14ac:dyDescent="0.35">
      <c r="B16" s="56" t="s">
        <v>86</v>
      </c>
      <c r="C16" s="64" t="s">
        <v>17</v>
      </c>
      <c r="D16" s="64" t="s">
        <v>17</v>
      </c>
      <c r="E16" s="64" t="s">
        <v>98</v>
      </c>
      <c r="F16" s="65" t="s">
        <v>94</v>
      </c>
    </row>
    <row r="17" spans="2:6" x14ac:dyDescent="0.35">
      <c r="B17" s="56" t="s">
        <v>96</v>
      </c>
      <c r="C17" s="48">
        <v>42</v>
      </c>
      <c r="D17" s="48">
        <v>42</v>
      </c>
      <c r="E17" s="48">
        <v>42</v>
      </c>
      <c r="F17" s="49">
        <v>42</v>
      </c>
    </row>
    <row r="18" spans="2:6" x14ac:dyDescent="0.35">
      <c r="B18" s="56" t="s">
        <v>90</v>
      </c>
      <c r="C18" s="50">
        <f>C11+C13+C17</f>
        <v>90</v>
      </c>
      <c r="D18" s="60">
        <f>D11+D13+D17</f>
        <v>56.111111111111114</v>
      </c>
      <c r="E18" s="50">
        <f>E11+E13+E15+E17</f>
        <v>130</v>
      </c>
      <c r="F18" s="61">
        <f>F11+F13+F15+F17</f>
        <v>67.222222222222229</v>
      </c>
    </row>
    <row r="19" spans="2:6" ht="15" thickBot="1" x14ac:dyDescent="0.4">
      <c r="B19" s="67" t="s">
        <v>87</v>
      </c>
      <c r="C19" s="51"/>
      <c r="D19" s="52">
        <f>(C18-D18)/C18</f>
        <v>0.37654320987654316</v>
      </c>
      <c r="E19" s="53"/>
      <c r="F19" s="54">
        <f>(E18-F18)/E18</f>
        <v>0.48290598290598286</v>
      </c>
    </row>
    <row r="20" spans="2:6" ht="15" thickTop="1" x14ac:dyDescent="0.3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CostOfRawMaterialsToMakeBEV</vt:lpstr>
      <vt:lpstr>TotalCopperSavings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2023-03-27T16:59:12Z</dcterms:modified>
</cp:coreProperties>
</file>