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9B98ADF-C98F-4C78-94B4-C850AD357CA2}" xr6:coauthVersionLast="47" xr6:coauthVersionMax="47" xr10:uidLastSave="{00000000-0000-0000-0000-000000000000}"/>
  <bookViews>
    <workbookView xWindow="39260" yWindow="2040" windowWidth="28800" windowHeight="17760" activeTab="5" xr2:uid="{00000000-000D-0000-FFFF-FFFF00000000}"/>
  </bookViews>
  <sheets>
    <sheet name="RawMaterialsForBEV" sheetId="1" r:id="rId1"/>
    <sheet name="CostOfRawMaterialsToMakeBEV" sheetId="2" r:id="rId2"/>
    <sheet name="TotalCopperSavings" sheetId="3" r:id="rId3"/>
    <sheet name="GrowthLithium" sheetId="4" r:id="rId4"/>
    <sheet name="LithiumReserves" sheetId="5" r:id="rId5"/>
    <sheet name="RawMaterialProcessin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6" l="1"/>
  <c r="I28" i="6"/>
  <c r="I29" i="6" s="1"/>
  <c r="I27" i="6"/>
  <c r="I26" i="6"/>
  <c r="I22" i="6"/>
  <c r="I23" i="6" s="1"/>
  <c r="I20" i="6"/>
  <c r="I21" i="6" s="1"/>
  <c r="I18" i="6"/>
  <c r="I19" i="6" s="1"/>
  <c r="I17" i="6"/>
  <c r="I16" i="6"/>
  <c r="I15" i="6"/>
  <c r="I12" i="6"/>
  <c r="P53" i="6"/>
  <c r="P57" i="6" s="1"/>
  <c r="P59" i="6" s="1"/>
  <c r="F32" i="6" s="1"/>
  <c r="H32" i="6" s="1"/>
  <c r="P51" i="6"/>
  <c r="Q48" i="6"/>
  <c r="C32" i="6"/>
  <c r="S38" i="6"/>
  <c r="B59" i="6"/>
  <c r="F31" i="6"/>
  <c r="H31" i="6" s="1"/>
  <c r="F30" i="6"/>
  <c r="H30" i="6" s="1"/>
  <c r="B58" i="6"/>
  <c r="B57" i="6"/>
  <c r="B54" i="6"/>
  <c r="B50" i="6"/>
  <c r="B43" i="6"/>
  <c r="B31" i="1"/>
  <c r="B31" i="2" s="1"/>
  <c r="B48" i="6"/>
  <c r="F39" i="6"/>
  <c r="C39" i="6"/>
  <c r="D39" i="6"/>
  <c r="C40" i="6"/>
  <c r="C41" i="6"/>
  <c r="C44" i="6"/>
  <c r="C45" i="6"/>
  <c r="C55" i="6"/>
  <c r="B37" i="6"/>
  <c r="B39" i="6"/>
  <c r="B41" i="6"/>
  <c r="B42" i="6"/>
  <c r="B44" i="6"/>
  <c r="B55" i="6"/>
  <c r="G10" i="6"/>
  <c r="G11" i="6"/>
  <c r="G12" i="6"/>
  <c r="G15" i="6"/>
  <c r="G17" i="6"/>
  <c r="G18" i="6"/>
  <c r="G20" i="6"/>
  <c r="G22" i="6"/>
  <c r="G24" i="6"/>
  <c r="G25" i="6"/>
  <c r="G26" i="6"/>
  <c r="G28" i="6"/>
  <c r="F26" i="6"/>
  <c r="D10" i="6"/>
  <c r="D11" i="6"/>
  <c r="D12" i="6"/>
  <c r="D14" i="6" s="1"/>
  <c r="D15" i="6"/>
  <c r="D16" i="6" s="1"/>
  <c r="D17" i="6"/>
  <c r="D18" i="6"/>
  <c r="D19" i="6" s="1"/>
  <c r="D20" i="6"/>
  <c r="D21" i="6" s="1"/>
  <c r="D22" i="6"/>
  <c r="D23" i="6" s="1"/>
  <c r="D24" i="6"/>
  <c r="D25" i="6"/>
  <c r="D26" i="6"/>
  <c r="D28" i="6"/>
  <c r="C12" i="6"/>
  <c r="C15" i="6"/>
  <c r="C16" i="6" s="1"/>
  <c r="C17" i="6"/>
  <c r="C18" i="6"/>
  <c r="C19" i="6" s="1"/>
  <c r="C20" i="6"/>
  <c r="C21" i="6" s="1"/>
  <c r="C22" i="6"/>
  <c r="C23" i="6" s="1"/>
  <c r="C24" i="6"/>
  <c r="C25" i="6"/>
  <c r="C26" i="6"/>
  <c r="P25" i="6" s="1"/>
  <c r="C28" i="6"/>
  <c r="A1" i="6"/>
  <c r="A3" i="6"/>
  <c r="A4" i="6"/>
  <c r="A1" i="5"/>
  <c r="A3" i="5"/>
  <c r="A4" i="5"/>
  <c r="J7" i="1"/>
  <c r="J9" i="1"/>
  <c r="K9" i="1"/>
  <c r="L9" i="1"/>
  <c r="M9" i="1"/>
  <c r="N9" i="1"/>
  <c r="O9" i="1"/>
  <c r="K10" i="1"/>
  <c r="N10" i="1"/>
  <c r="O10" i="1"/>
  <c r="K11" i="1"/>
  <c r="M11" i="1"/>
  <c r="N11" i="1"/>
  <c r="K12" i="1"/>
  <c r="M12" i="1"/>
  <c r="N12" i="1"/>
  <c r="K13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K20" i="1"/>
  <c r="M20" i="1"/>
  <c r="N20" i="1"/>
  <c r="K21" i="1"/>
  <c r="M21" i="1"/>
  <c r="N21" i="1"/>
  <c r="O21" i="1"/>
  <c r="D9" i="2"/>
  <c r="E11" i="2"/>
  <c r="F12" i="6" s="1"/>
  <c r="E12" i="2"/>
  <c r="F15" i="6" s="1"/>
  <c r="E13" i="2"/>
  <c r="M15" i="2" s="1"/>
  <c r="E14" i="2" s="1"/>
  <c r="F18" i="6" s="1"/>
  <c r="E15" i="2"/>
  <c r="F20" i="6" s="1"/>
  <c r="E16" i="2"/>
  <c r="F22" i="6" s="1"/>
  <c r="E17" i="2"/>
  <c r="F24" i="6" s="1"/>
  <c r="E18" i="2"/>
  <c r="F25" i="6" s="1"/>
  <c r="E19" i="2"/>
  <c r="E20" i="2"/>
  <c r="F28" i="6" s="1"/>
  <c r="H35" i="5"/>
  <c r="G24" i="5"/>
  <c r="G35" i="5"/>
  <c r="G34" i="5"/>
  <c r="G33" i="5"/>
  <c r="G30" i="5"/>
  <c r="G18" i="5"/>
  <c r="G17" i="5"/>
  <c r="G16" i="5"/>
  <c r="G15" i="5"/>
  <c r="G12" i="5"/>
  <c r="G11" i="5"/>
  <c r="E12" i="5"/>
  <c r="E15" i="5"/>
  <c r="E16" i="5"/>
  <c r="E17" i="5"/>
  <c r="E18" i="5"/>
  <c r="E30" i="5"/>
  <c r="E33" i="5"/>
  <c r="E34" i="5"/>
  <c r="E35" i="5"/>
  <c r="E11" i="5"/>
  <c r="D14" i="4"/>
  <c r="D15" i="4" s="1"/>
  <c r="C13" i="4"/>
  <c r="C14" i="4" s="1"/>
  <c r="E14" i="4" s="1"/>
  <c r="D12" i="4"/>
  <c r="K27" i="6" l="1"/>
  <c r="H12" i="6"/>
  <c r="D13" i="6"/>
  <c r="H15" i="6"/>
  <c r="B45" i="6"/>
  <c r="H25" i="6"/>
  <c r="H20" i="6"/>
  <c r="H24" i="6"/>
  <c r="H22" i="6"/>
  <c r="H18" i="6"/>
  <c r="H26" i="6"/>
  <c r="C29" i="6"/>
  <c r="H28" i="6"/>
  <c r="F17" i="6"/>
  <c r="H17" i="6" s="1"/>
  <c r="I22" i="5"/>
  <c r="I35" i="5"/>
  <c r="I11" i="5"/>
  <c r="I14" i="5"/>
  <c r="I27" i="5"/>
  <c r="I28" i="5"/>
  <c r="I29" i="5"/>
  <c r="I17" i="5"/>
  <c r="I31" i="5"/>
  <c r="I32" i="5"/>
  <c r="I33" i="5"/>
  <c r="I34" i="5"/>
  <c r="I24" i="5"/>
  <c r="I23" i="5"/>
  <c r="I12" i="5"/>
  <c r="I26" i="5"/>
  <c r="I16" i="5"/>
  <c r="I30" i="5"/>
  <c r="I19" i="5"/>
  <c r="I20" i="5"/>
  <c r="I21" i="5"/>
  <c r="I25" i="5"/>
  <c r="I13" i="5"/>
  <c r="I18" i="5"/>
  <c r="I15" i="5"/>
  <c r="E13" i="4"/>
  <c r="C15" i="4"/>
  <c r="E15" i="4" s="1"/>
  <c r="D16" i="4"/>
  <c r="D17" i="4" s="1"/>
  <c r="D18" i="4" s="1"/>
  <c r="D19" i="4" s="1"/>
  <c r="D20" i="4" s="1"/>
  <c r="D21" i="4" s="1"/>
  <c r="D22" i="4" s="1"/>
  <c r="E31" i="6" l="1"/>
  <c r="E32" i="6"/>
  <c r="K19" i="6"/>
  <c r="E21" i="6"/>
  <c r="E30" i="6"/>
  <c r="E27" i="6"/>
  <c r="E16" i="6"/>
  <c r="H29" i="6"/>
  <c r="E23" i="6"/>
  <c r="H14" i="6"/>
  <c r="H13" i="6"/>
  <c r="E12" i="6"/>
  <c r="E19" i="6"/>
  <c r="C16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2" i="4" s="1"/>
  <c r="E21" i="4"/>
  <c r="C14" i="1" l="1"/>
  <c r="F15" i="3"/>
  <c r="F13" i="3"/>
  <c r="D13" i="3"/>
  <c r="H15" i="3"/>
  <c r="D18" i="3"/>
  <c r="C18" i="3"/>
  <c r="E18" i="3"/>
  <c r="A4" i="3"/>
  <c r="A3" i="3"/>
  <c r="A1" i="3"/>
  <c r="C51" i="1"/>
  <c r="C53" i="1" s="1"/>
  <c r="B29" i="1"/>
  <c r="B29" i="2" s="1"/>
  <c r="B30" i="1"/>
  <c r="B30" i="2" s="1"/>
  <c r="B32" i="1"/>
  <c r="B47" i="6" s="1"/>
  <c r="B33" i="1"/>
  <c r="B49" i="6" s="1"/>
  <c r="B34" i="1"/>
  <c r="B51" i="6" s="1"/>
  <c r="B35" i="1"/>
  <c r="B36" i="1"/>
  <c r="B28" i="1"/>
  <c r="D13" i="1"/>
  <c r="A1" i="2"/>
  <c r="A3" i="2"/>
  <c r="A4" i="2"/>
  <c r="C11" i="2"/>
  <c r="C12" i="2"/>
  <c r="F12" i="2" s="1"/>
  <c r="C13" i="2"/>
  <c r="F13" i="2" s="1"/>
  <c r="C20" i="2"/>
  <c r="F20" i="2" s="1"/>
  <c r="C21" i="2"/>
  <c r="F21" i="2" s="1"/>
  <c r="B24" i="2"/>
  <c r="B26" i="2"/>
  <c r="C26" i="2"/>
  <c r="D26" i="2"/>
  <c r="C27" i="2"/>
  <c r="D27" i="2"/>
  <c r="B28" i="2"/>
  <c r="B32" i="2"/>
  <c r="C32" i="2"/>
  <c r="C33" i="2"/>
  <c r="B34" i="2"/>
  <c r="C34" i="2"/>
  <c r="C35" i="2"/>
  <c r="C36" i="2"/>
  <c r="B37" i="2"/>
  <c r="C37" i="2"/>
  <c r="D37" i="2"/>
  <c r="B38" i="2"/>
  <c r="C38" i="2"/>
  <c r="D38" i="2"/>
  <c r="D11" i="1"/>
  <c r="D12" i="1"/>
  <c r="D20" i="1"/>
  <c r="D21" i="1"/>
  <c r="E15" i="1"/>
  <c r="E16" i="1"/>
  <c r="E17" i="1"/>
  <c r="E18" i="1"/>
  <c r="E19" i="1"/>
  <c r="C18" i="1"/>
  <c r="C15" i="1"/>
  <c r="C16" i="1"/>
  <c r="C17" i="1"/>
  <c r="C19" i="1"/>
  <c r="F27" i="1"/>
  <c r="E27" i="1"/>
  <c r="F10" i="1"/>
  <c r="M10" i="1" s="1"/>
  <c r="E10" i="1"/>
  <c r="B33" i="2" l="1"/>
  <c r="B36" i="2"/>
  <c r="B53" i="6"/>
  <c r="B35" i="2"/>
  <c r="B52" i="6"/>
  <c r="H17" i="1"/>
  <c r="O17" i="1" s="1"/>
  <c r="D17" i="2"/>
  <c r="L17" i="1"/>
  <c r="H19" i="1"/>
  <c r="O19" i="1" s="1"/>
  <c r="L19" i="1"/>
  <c r="D19" i="2"/>
  <c r="H16" i="1"/>
  <c r="O16" i="1" s="1"/>
  <c r="L16" i="1"/>
  <c r="D16" i="2"/>
  <c r="H15" i="1"/>
  <c r="O15" i="1" s="1"/>
  <c r="L15" i="1"/>
  <c r="D15" i="2"/>
  <c r="H18" i="1"/>
  <c r="O18" i="1" s="1"/>
  <c r="L18" i="1"/>
  <c r="D18" i="2"/>
  <c r="L10" i="1"/>
  <c r="D10" i="2"/>
  <c r="C19" i="2"/>
  <c r="F19" i="2" s="1"/>
  <c r="K19" i="1"/>
  <c r="C17" i="2"/>
  <c r="F17" i="2" s="1"/>
  <c r="K17" i="1"/>
  <c r="C16" i="2"/>
  <c r="F16" i="2" s="1"/>
  <c r="K16" i="1"/>
  <c r="C15" i="2"/>
  <c r="F15" i="2" s="1"/>
  <c r="K15" i="1"/>
  <c r="D14" i="1"/>
  <c r="C18" i="2"/>
  <c r="F18" i="2" s="1"/>
  <c r="K18" i="1"/>
  <c r="E11" i="1"/>
  <c r="L11" i="1" s="1"/>
  <c r="E12" i="1"/>
  <c r="L12" i="1" s="1"/>
  <c r="E21" i="1"/>
  <c r="C14" i="2"/>
  <c r="F14" i="2" s="1"/>
  <c r="K14" i="1"/>
  <c r="F11" i="2"/>
  <c r="C22" i="2"/>
  <c r="H12" i="1"/>
  <c r="O12" i="1" s="1"/>
  <c r="E13" i="1"/>
  <c r="C22" i="1"/>
  <c r="K22" i="1" s="1"/>
  <c r="E20" i="1"/>
  <c r="L20" i="1" s="1"/>
  <c r="F18" i="3"/>
  <c r="F19" i="3" s="1"/>
  <c r="D19" i="3"/>
  <c r="F22" i="2" l="1"/>
  <c r="H11" i="1"/>
  <c r="O11" i="1" s="1"/>
  <c r="D12" i="2"/>
  <c r="D13" i="2"/>
  <c r="L13" i="1"/>
  <c r="D21" i="2"/>
  <c r="L21" i="1"/>
  <c r="D11" i="2"/>
  <c r="H20" i="1"/>
  <c r="O20" i="1" s="1"/>
  <c r="D20" i="2"/>
  <c r="H13" i="1"/>
  <c r="O13" i="1" s="1"/>
  <c r="E14" i="1"/>
  <c r="L14" i="1" s="1"/>
  <c r="H14" i="1" l="1"/>
  <c r="O14" i="1" s="1"/>
  <c r="D14" i="2"/>
</calcChain>
</file>

<file path=xl/sharedStrings.xml><?xml version="1.0" encoding="utf-8"?>
<sst xmlns="http://schemas.openxmlformats.org/spreadsheetml/2006/main" count="479" uniqueCount="213">
  <si>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</si>
  <si>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</si>
  <si>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Material type</t>
  </si>
  <si>
    <t xml:space="preserve">Global production </t>
  </si>
  <si>
    <t>Data year</t>
  </si>
  <si>
    <t>Global 100M BEVs</t>
  </si>
  <si>
    <t>Used parameters</t>
  </si>
  <si>
    <t xml:space="preserve">Tesla 20M BEVs </t>
  </si>
  <si>
    <t>in kg per vehicle</t>
  </si>
  <si>
    <t>in tons</t>
  </si>
  <si>
    <t xml:space="preserve">1 average BEV </t>
  </si>
  <si>
    <t>Tesla vehibles by 2030</t>
  </si>
  <si>
    <t>Global BEV vehibles by 2031?</t>
  </si>
  <si>
    <t>Sources and attribution</t>
  </si>
  <si>
    <t>https://www.mining.com/all-the-mines-tesla-needs-to-build-20-million-cars-a-year/</t>
  </si>
  <si>
    <t>-</t>
  </si>
  <si>
    <t>Ton to kg</t>
  </si>
  <si>
    <t>Other textile and plastic</t>
  </si>
  <si>
    <t>My own estimate</t>
  </si>
  <si>
    <t>https://www.statista.com/statistics/1187186/global-rare-earths-mine-production/</t>
  </si>
  <si>
    <t>year</t>
  </si>
  <si>
    <t xml:space="preserve">Data </t>
  </si>
  <si>
    <t>https://www.mining-technology.com/comment/global-copper-output-grow/</t>
  </si>
  <si>
    <t>https://worldsteel.org/steel-topics/statistics/world-steel-in-figures-2022/</t>
  </si>
  <si>
    <t>global production</t>
  </si>
  <si>
    <t>Total vehicle weight</t>
  </si>
  <si>
    <t xml:space="preserve">One average BEV </t>
  </si>
  <si>
    <t>https://www.mining.com/web/graphite-deficit-starting-this-year-as-demand-for-ev-battery-anode-ingredient-exceeds-supply/#:~:text=Graphite%20is%20thus%20considered%20indispensable,containing%2020%2D30%25%20graphite.</t>
  </si>
  <si>
    <t>https://natural-resources.canada.ca/our-natural-resources/minerals-mining/minerals-metals-facts/graphite-facts/24027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</si>
  <si>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graphite is both mined at 1.1 million tons per year and made synthetically at about 2.2 million tons per year </t>
    </r>
  </si>
  <si>
    <t>Note: A BEV use about 90 kg of purified graphite that actually require 10% more material to make so about 100 kg needed for 1 BEV</t>
  </si>
  <si>
    <r>
      <t>Graphite</t>
    </r>
    <r>
      <rPr>
        <sz val="11"/>
        <color theme="1"/>
        <rFont val="Calibri"/>
        <family val="2"/>
        <scheme val="minor"/>
      </rPr>
      <t xml:space="preserve"> (99.95% pure anode)</t>
    </r>
  </si>
  <si>
    <t>Price per kg</t>
  </si>
  <si>
    <t>material in BEV</t>
  </si>
  <si>
    <t xml:space="preserve">Price USD of needed </t>
  </si>
  <si>
    <t xml:space="preserve">Date of </t>
  </si>
  <si>
    <t>price info</t>
  </si>
  <si>
    <t>https://tradingeconomics.com/commodity/nickel</t>
  </si>
  <si>
    <t xml:space="preserve">Price in USD </t>
  </si>
  <si>
    <t xml:space="preserve">per kg </t>
  </si>
  <si>
    <t>https://www.visualcapitalist.com/visualizing-25-years-of-lithium-production-by-country/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</si>
  <si>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this is measured in tons of lithium carbonate equivalent (not all mined lithium is lithium carbonate, today much is mined as spodumene rock that is processed to lithium hydroxide</t>
    </r>
  </si>
  <si>
    <t>https://www.quora.com/How-much-lithium-in-kg-is-used-in-an-electric-car</t>
  </si>
  <si>
    <t>https://tradingeconomics.com/commodity/lithium</t>
  </si>
  <si>
    <t>kg to lbs</t>
  </si>
  <si>
    <t xml:space="preserve">CNY to USD </t>
  </si>
  <si>
    <t>https://moneyexchangerate.org/currencyexchange/cny/usd/</t>
  </si>
  <si>
    <t>https://tradingeconomics.com/commodity/cobalt</t>
  </si>
  <si>
    <t>https://tradingeconomics.com/commodity/copper</t>
  </si>
  <si>
    <t>https://tradingeconomics.com/commodity/manganese</t>
  </si>
  <si>
    <t>https://tradingeconomics.com/commodity/neodymium</t>
  </si>
  <si>
    <t>Note price of neodymium is used because this is the most used metal in magnets</t>
  </si>
  <si>
    <t>https://tradingeconomics.com/commodity/aluminum</t>
  </si>
  <si>
    <t>https://tradingeconomics.com/commodity/steel</t>
  </si>
  <si>
    <t>Crude steel https://kdmfab.com/mild-steel-vs-stainless-steel/</t>
  </si>
  <si>
    <t>My guestimate</t>
  </si>
  <si>
    <t xml:space="preserve">Lithium carbonate or equivalent </t>
  </si>
  <si>
    <t>Total cost</t>
  </si>
  <si>
    <t xml:space="preserve">Price in </t>
  </si>
  <si>
    <t>CYN</t>
  </si>
  <si>
    <t>https://www.alibaba.com/product-detail/High-purity-99-95-nano-graphite_10000000439969.html</t>
  </si>
  <si>
    <t>Battery pack contain 8% copper</t>
  </si>
  <si>
    <t>https://cambridgehouse.com/news/8707/how-evs-will-forever-change-the-copper-landscape#:~:text=Average%20ICEs%20contain%2018%2D49%20pounds%20of%20copper</t>
  </si>
  <si>
    <t>https://www.uetechnologies.com/how-much-does-a-tesla-battery-weigh/</t>
  </si>
  <si>
    <t>Weight of tesla model Y long range in kg</t>
  </si>
  <si>
    <t xml:space="preserve">So copper in kg is </t>
  </si>
  <si>
    <t>Copper used in motor</t>
  </si>
  <si>
    <t>In % of current</t>
  </si>
  <si>
    <t>Copper use in typical battery electric vehicle curret and next generation</t>
  </si>
  <si>
    <t>Where copper is used</t>
  </si>
  <si>
    <t>(new technology applied)</t>
  </si>
  <si>
    <t>All wheel drive vehicles (two motors)</t>
  </si>
  <si>
    <t>Rear wheel drive vehicles (one motor)</t>
  </si>
  <si>
    <t>Current Model 3/Y like BEV</t>
  </si>
  <si>
    <t>Next gen Model 3/Y like BEV</t>
  </si>
  <si>
    <t>Wire harness tech</t>
  </si>
  <si>
    <t>Rear motor  tech</t>
  </si>
  <si>
    <t>Front motor tech</t>
  </si>
  <si>
    <t>Reduction in percentage</t>
  </si>
  <si>
    <t>Wire harness copper in kg</t>
  </si>
  <si>
    <t>Rear motor copper in kg</t>
  </si>
  <si>
    <t>Total copper use in kg</t>
  </si>
  <si>
    <r>
      <t xml:space="preserve">Nickel </t>
    </r>
    <r>
      <rPr>
        <sz val="11"/>
        <color theme="1"/>
        <rFont val="Calibri"/>
        <family val="2"/>
        <scheme val="minor"/>
      </rPr>
      <t>(tesla battery 78kWh)</t>
    </r>
  </si>
  <si>
    <t>12V copper wires</t>
  </si>
  <si>
    <t>48V, partial aluminium wires</t>
  </si>
  <si>
    <t>900V PM no rare earth</t>
  </si>
  <si>
    <t>Front motor copper in kg</t>
  </si>
  <si>
    <t>Battery pack copper in kg</t>
  </si>
  <si>
    <t>400V permanent magnet</t>
  </si>
  <si>
    <t>400V induction motor</t>
  </si>
  <si>
    <t>volt</t>
  </si>
  <si>
    <t>Recuction in copper use for motors</t>
  </si>
  <si>
    <t>1 kg of lithium carbonate contains about 188.68 g of lithium metal.</t>
  </si>
  <si>
    <t>Source</t>
  </si>
  <si>
    <t>https://www.thoughtco.com/lithium-production-2340123</t>
  </si>
  <si>
    <t>https://www.statista.com/statistics/606684/world-production-of-lithium/?ssp=1&amp;darkschemeovr=1&amp;setlang=en-XL&amp;safesearch=moderate</t>
  </si>
  <si>
    <t>In terms of lithium metal 100%</t>
  </si>
  <si>
    <t>Price of lithium metal is</t>
  </si>
  <si>
    <t>USD</t>
  </si>
  <si>
    <t>Year</t>
  </si>
  <si>
    <t>Production tons</t>
  </si>
  <si>
    <t>Annual growth %</t>
  </si>
  <si>
    <t>Multiplier</t>
  </si>
  <si>
    <t xml:space="preserve">Production </t>
  </si>
  <si>
    <t xml:space="preserve">Argentina </t>
  </si>
  <si>
    <t xml:space="preserve">Australia </t>
  </si>
  <si>
    <t xml:space="preserve">Austria </t>
  </si>
  <si>
    <t xml:space="preserve">Bolivia </t>
  </si>
  <si>
    <t xml:space="preserve">Brazil </t>
  </si>
  <si>
    <t xml:space="preserve">Canada </t>
  </si>
  <si>
    <t xml:space="preserve">Chile </t>
  </si>
  <si>
    <t xml:space="preserve">China </t>
  </si>
  <si>
    <t xml:space="preserve">Czech Republic </t>
  </si>
  <si>
    <t xml:space="preserve">DR Congo </t>
  </si>
  <si>
    <t xml:space="preserve">Finland </t>
  </si>
  <si>
    <t xml:space="preserve">Germany </t>
  </si>
  <si>
    <t xml:space="preserve">Ghana </t>
  </si>
  <si>
    <t xml:space="preserve">India </t>
  </si>
  <si>
    <t xml:space="preserve">Kazakhstan </t>
  </si>
  <si>
    <t xml:space="preserve">Mali </t>
  </si>
  <si>
    <t xml:space="preserve">Mexico </t>
  </si>
  <si>
    <t xml:space="preserve">Namibia </t>
  </si>
  <si>
    <t xml:space="preserve">Peru </t>
  </si>
  <si>
    <t xml:space="preserve">Portugal </t>
  </si>
  <si>
    <t xml:space="preserve">Serbia </t>
  </si>
  <si>
    <t xml:space="preserve">Spain </t>
  </si>
  <si>
    <t xml:space="preserve">United States </t>
  </si>
  <si>
    <t xml:space="preserve">Zimbabwe </t>
  </si>
  <si>
    <t xml:space="preserve">World total </t>
  </si>
  <si>
    <t>Lithium production (2020), reserves and resources in tons</t>
  </si>
  <si>
    <t>Country</t>
  </si>
  <si>
    <t>Resources</t>
  </si>
  <si>
    <t>% of total</t>
  </si>
  <si>
    <t xml:space="preserve">Reserves </t>
  </si>
  <si>
    <t>Own table source: https://en.wikipedia.org/wiki/Lithium#Production</t>
  </si>
  <si>
    <t>100M BEVs</t>
  </si>
  <si>
    <t>Raw materials needed to make 100 million BEVs per year if no innovation</t>
  </si>
  <si>
    <t>Price of raw materials needed to make battery electric vehicles</t>
  </si>
  <si>
    <t>Needed growth of lithium production in metal equivalents</t>
  </si>
  <si>
    <t>Iron ore needed 50%</t>
  </si>
  <si>
    <t>Iron ore needed at 50%</t>
  </si>
  <si>
    <t>https://www.britannica.com/technology/iron-processing/Ores</t>
  </si>
  <si>
    <t>kg to ton</t>
  </si>
  <si>
    <t>Million</t>
  </si>
  <si>
    <t>https://tradingeconomics.com/commodity/iron-ore</t>
  </si>
  <si>
    <t>Li in terms of spodumene ore 2%</t>
  </si>
  <si>
    <t>In % of</t>
  </si>
  <si>
    <t>iron ore</t>
  </si>
  <si>
    <t>https://en.wikipedia.org/wiki/Copper_extraction#Concentration_(beneficiation)</t>
  </si>
  <si>
    <t>Copper ore at 0.6%</t>
  </si>
  <si>
    <t>Lithium - Breaking China’s battery monopoly and making 100 million BEVs per year by 2032 #19</t>
  </si>
  <si>
    <t>of which is synthesized graphite</t>
  </si>
  <si>
    <t>of which is mined graphite</t>
  </si>
  <si>
    <t>Nickel ore at 2%</t>
  </si>
  <si>
    <t>https://www.ga.gov.au/education/classroom-resources/minerals-energy/australian-mineral-facts/nickel#:~:text=After%20mining%2C%20nickel%20ores%20are%20further%20processed%20to,minerals%20using%20various%20physical%20and%20chemical%20processing%20methods.</t>
  </si>
  <si>
    <t xml:space="preserve">Note graphite is both mined at 1.1 million tons per year and made synthetically at about 2.2 million tons per year </t>
  </si>
  <si>
    <t>Note this is measured in tons of lithium carbonate equivalent (not all mined lithium is lithium carbonate, today much is mined as spodumene rock that is processed to lithium hydroxide</t>
  </si>
  <si>
    <t>Manganese ore at 30%</t>
  </si>
  <si>
    <t>https://geology.com/usgs/manganese/</t>
  </si>
  <si>
    <t>https://www.statista.com/statistics/339759/global-cobalt-mine-production/</t>
  </si>
  <si>
    <t>https://www.statista.com/statistics/799538/global-bauxite-production/</t>
  </si>
  <si>
    <t xml:space="preserve">Aluminium content in aluminium ore </t>
  </si>
  <si>
    <t>Aluminuium ore Bauxite at 17%</t>
  </si>
  <si>
    <t>https://www.kitco.com/news/2023-02-06/Global-nickel-production-up-21-in-2022-as-Indonesian-output-jumps-54.html</t>
  </si>
  <si>
    <t>Scale of global raw materials industry by size and USD</t>
  </si>
  <si>
    <t>https://www.iea.org/data-and-statistics/charts/global-coal-production-2018-2021</t>
  </si>
  <si>
    <t>https://tradingeconomics.com/commodity/coal</t>
  </si>
  <si>
    <t>https://www.statista.com/statistics/265229/global-oil-production-in-million-metric-tons/</t>
  </si>
  <si>
    <t>Price of coal Newcastle coal futures in USD/tons</t>
  </si>
  <si>
    <t>Date</t>
  </si>
  <si>
    <t>Price of crude oil WTI crude futures</t>
  </si>
  <si>
    <t>USD/barrel</t>
  </si>
  <si>
    <t>https://tradingeconomics.com/commodity/crude-oil</t>
  </si>
  <si>
    <t>Price</t>
  </si>
  <si>
    <t>USD/kg</t>
  </si>
  <si>
    <t>Global sales</t>
  </si>
  <si>
    <t>million USD</t>
  </si>
  <si>
    <t xml:space="preserve"># of barrels in a ton </t>
  </si>
  <si>
    <t>https://www.linkedin.com/pulse/why-we-say-1-ton-crude-oil-equals-733-barrels-seraph-liu/</t>
  </si>
  <si>
    <t>Parameters</t>
  </si>
  <si>
    <t>https://www.statista.com/statistics/265344/total-global-natural-gas-production-since-1998/</t>
  </si>
  <si>
    <t>Annual global natural gas production in billion cubic meters</t>
  </si>
  <si>
    <t>B/m3</t>
  </si>
  <si>
    <t>Convert 1 billion m3 of natural gas to x barrels of oil equivalent</t>
  </si>
  <si>
    <t>https://www.omnicalculator.com/conversion/natural-gas-converter</t>
  </si>
  <si>
    <t>Production and</t>
  </si>
  <si>
    <t>mining in tons</t>
  </si>
  <si>
    <t>Natural gas price UK GBP in GBp/thm</t>
  </si>
  <si>
    <t>https://tradingeconomics.com/commodity/uk-natural-gas</t>
  </si>
  <si>
    <t>GBp/thm</t>
  </si>
  <si>
    <t>Convert 1 GBp to USD</t>
  </si>
  <si>
    <t>Natural gas price in USD/thm</t>
  </si>
  <si>
    <t>USD/thm</t>
  </si>
  <si>
    <t>https://www.xe.com/currencyconverter/convert/?Amount=1&amp;From=GBP&amp;To=USD</t>
  </si>
  <si>
    <t>Convert 1 barrels of oil equivalent to x thm</t>
  </si>
  <si>
    <t>Express the price of natural gas traded in GBp/thm but in terms of USD/barrel of oil equivalent</t>
  </si>
  <si>
    <t>USD/barrel of oil eqivalent</t>
  </si>
  <si>
    <t>Express the price of natural gas traded in GBp/thm but in terms of USD/kg</t>
  </si>
  <si>
    <t>for 100M BEVs</t>
  </si>
  <si>
    <t>Materials tons</t>
  </si>
  <si>
    <t>https://www.911metallurgist.com/blog/froth-flotation-spodumene-processing-lithium-extraction</t>
  </si>
  <si>
    <t>Note: “how much lithium in percent of Li2O” prompt Bing ai and you get 30% and the exact calculation and 30% of 6% is 2% lithium in spodumene ore</t>
  </si>
  <si>
    <r>
      <t xml:space="preserve">Rare earth </t>
    </r>
    <r>
      <rPr>
        <sz val="11"/>
        <color theme="1"/>
        <rFont val="Calibri"/>
        <family val="2"/>
        <scheme val="minor"/>
      </rPr>
      <t xml:space="preserve">(fx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, Pr, Dy, Tb)</t>
    </r>
  </si>
  <si>
    <r>
      <t xml:space="preserve">Copper </t>
    </r>
    <r>
      <rPr>
        <sz val="11"/>
        <color theme="1"/>
        <rFont val="Calibri"/>
        <family val="2"/>
        <scheme val="minor"/>
      </rPr>
      <t>(battery, motor, wires)</t>
    </r>
  </si>
  <si>
    <r>
      <t xml:space="preserve">Aluminum </t>
    </r>
    <r>
      <rPr>
        <sz val="11"/>
        <color theme="1"/>
        <rFont val="Calibri"/>
        <family val="2"/>
        <scheme val="minor"/>
      </rPr>
      <t>(vehicle GM Volt))</t>
    </r>
  </si>
  <si>
    <r>
      <t xml:space="preserve">Crude steel </t>
    </r>
    <r>
      <rPr>
        <sz val="11"/>
        <color theme="1"/>
        <rFont val="Calibri"/>
        <family val="2"/>
        <scheme val="minor"/>
      </rPr>
      <t>(98% Fe/Iron)</t>
    </r>
  </si>
  <si>
    <r>
      <t>Manganese</t>
    </r>
    <r>
      <rPr>
        <sz val="11"/>
        <color theme="1"/>
        <rFont val="Calibri"/>
        <family val="2"/>
        <scheme val="minor"/>
      </rPr>
      <t xml:space="preserve"> (batteries)</t>
    </r>
  </si>
  <si>
    <r>
      <t xml:space="preserve">Cobalt </t>
    </r>
    <r>
      <rPr>
        <sz val="11"/>
        <color theme="1"/>
        <rFont val="Calibri"/>
        <family val="2"/>
        <scheme val="minor"/>
      </rPr>
      <t>(batteries)</t>
    </r>
  </si>
  <si>
    <t>https://international-aluminium.org/statistics/primary-aluminium-production/</t>
  </si>
  <si>
    <r>
      <t xml:space="preserve">Manganese </t>
    </r>
    <r>
      <rPr>
        <sz val="11"/>
        <color theme="1"/>
        <rFont val="Calibri"/>
        <family val="2"/>
        <scheme val="minor"/>
      </rPr>
      <t>(batteries)</t>
    </r>
  </si>
  <si>
    <r>
      <t xml:space="preserve">Coal </t>
    </r>
    <r>
      <rPr>
        <sz val="11"/>
        <color theme="1"/>
        <rFont val="Calibri"/>
        <family val="2"/>
        <scheme val="minor"/>
      </rPr>
      <t>(price is Newcastle Europe)</t>
    </r>
  </si>
  <si>
    <r>
      <t>Oil</t>
    </r>
    <r>
      <rPr>
        <sz val="11"/>
        <color theme="1"/>
        <rFont val="Calibri"/>
        <family val="2"/>
        <scheme val="minor"/>
      </rPr>
      <t xml:space="preserve"> (price is WTI US crude)</t>
    </r>
  </si>
  <si>
    <r>
      <t>Gas</t>
    </r>
    <r>
      <rPr>
        <sz val="11"/>
        <color theme="1"/>
        <rFont val="Calibri"/>
        <family val="2"/>
        <scheme val="minor"/>
      </rPr>
      <t xml:space="preserve"> (price is UK natural gas)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</si>
</sst>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3" fillId="2" borderId="0" xfId="0" applyFont="1" applyFill="1"/>
    <xf numFmtId="0" fontId="0" fillId="2" borderId="0" xfId="0" applyFill="1"/>
    <xf numFmtId="10" fontId="0" fillId="0" borderId="0" xfId="0" applyNumberFormat="1"/>
    <xf numFmtId="0" fontId="6" fillId="0" borderId="0" xfId="1"/>
    <xf numFmtId="0" fontId="3" fillId="5" borderId="0" xfId="0" applyFont="1" applyFill="1"/>
    <xf numFmtId="0" fontId="7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0" xfId="0" applyFill="1"/>
    <xf numFmtId="0" fontId="3" fillId="6" borderId="5" xfId="0" applyFont="1" applyFill="1" applyBorder="1"/>
    <xf numFmtId="0" fontId="3" fillId="0" borderId="4" xfId="0" applyFont="1" applyBorder="1"/>
    <xf numFmtId="164" fontId="0" fillId="0" borderId="0" xfId="0" applyNumberFormat="1"/>
    <xf numFmtId="10" fontId="0" fillId="0" borderId="5" xfId="0" applyNumberFormat="1" applyBorder="1"/>
    <xf numFmtId="0" fontId="0" fillId="0" borderId="5" xfId="0" applyBorder="1"/>
    <xf numFmtId="0" fontId="3" fillId="4" borderId="6" xfId="0" applyFont="1" applyFill="1" applyBorder="1"/>
    <xf numFmtId="164" fontId="3" fillId="4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0" xfId="0" applyFill="1"/>
    <xf numFmtId="0" fontId="3" fillId="5" borderId="5" xfId="0" applyFont="1" applyFill="1" applyBorder="1"/>
    <xf numFmtId="4" fontId="0" fillId="0" borderId="0" xfId="0" applyNumberFormat="1"/>
    <xf numFmtId="15" fontId="0" fillId="0" borderId="5" xfId="0" applyNumberFormat="1" applyBorder="1"/>
    <xf numFmtId="4" fontId="3" fillId="3" borderId="7" xfId="0" applyNumberFormat="1" applyFont="1" applyFill="1" applyBorder="1"/>
    <xf numFmtId="0" fontId="3" fillId="3" borderId="4" xfId="0" applyFont="1" applyFill="1" applyBorder="1"/>
    <xf numFmtId="16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10" fontId="0" fillId="3" borderId="5" xfId="0" applyNumberFormat="1" applyFill="1" applyBorder="1"/>
    <xf numFmtId="4" fontId="0" fillId="3" borderId="0" xfId="0" applyNumberFormat="1" applyFill="1"/>
    <xf numFmtId="15" fontId="0" fillId="3" borderId="5" xfId="0" applyNumberForma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/>
    <xf numFmtId="10" fontId="3" fillId="9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0" fontId="3" fillId="9" borderId="8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4" xfId="0" applyFont="1" applyFill="1" applyBorder="1"/>
    <xf numFmtId="0" fontId="0" fillId="10" borderId="4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0" fontId="3" fillId="10" borderId="6" xfId="0" applyFont="1" applyFill="1" applyBorder="1"/>
    <xf numFmtId="2" fontId="0" fillId="0" borderId="0" xfId="0" applyNumberFormat="1"/>
    <xf numFmtId="0" fontId="3" fillId="11" borderId="0" xfId="0" applyFont="1" applyFill="1"/>
    <xf numFmtId="0" fontId="3" fillId="9" borderId="0" xfId="0" applyFont="1" applyFill="1"/>
    <xf numFmtId="3" fontId="0" fillId="9" borderId="0" xfId="0" applyNumberFormat="1" applyFill="1"/>
    <xf numFmtId="10" fontId="0" fillId="9" borderId="0" xfId="0" applyNumberFormat="1" applyFill="1"/>
    <xf numFmtId="0" fontId="3" fillId="12" borderId="0" xfId="0" applyFont="1" applyFill="1"/>
    <xf numFmtId="3" fontId="0" fillId="12" borderId="0" xfId="0" applyNumberFormat="1" applyFill="1"/>
    <xf numFmtId="0" fontId="0" fillId="12" borderId="0" xfId="0" applyFill="1"/>
    <xf numFmtId="10" fontId="0" fillId="12" borderId="0" xfId="0" applyNumberFormat="1" applyFill="1"/>
    <xf numFmtId="2" fontId="0" fillId="9" borderId="0" xfId="0" applyNumberFormat="1" applyFill="1"/>
    <xf numFmtId="2" fontId="0" fillId="12" borderId="0" xfId="0" applyNumberFormat="1" applyFill="1"/>
    <xf numFmtId="0" fontId="3" fillId="10" borderId="0" xfId="0" applyFont="1" applyFill="1"/>
    <xf numFmtId="0" fontId="8" fillId="0" borderId="0" xfId="0" applyFont="1" applyAlignment="1">
      <alignment horizontal="left"/>
    </xf>
    <xf numFmtId="3" fontId="3" fillId="2" borderId="0" xfId="0" applyNumberFormat="1" applyFont="1" applyFill="1"/>
    <xf numFmtId="10" fontId="0" fillId="2" borderId="0" xfId="0" applyNumberFormat="1" applyFill="1"/>
    <xf numFmtId="3" fontId="3" fillId="2" borderId="0" xfId="0" applyNumberFormat="1" applyFont="1" applyFill="1" applyAlignment="1">
      <alignment horizontal="right"/>
    </xf>
    <xf numFmtId="10" fontId="0" fillId="3" borderId="0" xfId="0" applyNumberFormat="1" applyFill="1"/>
    <xf numFmtId="4" fontId="3" fillId="4" borderId="7" xfId="0" applyNumberFormat="1" applyFont="1" applyFill="1" applyBorder="1"/>
    <xf numFmtId="15" fontId="0" fillId="0" borderId="0" xfId="0" applyNumberFormat="1"/>
    <xf numFmtId="15" fontId="0" fillId="3" borderId="0" xfId="0" applyNumberFormat="1" applyFill="1"/>
    <xf numFmtId="3" fontId="0" fillId="0" borderId="5" xfId="0" applyNumberFormat="1" applyBorder="1"/>
    <xf numFmtId="0" fontId="3" fillId="6" borderId="0" xfId="0" applyFont="1" applyFill="1"/>
    <xf numFmtId="3" fontId="0" fillId="3" borderId="5" xfId="0" applyNumberFormat="1" applyFill="1" applyBorder="1"/>
    <xf numFmtId="0" fontId="6" fillId="0" borderId="0" xfId="1" applyAlignment="1">
      <alignment horizontal="left" vertical="center" readingOrder="1"/>
    </xf>
    <xf numFmtId="0" fontId="3" fillId="9" borderId="4" xfId="0" applyFont="1" applyFill="1" applyBorder="1"/>
    <xf numFmtId="0" fontId="0" fillId="9" borderId="0" xfId="0" applyFill="1"/>
    <xf numFmtId="4" fontId="0" fillId="9" borderId="0" xfId="0" applyNumberFormat="1" applyFill="1"/>
    <xf numFmtId="15" fontId="0" fillId="9" borderId="0" xfId="0" applyNumberFormat="1" applyFill="1"/>
    <xf numFmtId="3" fontId="0" fillId="9" borderId="5" xfId="0" applyNumberFormat="1" applyFill="1" applyBorder="1"/>
    <xf numFmtId="0" fontId="3" fillId="6" borderId="9" xfId="0" applyFont="1" applyFill="1" applyBorder="1"/>
    <xf numFmtId="0" fontId="3" fillId="6" borderId="10" xfId="0" applyFont="1" applyFill="1" applyBorder="1"/>
    <xf numFmtId="3" fontId="0" fillId="9" borderId="10" xfId="0" applyNumberFormat="1" applyFill="1" applyBorder="1"/>
    <xf numFmtId="0" fontId="0" fillId="9" borderId="10" xfId="0" applyFill="1" applyBorder="1"/>
    <xf numFmtId="3" fontId="0" fillId="0" borderId="10" xfId="0" applyNumberFormat="1" applyBorder="1"/>
    <xf numFmtId="3" fontId="0" fillId="3" borderId="10" xfId="0" applyNumberFormat="1" applyFill="1" applyBorder="1"/>
    <xf numFmtId="0" fontId="0" fillId="0" borderId="10" xfId="0" applyBorder="1"/>
    <xf numFmtId="0" fontId="0" fillId="4" borderId="11" xfId="0" applyFill="1" applyBorder="1"/>
    <xf numFmtId="0" fontId="0" fillId="9" borderId="10" xfId="0" applyFill="1" applyBorder="1" applyAlignment="1">
      <alignment horizontal="center"/>
    </xf>
    <xf numFmtId="10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15" fontId="0" fillId="9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ng.com/all-the-mines-tesla-needs-to-build-20-million-cars-a-year/" TargetMode="External"/><Relationship Id="rId13" Type="http://schemas.openxmlformats.org/officeDocument/2006/relationships/hyperlink" Target="https://www.mining-technology.com/comment/global-copper-output-grow/" TargetMode="External"/><Relationship Id="rId18" Type="http://schemas.openxmlformats.org/officeDocument/2006/relationships/hyperlink" Target="https://international-aluminium.org/statistics/primary-aluminium-production/" TargetMode="External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7" Type="http://schemas.openxmlformats.org/officeDocument/2006/relationships/hyperlink" Target="https://www.quora.com/How-much-lithium-in-kg-is-used-in-an-electric-car" TargetMode="External"/><Relationship Id="rId12" Type="http://schemas.openxmlformats.org/officeDocument/2006/relationships/hyperlink" Target="https://www.mining.com/all-the-mines-tesla-needs-to-build-20-million-cars-a-year/" TargetMode="External"/><Relationship Id="rId17" Type="http://schemas.openxmlformats.org/officeDocument/2006/relationships/hyperlink" Target="https://www.kitco.com/news/2023-02-06/Global-nickel-production-up-21-in-2022-as-Indonesian-output-jumps-54.html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www.statista.com/statistics/339759/global-cobalt-mine-production/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.com/all-the-mines-tesla-needs-to-build-20-million-cars-a-year/" TargetMode="External"/><Relationship Id="rId11" Type="http://schemas.openxmlformats.org/officeDocument/2006/relationships/hyperlink" Target="https://www.mining.com/all-the-mines-tesla-needs-to-build-20-million-cars-a-year/" TargetMode="External"/><Relationship Id="rId5" Type="http://schemas.openxmlformats.org/officeDocument/2006/relationships/hyperlink" Target="https://www.mining.com/web/graphite-deficit-starting-this-year-as-demand-for-ev-battery-anode-ingredient-exceeds-supply/" TargetMode="External"/><Relationship Id="rId15" Type="http://schemas.openxmlformats.org/officeDocument/2006/relationships/hyperlink" Target="https://www.statista.com/statistics/1187186/global-rare-earths-mine-production/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www.mining.com/all-the-mines-tesla-needs-to-build-20-million-cars-a-yea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ng.com/all-the-mines-tesla-needs-to-build-20-million-cars-a-year/" TargetMode="External"/><Relationship Id="rId13" Type="http://schemas.openxmlformats.org/officeDocument/2006/relationships/hyperlink" Target="https://tradingeconomics.com/commodity/copper" TargetMode="External"/><Relationship Id="rId18" Type="http://schemas.openxmlformats.org/officeDocument/2006/relationships/hyperlink" Target="https://tradingeconomics.com/commodity/steel" TargetMode="External"/><Relationship Id="rId3" Type="http://schemas.openxmlformats.org/officeDocument/2006/relationships/hyperlink" Target="https://www.mining.com/all-the-mines-tesla-needs-to-build-20-million-cars-a-year/" TargetMode="External"/><Relationship Id="rId7" Type="http://schemas.openxmlformats.org/officeDocument/2006/relationships/hyperlink" Target="https://www.mining.com/all-the-mines-tesla-needs-to-build-20-million-cars-a-year/" TargetMode="External"/><Relationship Id="rId12" Type="http://schemas.openxmlformats.org/officeDocument/2006/relationships/hyperlink" Target="https://tradingeconomics.com/commodity/lithium" TargetMode="External"/><Relationship Id="rId17" Type="http://schemas.openxmlformats.org/officeDocument/2006/relationships/hyperlink" Target="https://tradingeconomics.com/commodity/aluminum" TargetMode="External"/><Relationship Id="rId2" Type="http://schemas.openxmlformats.org/officeDocument/2006/relationships/hyperlink" Target="https://www.mining.com/web/graphite-deficit-starting-this-year-as-demand-for-ev-battery-anode-ingredient-exceeds-supply/" TargetMode="External"/><Relationship Id="rId16" Type="http://schemas.openxmlformats.org/officeDocument/2006/relationships/hyperlink" Target="https://tradingeconomics.com/commodity/neodymium" TargetMode="External"/><Relationship Id="rId1" Type="http://schemas.openxmlformats.org/officeDocument/2006/relationships/hyperlink" Target="https://moneyexchangerate.org/currencyexchange/cny/usd/" TargetMode="External"/><Relationship Id="rId6" Type="http://schemas.openxmlformats.org/officeDocument/2006/relationships/hyperlink" Target="https://www.mining.com/all-the-mines-tesla-needs-to-build-20-million-cars-a-year/" TargetMode="External"/><Relationship Id="rId11" Type="http://schemas.openxmlformats.org/officeDocument/2006/relationships/hyperlink" Target="https://tradingeconomics.com/commodity/nickel" TargetMode="External"/><Relationship Id="rId5" Type="http://schemas.openxmlformats.org/officeDocument/2006/relationships/hyperlink" Target="https://www.mining.com/all-the-mines-tesla-needs-to-build-20-million-cars-a-year/" TargetMode="External"/><Relationship Id="rId15" Type="http://schemas.openxmlformats.org/officeDocument/2006/relationships/hyperlink" Target="https://tradingeconomics.com/commodity/cobalt" TargetMode="External"/><Relationship Id="rId10" Type="http://schemas.openxmlformats.org/officeDocument/2006/relationships/hyperlink" Target="https://www.alibaba.com/product-detail/High-purity-99-95-nano-graphite_10000000439969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quora.com/How-much-lithium-in-kg-is-used-in-an-electric-car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tradingeconomics.com/commodity/mangane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opper_extraction" TargetMode="External"/><Relationship Id="rId13" Type="http://schemas.openxmlformats.org/officeDocument/2006/relationships/hyperlink" Target="https://www.alibaba.com/product-detail/High-purity-99-95-nano-graphite_10000000439969.html" TargetMode="External"/><Relationship Id="rId18" Type="http://schemas.openxmlformats.org/officeDocument/2006/relationships/hyperlink" Target="https://tradingeconomics.com/commodity/cobalt" TargetMode="External"/><Relationship Id="rId26" Type="http://schemas.openxmlformats.org/officeDocument/2006/relationships/hyperlink" Target="https://tradingeconomics.com/commodity/coal" TargetMode="External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tradingeconomics.com/commodity/steel" TargetMode="External"/><Relationship Id="rId34" Type="http://schemas.openxmlformats.org/officeDocument/2006/relationships/hyperlink" Target="https://www.omnicalculator.com/conversion/natural-gas-converter" TargetMode="External"/><Relationship Id="rId7" Type="http://schemas.openxmlformats.org/officeDocument/2006/relationships/hyperlink" Target="https://www.mining.com/all-the-mines-tesla-needs-to-build-20-million-cars-a-year/" TargetMode="External"/><Relationship Id="rId12" Type="http://schemas.openxmlformats.org/officeDocument/2006/relationships/hyperlink" Target="https://www.mining.com/all-the-mines-tesla-needs-to-build-20-million-cars-a-year/" TargetMode="External"/><Relationship Id="rId17" Type="http://schemas.openxmlformats.org/officeDocument/2006/relationships/hyperlink" Target="https://tradingeconomics.com/commodity/manganese" TargetMode="External"/><Relationship Id="rId25" Type="http://schemas.openxmlformats.org/officeDocument/2006/relationships/hyperlink" Target="https://www.iea.org/data-and-statistics/charts/global-coal-production-2018-2021" TargetMode="External"/><Relationship Id="rId33" Type="http://schemas.openxmlformats.org/officeDocument/2006/relationships/hyperlink" Target="https://www.xe.com/currencyconverter/convert/?Amount=1&amp;From=GBP&amp;To=USD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tradingeconomics.com/commodity/copper" TargetMode="External"/><Relationship Id="rId20" Type="http://schemas.openxmlformats.org/officeDocument/2006/relationships/hyperlink" Target="https://tradingeconomics.com/commodity/aluminum" TargetMode="External"/><Relationship Id="rId29" Type="http://schemas.openxmlformats.org/officeDocument/2006/relationships/hyperlink" Target="https://www.linkedin.com/pulse/why-we-say-1-ton-crude-oil-equals-733-barrels-seraph-liu/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-technology.com/comment/global-copper-output-grow/" TargetMode="External"/><Relationship Id="rId11" Type="http://schemas.openxmlformats.org/officeDocument/2006/relationships/hyperlink" Target="https://www.statista.com/statistics/1187186/global-rare-earths-mine-production/" TargetMode="External"/><Relationship Id="rId24" Type="http://schemas.openxmlformats.org/officeDocument/2006/relationships/hyperlink" Target="https://www.statista.com/statistics/799538/global-bauxite-production/" TargetMode="External"/><Relationship Id="rId32" Type="http://schemas.openxmlformats.org/officeDocument/2006/relationships/hyperlink" Target="https://tradingeconomics.com/commodity/uk-natural-gas" TargetMode="External"/><Relationship Id="rId5" Type="http://schemas.openxmlformats.org/officeDocument/2006/relationships/hyperlink" Target="https://www.britannica.com/technology/iron-processing/Ores" TargetMode="External"/><Relationship Id="rId15" Type="http://schemas.openxmlformats.org/officeDocument/2006/relationships/hyperlink" Target="https://tradingeconomics.com/commodity/lithium" TargetMode="External"/><Relationship Id="rId23" Type="http://schemas.openxmlformats.org/officeDocument/2006/relationships/hyperlink" Target="https://geology.com/usgs/manganese/" TargetMode="External"/><Relationship Id="rId28" Type="http://schemas.openxmlformats.org/officeDocument/2006/relationships/hyperlink" Target="https://tradingeconomics.com/commodity/crude-oil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tradingeconomics.com/commodity/neodymium" TargetMode="External"/><Relationship Id="rId31" Type="http://schemas.openxmlformats.org/officeDocument/2006/relationships/hyperlink" Target="https://www.omnicalculator.com/conversion/natural-gas-converter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tradingeconomics.com/commodity/nickel" TargetMode="External"/><Relationship Id="rId22" Type="http://schemas.openxmlformats.org/officeDocument/2006/relationships/hyperlink" Target="https://www.ga.gov.au/education/classroom-resources/minerals-energy/australian-mineral-facts/nickel" TargetMode="External"/><Relationship Id="rId27" Type="http://schemas.openxmlformats.org/officeDocument/2006/relationships/hyperlink" Target="https://www.statista.com/statistics/265229/global-oil-production-in-million-metric-tons/" TargetMode="External"/><Relationship Id="rId30" Type="http://schemas.openxmlformats.org/officeDocument/2006/relationships/hyperlink" Target="https://www.statista.com/statistics/265344/total-global-natural-gas-production-since-1998/" TargetMode="External"/><Relationship Id="rId35" Type="http://schemas.openxmlformats.org/officeDocument/2006/relationships/hyperlink" Target="https://www.911metallurgist.com/blog/froth-flotation-spodumene-processing-lithium-extr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workbookViewId="0">
      <selection activeCell="J7" sqref="J7:O22"/>
    </sheetView>
  </sheetViews>
  <sheetFormatPr defaultRowHeight="14.5" x14ac:dyDescent="0.35"/>
  <cols>
    <col min="2" max="2" width="27.453125" customWidth="1"/>
    <col min="3" max="3" width="15.7265625" customWidth="1"/>
    <col min="4" max="4" width="14.7265625" customWidth="1"/>
    <col min="5" max="5" width="11.81640625" customWidth="1"/>
    <col min="6" max="6" width="16.453125" customWidth="1"/>
    <col min="7" max="7" width="5.81640625" customWidth="1"/>
    <col min="8" max="8" width="16.26953125" customWidth="1"/>
    <col min="9" max="9" width="11.81640625" customWidth="1"/>
    <col min="10" max="10" width="28.6328125" customWidth="1"/>
    <col min="11" max="11" width="16" customWidth="1"/>
    <col min="12" max="12" width="11.08984375" customWidth="1"/>
    <col min="13" max="13" width="16.7265625" customWidth="1"/>
    <col min="14" max="14" width="5.54296875" customWidth="1"/>
    <col min="15" max="15" width="16.08984375" customWidth="1"/>
  </cols>
  <sheetData>
    <row r="1" spans="1:15" ht="34" customHeight="1" x14ac:dyDescent="0.65">
      <c r="A1" s="2" t="s">
        <v>150</v>
      </c>
    </row>
    <row r="3" spans="1:15" ht="15.5" x14ac:dyDescent="0.35">
      <c r="A3" s="1" t="s">
        <v>0</v>
      </c>
    </row>
    <row r="4" spans="1:15" ht="15.5" x14ac:dyDescent="0.35">
      <c r="A4" s="1" t="s">
        <v>1</v>
      </c>
    </row>
    <row r="7" spans="1:15" ht="26" x14ac:dyDescent="0.6">
      <c r="B7" s="11" t="s">
        <v>136</v>
      </c>
      <c r="C7" s="3"/>
      <c r="J7" s="11" t="str">
        <f t="shared" ref="J7:J22" si="0">B7</f>
        <v>Raw materials needed to make 100 million BEVs per year if no innovation</v>
      </c>
      <c r="K7" s="3"/>
    </row>
    <row r="8" spans="1:15" ht="6" customHeight="1" thickBot="1" x14ac:dyDescent="0.4"/>
    <row r="9" spans="1:15" ht="15" thickTop="1" x14ac:dyDescent="0.35">
      <c r="B9" s="12" t="s">
        <v>2</v>
      </c>
      <c r="C9" s="13" t="s">
        <v>26</v>
      </c>
      <c r="D9" s="13" t="s">
        <v>7</v>
      </c>
      <c r="E9" s="13" t="s">
        <v>135</v>
      </c>
      <c r="F9" s="13" t="s">
        <v>3</v>
      </c>
      <c r="G9" s="13" t="s">
        <v>21</v>
      </c>
      <c r="H9" s="14" t="s">
        <v>67</v>
      </c>
      <c r="J9" s="12" t="str">
        <f t="shared" si="0"/>
        <v>Material type</v>
      </c>
      <c r="K9" s="13" t="str">
        <f t="shared" ref="K9:K22" si="1">C9</f>
        <v xml:space="preserve">One average BEV </v>
      </c>
      <c r="L9" s="13" t="str">
        <f t="shared" ref="L9:L21" si="2">E9</f>
        <v>100M BEVs</v>
      </c>
      <c r="M9" s="13" t="str">
        <f t="shared" ref="M9:M21" si="3">F9</f>
        <v xml:space="preserve">Global production </v>
      </c>
      <c r="N9" s="13" t="str">
        <f t="shared" ref="N9:N21" si="4">G9</f>
        <v xml:space="preserve">Data </v>
      </c>
      <c r="O9" s="14" t="str">
        <f t="shared" ref="O9:O21" si="5">H9</f>
        <v>In % of current</v>
      </c>
    </row>
    <row r="10" spans="1:15" x14ac:dyDescent="0.35">
      <c r="B10" s="15"/>
      <c r="C10" s="16" t="s">
        <v>8</v>
      </c>
      <c r="D10" s="16" t="s">
        <v>9</v>
      </c>
      <c r="E10" s="16" t="str">
        <f>D10</f>
        <v>in tons</v>
      </c>
      <c r="F10" s="16" t="str">
        <f>D10</f>
        <v>in tons</v>
      </c>
      <c r="G10" s="16" t="s">
        <v>20</v>
      </c>
      <c r="H10" s="17" t="s">
        <v>24</v>
      </c>
      <c r="J10" s="15"/>
      <c r="K10" s="16" t="str">
        <f t="shared" si="1"/>
        <v>in kg per vehicle</v>
      </c>
      <c r="L10" s="16" t="str">
        <f t="shared" si="2"/>
        <v>in tons</v>
      </c>
      <c r="M10" s="16" t="str">
        <f t="shared" si="3"/>
        <v>in tons</v>
      </c>
      <c r="N10" s="16" t="str">
        <f t="shared" si="4"/>
        <v>year</v>
      </c>
      <c r="O10" s="17" t="str">
        <f t="shared" si="5"/>
        <v>global production</v>
      </c>
    </row>
    <row r="11" spans="1:15" x14ac:dyDescent="0.35">
      <c r="B11" s="18" t="s">
        <v>31</v>
      </c>
      <c r="C11" s="19">
        <v>100</v>
      </c>
      <c r="D11" s="5">
        <f>C11*$I$25/$I$28</f>
        <v>2000000</v>
      </c>
      <c r="E11" s="5">
        <f>D11*5</f>
        <v>10000000</v>
      </c>
      <c r="F11" s="5">
        <v>3034000</v>
      </c>
      <c r="G11">
        <v>2021</v>
      </c>
      <c r="H11" s="20">
        <f>E11/F11</f>
        <v>3.2959789057350033</v>
      </c>
      <c r="J11" s="18" t="s">
        <v>31</v>
      </c>
      <c r="K11" s="32">
        <f t="shared" si="1"/>
        <v>100</v>
      </c>
      <c r="L11" s="5">
        <f t="shared" si="2"/>
        <v>10000000</v>
      </c>
      <c r="M11" s="5">
        <f t="shared" si="3"/>
        <v>3034000</v>
      </c>
      <c r="N11">
        <f t="shared" si="4"/>
        <v>2021</v>
      </c>
      <c r="O11" s="20">
        <f t="shared" si="5"/>
        <v>3.2959789057350033</v>
      </c>
    </row>
    <row r="12" spans="1:15" x14ac:dyDescent="0.35">
      <c r="B12" s="18" t="s">
        <v>82</v>
      </c>
      <c r="C12" s="19">
        <v>45</v>
      </c>
      <c r="D12" s="5">
        <f>C12*$I$25/$I$28</f>
        <v>900000</v>
      </c>
      <c r="E12" s="5">
        <f t="shared" ref="E12:E21" si="6">D12*5</f>
        <v>4500000</v>
      </c>
      <c r="F12" s="5">
        <v>3300000</v>
      </c>
      <c r="G12">
        <v>2022</v>
      </c>
      <c r="H12" s="20">
        <f t="shared" ref="H12:H20" si="7">E12/F12</f>
        <v>1.3636363636363635</v>
      </c>
      <c r="J12" s="18" t="s">
        <v>82</v>
      </c>
      <c r="K12" s="32">
        <f t="shared" si="1"/>
        <v>45</v>
      </c>
      <c r="L12" s="5">
        <f t="shared" si="2"/>
        <v>4500000</v>
      </c>
      <c r="M12" s="5">
        <f t="shared" si="3"/>
        <v>3300000</v>
      </c>
      <c r="N12">
        <f t="shared" si="4"/>
        <v>2022</v>
      </c>
      <c r="O12" s="20">
        <f t="shared" si="5"/>
        <v>1.3636363636363635</v>
      </c>
    </row>
    <row r="13" spans="1:15" x14ac:dyDescent="0.35">
      <c r="B13" s="35" t="s">
        <v>56</v>
      </c>
      <c r="C13" s="36">
        <v>63</v>
      </c>
      <c r="D13" s="37">
        <f>C13*$I$25/$I$28</f>
        <v>1260000</v>
      </c>
      <c r="E13" s="37">
        <f t="shared" si="6"/>
        <v>6300000</v>
      </c>
      <c r="F13" s="37">
        <v>540000</v>
      </c>
      <c r="G13" s="38">
        <v>2021</v>
      </c>
      <c r="H13" s="39">
        <f>E13/F13</f>
        <v>11.666666666666666</v>
      </c>
      <c r="J13" s="35" t="s">
        <v>56</v>
      </c>
      <c r="K13" s="40">
        <f t="shared" si="1"/>
        <v>63</v>
      </c>
      <c r="L13" s="37">
        <f t="shared" si="2"/>
        <v>6300000</v>
      </c>
      <c r="M13" s="37">
        <f t="shared" si="3"/>
        <v>540000</v>
      </c>
      <c r="N13" s="38">
        <f t="shared" si="4"/>
        <v>2021</v>
      </c>
      <c r="O13" s="39">
        <f t="shared" si="5"/>
        <v>11.666666666666666</v>
      </c>
    </row>
    <row r="14" spans="1:15" x14ac:dyDescent="0.35">
      <c r="B14" s="35" t="s">
        <v>96</v>
      </c>
      <c r="C14" s="36">
        <f>C13*$I$30</f>
        <v>11.886839999999999</v>
      </c>
      <c r="D14" s="37">
        <f>D13*$I$30</f>
        <v>237736.8</v>
      </c>
      <c r="E14" s="37">
        <f>E13*$I$30</f>
        <v>1188684</v>
      </c>
      <c r="F14" s="37">
        <v>130000</v>
      </c>
      <c r="G14" s="38">
        <v>2022</v>
      </c>
      <c r="H14" s="39">
        <f>E14/F14</f>
        <v>9.1437230769230773</v>
      </c>
      <c r="J14" s="35" t="s">
        <v>96</v>
      </c>
      <c r="K14" s="40">
        <f t="shared" si="1"/>
        <v>11.886839999999999</v>
      </c>
      <c r="L14" s="37">
        <f t="shared" si="2"/>
        <v>1188684</v>
      </c>
      <c r="M14" s="37">
        <f t="shared" si="3"/>
        <v>130000</v>
      </c>
      <c r="N14" s="38">
        <f t="shared" si="4"/>
        <v>2022</v>
      </c>
      <c r="O14" s="39">
        <f t="shared" si="5"/>
        <v>9.1437230769230773</v>
      </c>
    </row>
    <row r="15" spans="1:15" x14ac:dyDescent="0.35">
      <c r="B15" s="18" t="s">
        <v>203</v>
      </c>
      <c r="C15" s="19">
        <f>$I$28*D15/$I$25</f>
        <v>91</v>
      </c>
      <c r="D15" s="5">
        <v>1820000</v>
      </c>
      <c r="E15" s="5">
        <f t="shared" si="6"/>
        <v>9100000</v>
      </c>
      <c r="F15" s="5">
        <v>21200000</v>
      </c>
      <c r="G15">
        <v>2021</v>
      </c>
      <c r="H15" s="20">
        <f t="shared" si="7"/>
        <v>0.42924528301886794</v>
      </c>
      <c r="J15" s="18" t="s">
        <v>203</v>
      </c>
      <c r="K15" s="32">
        <f t="shared" si="1"/>
        <v>91</v>
      </c>
      <c r="L15" s="5">
        <f t="shared" si="2"/>
        <v>9100000</v>
      </c>
      <c r="M15" s="5">
        <f t="shared" si="3"/>
        <v>21200000</v>
      </c>
      <c r="N15">
        <f t="shared" si="4"/>
        <v>2021</v>
      </c>
      <c r="O15" s="20">
        <f t="shared" si="5"/>
        <v>0.42924528301886794</v>
      </c>
    </row>
    <row r="16" spans="1:15" x14ac:dyDescent="0.35">
      <c r="B16" s="18" t="s">
        <v>206</v>
      </c>
      <c r="C16" s="19">
        <f>$I$28*D16/$I$25</f>
        <v>1.0405500000000001</v>
      </c>
      <c r="D16" s="5">
        <v>20811</v>
      </c>
      <c r="E16" s="5">
        <f t="shared" si="6"/>
        <v>104055</v>
      </c>
      <c r="F16" s="5">
        <v>19000000</v>
      </c>
      <c r="G16">
        <v>2019</v>
      </c>
      <c r="H16" s="20">
        <f t="shared" si="7"/>
        <v>5.4765789473684209E-3</v>
      </c>
      <c r="J16" s="18" t="s">
        <v>206</v>
      </c>
      <c r="K16" s="32">
        <f t="shared" si="1"/>
        <v>1.0405500000000001</v>
      </c>
      <c r="L16" s="5">
        <f t="shared" si="2"/>
        <v>104055</v>
      </c>
      <c r="M16" s="5">
        <f t="shared" si="3"/>
        <v>19000000</v>
      </c>
      <c r="N16">
        <f t="shared" si="4"/>
        <v>2019</v>
      </c>
      <c r="O16" s="20">
        <f t="shared" si="5"/>
        <v>5.4765789473684209E-3</v>
      </c>
    </row>
    <row r="17" spans="2:15" x14ac:dyDescent="0.35">
      <c r="B17" s="18" t="s">
        <v>207</v>
      </c>
      <c r="C17" s="19">
        <f>$I$28*D17/$I$25</f>
        <v>3.4157500000000001</v>
      </c>
      <c r="D17" s="5">
        <v>68315</v>
      </c>
      <c r="E17" s="5">
        <f t="shared" si="6"/>
        <v>341575</v>
      </c>
      <c r="F17" s="5">
        <v>190000</v>
      </c>
      <c r="G17">
        <v>2022</v>
      </c>
      <c r="H17" s="20">
        <f t="shared" si="7"/>
        <v>1.7977631578947368</v>
      </c>
      <c r="J17" s="18" t="s">
        <v>207</v>
      </c>
      <c r="K17" s="32">
        <f t="shared" si="1"/>
        <v>3.4157500000000001</v>
      </c>
      <c r="L17" s="5">
        <f t="shared" si="2"/>
        <v>341575</v>
      </c>
      <c r="M17" s="5">
        <f t="shared" si="3"/>
        <v>190000</v>
      </c>
      <c r="N17">
        <f t="shared" si="4"/>
        <v>2022</v>
      </c>
      <c r="O17" s="20">
        <f t="shared" si="5"/>
        <v>1.7977631578947368</v>
      </c>
    </row>
    <row r="18" spans="2:15" x14ac:dyDescent="0.35">
      <c r="B18" s="18" t="s">
        <v>202</v>
      </c>
      <c r="C18" s="19">
        <f>$I$28*D18/$I$25</f>
        <v>0.9</v>
      </c>
      <c r="D18" s="5">
        <v>18000</v>
      </c>
      <c r="E18" s="5">
        <f t="shared" si="6"/>
        <v>90000</v>
      </c>
      <c r="F18" s="5">
        <v>300000</v>
      </c>
      <c r="G18">
        <v>2019</v>
      </c>
      <c r="H18" s="20">
        <f t="shared" si="7"/>
        <v>0.3</v>
      </c>
      <c r="J18" s="18" t="s">
        <v>202</v>
      </c>
      <c r="K18" s="32">
        <f t="shared" si="1"/>
        <v>0.9</v>
      </c>
      <c r="L18" s="5">
        <f t="shared" si="2"/>
        <v>90000</v>
      </c>
      <c r="M18" s="5">
        <f t="shared" si="3"/>
        <v>300000</v>
      </c>
      <c r="N18">
        <f t="shared" si="4"/>
        <v>2019</v>
      </c>
      <c r="O18" s="20">
        <f t="shared" si="5"/>
        <v>0.3</v>
      </c>
    </row>
    <row r="19" spans="2:15" x14ac:dyDescent="0.35">
      <c r="B19" s="18" t="s">
        <v>204</v>
      </c>
      <c r="C19" s="19">
        <f>$I$28*D19/$I$25</f>
        <v>169</v>
      </c>
      <c r="D19" s="5">
        <v>3380000</v>
      </c>
      <c r="E19" s="5">
        <f t="shared" si="6"/>
        <v>16900000</v>
      </c>
      <c r="F19" s="5">
        <v>68000000</v>
      </c>
      <c r="G19">
        <v>2022</v>
      </c>
      <c r="H19" s="20">
        <f t="shared" si="7"/>
        <v>0.24852941176470589</v>
      </c>
      <c r="J19" s="18" t="s">
        <v>204</v>
      </c>
      <c r="K19" s="32">
        <f t="shared" si="1"/>
        <v>169</v>
      </c>
      <c r="L19" s="5">
        <f t="shared" si="2"/>
        <v>16900000</v>
      </c>
      <c r="M19" s="5">
        <f t="shared" si="3"/>
        <v>68000000</v>
      </c>
      <c r="N19">
        <f t="shared" si="4"/>
        <v>2022</v>
      </c>
      <c r="O19" s="20">
        <f t="shared" si="5"/>
        <v>0.24852941176470589</v>
      </c>
    </row>
    <row r="20" spans="2:15" x14ac:dyDescent="0.35">
      <c r="B20" s="18" t="s">
        <v>205</v>
      </c>
      <c r="C20" s="19">
        <v>1000</v>
      </c>
      <c r="D20" s="5">
        <f>C20*$I$25/$I$28</f>
        <v>20000000</v>
      </c>
      <c r="E20" s="5">
        <f t="shared" si="6"/>
        <v>100000000</v>
      </c>
      <c r="F20" s="5">
        <v>1951000000</v>
      </c>
      <c r="G20">
        <v>2021</v>
      </c>
      <c r="H20" s="20">
        <f t="shared" si="7"/>
        <v>5.1255766273705795E-2</v>
      </c>
      <c r="J20" s="18" t="s">
        <v>205</v>
      </c>
      <c r="K20" s="32">
        <f t="shared" si="1"/>
        <v>1000</v>
      </c>
      <c r="L20" s="5">
        <f t="shared" si="2"/>
        <v>100000000</v>
      </c>
      <c r="M20" s="5">
        <f t="shared" si="3"/>
        <v>1951000000</v>
      </c>
      <c r="N20">
        <f t="shared" si="4"/>
        <v>2021</v>
      </c>
      <c r="O20" s="20">
        <f t="shared" si="5"/>
        <v>5.1255766273705795E-2</v>
      </c>
    </row>
    <row r="21" spans="2:15" x14ac:dyDescent="0.35">
      <c r="B21" s="18" t="s">
        <v>17</v>
      </c>
      <c r="C21" s="19">
        <v>200</v>
      </c>
      <c r="D21" s="5">
        <f>C21*I25/I28</f>
        <v>4000000</v>
      </c>
      <c r="E21" s="5">
        <f t="shared" si="6"/>
        <v>20000000</v>
      </c>
      <c r="F21" t="s">
        <v>15</v>
      </c>
      <c r="G21" t="s">
        <v>15</v>
      </c>
      <c r="H21" s="21" t="s">
        <v>15</v>
      </c>
      <c r="J21" s="18" t="s">
        <v>17</v>
      </c>
      <c r="K21" s="32">
        <f t="shared" si="1"/>
        <v>200</v>
      </c>
      <c r="L21" s="5">
        <f t="shared" si="2"/>
        <v>20000000</v>
      </c>
      <c r="M21" t="str">
        <f t="shared" si="3"/>
        <v>-</v>
      </c>
      <c r="N21" t="str">
        <f t="shared" si="4"/>
        <v>-</v>
      </c>
      <c r="O21" s="21" t="str">
        <f t="shared" si="5"/>
        <v>-</v>
      </c>
    </row>
    <row r="22" spans="2:15" ht="15" thickBot="1" x14ac:dyDescent="0.4">
      <c r="B22" s="22" t="s">
        <v>25</v>
      </c>
      <c r="C22" s="23">
        <f>SUM(C11:C13,C15:C21)</f>
        <v>1673.3562999999999</v>
      </c>
      <c r="D22" s="24"/>
      <c r="E22" s="24"/>
      <c r="F22" s="24"/>
      <c r="G22" s="24"/>
      <c r="H22" s="25"/>
      <c r="J22" s="22" t="s">
        <v>25</v>
      </c>
      <c r="K22" s="82">
        <f t="shared" si="1"/>
        <v>1673.3562999999999</v>
      </c>
      <c r="L22" s="24"/>
      <c r="M22" s="24"/>
      <c r="N22" s="24"/>
      <c r="O22" s="25"/>
    </row>
    <row r="23" spans="2:15" ht="15" thickTop="1" x14ac:dyDescent="0.35"/>
    <row r="24" spans="2:15" x14ac:dyDescent="0.35">
      <c r="B24" s="6" t="s">
        <v>13</v>
      </c>
      <c r="C24" s="7"/>
      <c r="D24" s="7"/>
      <c r="E24" s="7"/>
      <c r="F24" s="7"/>
      <c r="G24" s="7"/>
      <c r="H24" s="7"/>
      <c r="I24" s="4" t="s">
        <v>6</v>
      </c>
    </row>
    <row r="25" spans="2:15" x14ac:dyDescent="0.35">
      <c r="I25" s="5">
        <v>20000000</v>
      </c>
      <c r="J25" t="s">
        <v>11</v>
      </c>
    </row>
    <row r="26" spans="2:15" x14ac:dyDescent="0.35">
      <c r="B26" s="4" t="s">
        <v>2</v>
      </c>
      <c r="C26" s="4" t="s">
        <v>10</v>
      </c>
      <c r="D26" s="4" t="s">
        <v>7</v>
      </c>
      <c r="E26" s="4" t="s">
        <v>5</v>
      </c>
      <c r="F26" s="4" t="s">
        <v>3</v>
      </c>
      <c r="G26" s="4" t="s">
        <v>4</v>
      </c>
      <c r="I26" s="5">
        <v>100000000</v>
      </c>
      <c r="J26" t="s">
        <v>12</v>
      </c>
    </row>
    <row r="27" spans="2:15" x14ac:dyDescent="0.35">
      <c r="C27" t="s">
        <v>8</v>
      </c>
      <c r="D27" t="s">
        <v>9</v>
      </c>
      <c r="E27" t="str">
        <f>D27</f>
        <v>in tons</v>
      </c>
      <c r="F27" t="str">
        <f>D27</f>
        <v>in tons</v>
      </c>
    </row>
    <row r="28" spans="2:15" x14ac:dyDescent="0.35">
      <c r="B28" s="4" t="str">
        <f>B11</f>
        <v>Graphite (99.95% pure anode)</v>
      </c>
      <c r="C28" s="9" t="s">
        <v>27</v>
      </c>
      <c r="D28" t="s">
        <v>30</v>
      </c>
      <c r="E28" t="s">
        <v>15</v>
      </c>
      <c r="F28" s="9" t="s">
        <v>28</v>
      </c>
      <c r="G28" t="s">
        <v>29</v>
      </c>
      <c r="I28">
        <v>1000</v>
      </c>
      <c r="J28" t="s">
        <v>16</v>
      </c>
    </row>
    <row r="29" spans="2:15" x14ac:dyDescent="0.35">
      <c r="B29" s="4" t="str">
        <f>B12</f>
        <v>Nickel (tesla battery 78kWh)</v>
      </c>
      <c r="C29" s="9" t="s">
        <v>14</v>
      </c>
      <c r="D29" t="s">
        <v>15</v>
      </c>
      <c r="E29" t="s">
        <v>15</v>
      </c>
      <c r="F29" s="9" t="s">
        <v>163</v>
      </c>
      <c r="G29" t="s">
        <v>15</v>
      </c>
      <c r="I29" t="s">
        <v>92</v>
      </c>
    </row>
    <row r="30" spans="2:15" x14ac:dyDescent="0.35">
      <c r="B30" s="4" t="str">
        <f>B13</f>
        <v xml:space="preserve">Lithium carbonate or equivalent </v>
      </c>
      <c r="C30" s="9" t="s">
        <v>42</v>
      </c>
      <c r="D30" t="s">
        <v>15</v>
      </c>
      <c r="E30" t="s">
        <v>15</v>
      </c>
      <c r="F30" s="9" t="s">
        <v>40</v>
      </c>
      <c r="G30" t="s">
        <v>41</v>
      </c>
      <c r="I30">
        <v>0.18867999999999999</v>
      </c>
      <c r="J30" t="s">
        <v>93</v>
      </c>
    </row>
    <row r="31" spans="2:15" x14ac:dyDescent="0.35">
      <c r="B31" s="18" t="str">
        <f>B14</f>
        <v>In terms of lithium metal 100%</v>
      </c>
      <c r="C31" t="s">
        <v>15</v>
      </c>
      <c r="F31" s="9" t="s">
        <v>95</v>
      </c>
      <c r="I31" t="s">
        <v>15</v>
      </c>
      <c r="J31" s="9" t="s">
        <v>94</v>
      </c>
    </row>
    <row r="32" spans="2:15" x14ac:dyDescent="0.35">
      <c r="B32" s="4" t="str">
        <f t="shared" ref="B32:B36" si="8">B15</f>
        <v>Copper (battery, motor, wires)</v>
      </c>
      <c r="C32" t="s">
        <v>15</v>
      </c>
      <c r="D32" s="9" t="s">
        <v>14</v>
      </c>
      <c r="E32" t="s">
        <v>15</v>
      </c>
      <c r="F32" s="9" t="s">
        <v>22</v>
      </c>
      <c r="G32" t="s">
        <v>15</v>
      </c>
    </row>
    <row r="33" spans="2:7" x14ac:dyDescent="0.35">
      <c r="B33" s="4" t="str">
        <f t="shared" si="8"/>
        <v>Manganese (batteries)</v>
      </c>
      <c r="C33" t="s">
        <v>15</v>
      </c>
      <c r="D33" s="9" t="s">
        <v>14</v>
      </c>
      <c r="E33" t="s">
        <v>15</v>
      </c>
      <c r="F33" s="9" t="s">
        <v>14</v>
      </c>
      <c r="G33" t="s">
        <v>15</v>
      </c>
    </row>
    <row r="34" spans="2:7" x14ac:dyDescent="0.35">
      <c r="B34" s="4" t="str">
        <f t="shared" si="8"/>
        <v>Cobalt (batteries)</v>
      </c>
      <c r="C34" t="s">
        <v>15</v>
      </c>
      <c r="D34" s="9" t="s">
        <v>14</v>
      </c>
      <c r="E34" t="s">
        <v>15</v>
      </c>
      <c r="F34" s="9" t="s">
        <v>159</v>
      </c>
      <c r="G34" t="s">
        <v>15</v>
      </c>
    </row>
    <row r="35" spans="2:7" x14ac:dyDescent="0.35">
      <c r="B35" s="4" t="str">
        <f t="shared" si="8"/>
        <v>Rare earth (fx Nd, Pr, Dy, Tb)</v>
      </c>
      <c r="C35" t="s">
        <v>15</v>
      </c>
      <c r="D35" s="9" t="s">
        <v>14</v>
      </c>
      <c r="E35" t="s">
        <v>15</v>
      </c>
      <c r="F35" s="88" t="s">
        <v>19</v>
      </c>
      <c r="G35" t="s">
        <v>15</v>
      </c>
    </row>
    <row r="36" spans="2:7" x14ac:dyDescent="0.35">
      <c r="B36" s="4" t="str">
        <f t="shared" si="8"/>
        <v>Aluminum (vehicle GM Volt))</v>
      </c>
      <c r="C36" t="s">
        <v>15</v>
      </c>
      <c r="D36" s="9" t="s">
        <v>14</v>
      </c>
      <c r="E36" t="s">
        <v>15</v>
      </c>
      <c r="F36" s="9" t="s">
        <v>208</v>
      </c>
      <c r="G36" t="s">
        <v>15</v>
      </c>
    </row>
    <row r="37" spans="2:7" x14ac:dyDescent="0.35">
      <c r="B37" s="4" t="s">
        <v>54</v>
      </c>
      <c r="C37" t="s">
        <v>18</v>
      </c>
      <c r="D37" t="s">
        <v>15</v>
      </c>
      <c r="E37" t="s">
        <v>15</v>
      </c>
      <c r="F37" s="9" t="s">
        <v>23</v>
      </c>
      <c r="G37" t="s">
        <v>15</v>
      </c>
    </row>
    <row r="38" spans="2:7" x14ac:dyDescent="0.35">
      <c r="B38" s="4" t="s">
        <v>17</v>
      </c>
      <c r="C38" t="s">
        <v>18</v>
      </c>
      <c r="D38" t="s">
        <v>15</v>
      </c>
      <c r="F38" t="s">
        <v>15</v>
      </c>
    </row>
    <row r="44" spans="2:7" x14ac:dyDescent="0.35">
      <c r="B44" t="s">
        <v>61</v>
      </c>
    </row>
    <row r="45" spans="2:7" x14ac:dyDescent="0.35">
      <c r="B45">
        <v>0.08</v>
      </c>
    </row>
    <row r="46" spans="2:7" x14ac:dyDescent="0.35">
      <c r="B46" t="s">
        <v>62</v>
      </c>
    </row>
    <row r="47" spans="2:7" x14ac:dyDescent="0.35">
      <c r="B47" t="s">
        <v>64</v>
      </c>
    </row>
    <row r="48" spans="2:7" x14ac:dyDescent="0.35">
      <c r="B48">
        <v>530</v>
      </c>
    </row>
    <row r="49" spans="2:3" x14ac:dyDescent="0.35">
      <c r="B49" t="s">
        <v>63</v>
      </c>
    </row>
    <row r="51" spans="2:3" x14ac:dyDescent="0.35">
      <c r="B51" t="s">
        <v>65</v>
      </c>
      <c r="C51">
        <f>B48*B45</f>
        <v>42.4</v>
      </c>
    </row>
    <row r="53" spans="2:3" x14ac:dyDescent="0.35">
      <c r="B53" t="s">
        <v>66</v>
      </c>
      <c r="C53">
        <f>90-C51-23</f>
        <v>24.6</v>
      </c>
    </row>
  </sheetData>
  <phoneticPr fontId="5" type="noConversion"/>
  <hyperlinks>
    <hyperlink ref="F37" r:id="rId1" xr:uid="{0D27EFBF-958B-4066-9BAE-8886F7B0858D}"/>
    <hyperlink ref="F28" r:id="rId2" xr:uid="{D1072F87-D3D1-46B9-BF90-6850E64AF18D}"/>
    <hyperlink ref="F31" r:id="rId3" xr:uid="{EBDDC695-D8B3-4919-AD73-B1A5D3F9B63E}"/>
    <hyperlink ref="F30" r:id="rId4" xr:uid="{DF205339-E4C6-4612-8CDC-B3267BF3AA9A}"/>
    <hyperlink ref="C28" r:id="rId5" location=":~:text=Graphite%20is%20thus%20considered%20indispensable,containing%2020%2D30%25%20graphite." xr:uid="{94002877-2030-4AA8-B400-9C64D06E9D9E}"/>
    <hyperlink ref="C29" r:id="rId6" xr:uid="{C4DE1C3F-8691-44E2-8334-A8D90E1A2940}"/>
    <hyperlink ref="C30" r:id="rId7" xr:uid="{B0A2DCEA-B289-4279-8AAF-A2E80B14B43F}"/>
    <hyperlink ref="D32" r:id="rId8" xr:uid="{773B7336-3C81-4A3F-9B85-19196950C243}"/>
    <hyperlink ref="D33" r:id="rId9" xr:uid="{0FB39F5A-1A95-48BF-B5B7-36168FB21E6E}"/>
    <hyperlink ref="D34" r:id="rId10" xr:uid="{A8ED77A4-59E8-4EB7-B602-DB63A246780A}"/>
    <hyperlink ref="D35" r:id="rId11" xr:uid="{12766662-6937-419B-AA7E-61BE9ACD01EF}"/>
    <hyperlink ref="D36" r:id="rId12" xr:uid="{AC711A0C-8E26-4C15-9AC7-A4A4A763AF41}"/>
    <hyperlink ref="F32" r:id="rId13" xr:uid="{8947FDCC-8192-4292-BA1E-0A71EF52B9D0}"/>
    <hyperlink ref="F33" r:id="rId14" xr:uid="{C7F0F221-8837-4430-8CCF-799B377B5D20}"/>
    <hyperlink ref="F35" r:id="rId15" xr:uid="{6E389586-5ED5-4CFC-A494-954D38CEA065}"/>
    <hyperlink ref="F34" r:id="rId16" xr:uid="{A0293EBC-E2D3-4001-9D01-53DAF1AC6206}"/>
    <hyperlink ref="F29" r:id="rId17" xr:uid="{E597ECC5-8078-4FB8-B664-359D59EE6B5C}"/>
    <hyperlink ref="F36" r:id="rId18" xr:uid="{12EC93F6-3ECA-4FDC-BF65-11B0453EFD7E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opLeftCell="A3" workbookViewId="0">
      <selection activeCell="I26" sqref="I26"/>
    </sheetView>
  </sheetViews>
  <sheetFormatPr defaultRowHeight="14.5" x14ac:dyDescent="0.35"/>
  <cols>
    <col min="2" max="2" width="28.54296875" customWidth="1"/>
    <col min="3" max="3" width="15.1796875" customWidth="1"/>
    <col min="4" max="4" width="11.453125" customWidth="1"/>
    <col min="5" max="5" width="11" customWidth="1"/>
    <col min="6" max="6" width="17.81640625" customWidth="1"/>
    <col min="7" max="7" width="10.1796875" customWidth="1"/>
    <col min="8" max="8" width="19.54296875" customWidth="1"/>
    <col min="13" max="13" width="14.54296875" customWidth="1"/>
  </cols>
  <sheetData>
    <row r="1" spans="1:14" ht="28.5" x14ac:dyDescent="0.65">
      <c r="A1" s="2" t="str">
        <f>RawMaterialsForBEV!A1</f>
        <v>Lithium - Breaking China’s battery monopoly and making 100 million BEVs per year by 2032 #19</v>
      </c>
    </row>
    <row r="3" spans="1:14" ht="15.5" x14ac:dyDescent="0.35">
      <c r="A3" s="1" t="str">
        <f>RawMaterialsForBEV!A3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4" ht="15.5" x14ac:dyDescent="0.35">
      <c r="A4" s="1" t="str">
        <f>RawMaterialsForBEV!A4</f>
        <v>Sources to all information used in this spreadsheet can also be found in associated PowerPoint presentation located also at www.hmexperience.dk</v>
      </c>
    </row>
    <row r="5" spans="1:14" x14ac:dyDescent="0.35">
      <c r="M5" s="4" t="s">
        <v>6</v>
      </c>
    </row>
    <row r="6" spans="1:14" x14ac:dyDescent="0.35">
      <c r="M6" s="5">
        <v>20000000</v>
      </c>
      <c r="N6" t="s">
        <v>11</v>
      </c>
    </row>
    <row r="7" spans="1:14" ht="25.5" customHeight="1" x14ac:dyDescent="0.6">
      <c r="B7" s="11" t="s">
        <v>137</v>
      </c>
      <c r="C7" s="3"/>
      <c r="M7" s="5">
        <v>100000000</v>
      </c>
      <c r="N7" t="s">
        <v>12</v>
      </c>
    </row>
    <row r="8" spans="1:14" ht="5.5" customHeight="1" thickBot="1" x14ac:dyDescent="0.4"/>
    <row r="9" spans="1:14" ht="15" thickTop="1" x14ac:dyDescent="0.35">
      <c r="B9" s="26" t="s">
        <v>2</v>
      </c>
      <c r="C9" s="27" t="s">
        <v>26</v>
      </c>
      <c r="D9" s="27" t="str">
        <f>RawMaterialsForBEV!E9</f>
        <v>100M BEVs</v>
      </c>
      <c r="E9" s="27" t="s">
        <v>38</v>
      </c>
      <c r="F9" s="27" t="s">
        <v>34</v>
      </c>
      <c r="G9" s="28" t="s">
        <v>35</v>
      </c>
      <c r="H9" s="4"/>
      <c r="I9" s="10" t="s">
        <v>58</v>
      </c>
      <c r="M9">
        <v>1000</v>
      </c>
      <c r="N9" t="s">
        <v>16</v>
      </c>
    </row>
    <row r="10" spans="1:14" x14ac:dyDescent="0.35">
      <c r="B10" s="29"/>
      <c r="C10" s="30" t="s">
        <v>8</v>
      </c>
      <c r="D10" s="30" t="str">
        <f>RawMaterialsForBEV!E10</f>
        <v>in tons</v>
      </c>
      <c r="E10" s="10" t="s">
        <v>39</v>
      </c>
      <c r="F10" s="10" t="s">
        <v>33</v>
      </c>
      <c r="G10" s="31" t="s">
        <v>36</v>
      </c>
      <c r="H10" s="4"/>
      <c r="I10" s="10" t="s">
        <v>59</v>
      </c>
      <c r="M10">
        <v>2.2000000000000002</v>
      </c>
      <c r="N10" t="s">
        <v>44</v>
      </c>
    </row>
    <row r="11" spans="1:14" x14ac:dyDescent="0.35">
      <c r="B11" s="18" t="s">
        <v>31</v>
      </c>
      <c r="C11" s="32">
        <f>RawMaterialsForBEV!C11</f>
        <v>100</v>
      </c>
      <c r="D11" s="5">
        <f>RawMaterialsForBEV!E11</f>
        <v>10000000</v>
      </c>
      <c r="E11" s="32">
        <f>1500/M9</f>
        <v>1.5</v>
      </c>
      <c r="F11" s="32">
        <f t="shared" ref="F11:F21" si="0">E11*C11</f>
        <v>150</v>
      </c>
      <c r="G11" s="33">
        <v>45010</v>
      </c>
      <c r="H11" s="8"/>
      <c r="M11" t="s">
        <v>45</v>
      </c>
      <c r="N11" s="9" t="s">
        <v>46</v>
      </c>
    </row>
    <row r="12" spans="1:14" x14ac:dyDescent="0.35">
      <c r="B12" s="18" t="s">
        <v>82</v>
      </c>
      <c r="C12" s="32">
        <f>RawMaterialsForBEV!C12</f>
        <v>45</v>
      </c>
      <c r="D12" s="5">
        <f>RawMaterialsForBEV!E12</f>
        <v>4500000</v>
      </c>
      <c r="E12" s="32">
        <f>23300/M9</f>
        <v>23.3</v>
      </c>
      <c r="F12" s="32">
        <f t="shared" si="0"/>
        <v>1048.5</v>
      </c>
      <c r="G12" s="33">
        <v>45010</v>
      </c>
      <c r="H12" s="8"/>
      <c r="M12">
        <v>0.14558599999999999</v>
      </c>
    </row>
    <row r="13" spans="1:14" x14ac:dyDescent="0.35">
      <c r="B13" s="35" t="s">
        <v>56</v>
      </c>
      <c r="C13" s="40">
        <f>RawMaterialsForBEV!C13</f>
        <v>63</v>
      </c>
      <c r="D13" s="37">
        <f>RawMaterialsForBEV!E13</f>
        <v>6300000</v>
      </c>
      <c r="E13" s="40">
        <f>I13*$M$12/$M$9</f>
        <v>34.431089</v>
      </c>
      <c r="F13" s="40">
        <f t="shared" si="0"/>
        <v>2169.1586069999998</v>
      </c>
      <c r="G13" s="41">
        <v>45017</v>
      </c>
      <c r="H13" s="8"/>
      <c r="I13">
        <v>236500</v>
      </c>
      <c r="J13">
        <v>236500</v>
      </c>
      <c r="M13" t="s">
        <v>97</v>
      </c>
    </row>
    <row r="14" spans="1:14" x14ac:dyDescent="0.35">
      <c r="B14" s="35" t="s">
        <v>96</v>
      </c>
      <c r="C14" s="40">
        <f>RawMaterialsForBEV!C14</f>
        <v>11.886839999999999</v>
      </c>
      <c r="D14" s="37">
        <f>RawMaterialsForBEV!E14</f>
        <v>1188684</v>
      </c>
      <c r="E14" s="40">
        <f>M15</f>
        <v>182.48404176383295</v>
      </c>
      <c r="F14" s="40">
        <f t="shared" si="0"/>
        <v>2169.1586069999998</v>
      </c>
      <c r="G14" s="41">
        <v>45017</v>
      </c>
      <c r="H14" s="8"/>
    </row>
    <row r="15" spans="1:14" x14ac:dyDescent="0.35">
      <c r="B15" s="18" t="s">
        <v>203</v>
      </c>
      <c r="C15" s="32">
        <f>RawMaterialsForBEV!C15</f>
        <v>91</v>
      </c>
      <c r="D15" s="5">
        <f>RawMaterialsForBEV!E15</f>
        <v>9100000</v>
      </c>
      <c r="E15" s="32">
        <f>4.1*M10</f>
        <v>9.02</v>
      </c>
      <c r="F15" s="32">
        <f t="shared" si="0"/>
        <v>820.81999999999994</v>
      </c>
      <c r="G15" s="33">
        <v>45010</v>
      </c>
      <c r="H15" s="8"/>
      <c r="M15" s="65">
        <f>E13*(1/RawMaterialsForBEV!I30)</f>
        <v>182.48404176383295</v>
      </c>
      <c r="N15" t="s">
        <v>98</v>
      </c>
    </row>
    <row r="16" spans="1:14" x14ac:dyDescent="0.35">
      <c r="B16" s="18" t="s">
        <v>206</v>
      </c>
      <c r="C16" s="32">
        <f>RawMaterialsForBEV!C16</f>
        <v>1.0405500000000001</v>
      </c>
      <c r="D16" s="5">
        <f>RawMaterialsForBEV!E16</f>
        <v>104055</v>
      </c>
      <c r="E16" s="32">
        <f>I16*$M$12/$M$9</f>
        <v>4.7315449999999997</v>
      </c>
      <c r="F16" s="32">
        <f t="shared" si="0"/>
        <v>4.9234091497500003</v>
      </c>
      <c r="G16" s="33">
        <v>45010</v>
      </c>
      <c r="H16" s="8"/>
      <c r="I16">
        <v>32500</v>
      </c>
    </row>
    <row r="17" spans="2:15" x14ac:dyDescent="0.35">
      <c r="B17" s="18" t="s">
        <v>207</v>
      </c>
      <c r="C17" s="32">
        <f>RawMaterialsForBEV!C17</f>
        <v>3.4157500000000001</v>
      </c>
      <c r="D17" s="5">
        <f>RawMaterialsForBEV!E17</f>
        <v>341575</v>
      </c>
      <c r="E17" s="32">
        <f>34180/M9</f>
        <v>34.18</v>
      </c>
      <c r="F17" s="32">
        <f t="shared" si="0"/>
        <v>116.75033500000001</v>
      </c>
      <c r="G17" s="33">
        <v>45010</v>
      </c>
      <c r="H17" s="8"/>
    </row>
    <row r="18" spans="2:15" x14ac:dyDescent="0.35">
      <c r="B18" s="18" t="s">
        <v>202</v>
      </c>
      <c r="C18" s="32">
        <f>RawMaterialsForBEV!C18</f>
        <v>0.9</v>
      </c>
      <c r="D18" s="5">
        <f>RawMaterialsForBEV!E18</f>
        <v>90000</v>
      </c>
      <c r="E18" s="32">
        <f>I18*$M$12/$M$9</f>
        <v>103.36606</v>
      </c>
      <c r="F18" s="32">
        <f t="shared" si="0"/>
        <v>93.029454000000001</v>
      </c>
      <c r="G18" s="33">
        <v>45010</v>
      </c>
      <c r="H18" s="8"/>
      <c r="I18">
        <v>710000</v>
      </c>
      <c r="O18" s="9"/>
    </row>
    <row r="19" spans="2:15" x14ac:dyDescent="0.35">
      <c r="B19" s="18" t="s">
        <v>204</v>
      </c>
      <c r="C19" s="32">
        <f>RawMaterialsForBEV!C19</f>
        <v>169</v>
      </c>
      <c r="D19" s="5">
        <f>RawMaterialsForBEV!E19</f>
        <v>16900000</v>
      </c>
      <c r="E19" s="32">
        <f>2348/M9</f>
        <v>2.3479999999999999</v>
      </c>
      <c r="F19" s="32">
        <f t="shared" si="0"/>
        <v>396.81199999999995</v>
      </c>
      <c r="G19" s="33">
        <v>45010</v>
      </c>
      <c r="H19" s="8"/>
    </row>
    <row r="20" spans="2:15" x14ac:dyDescent="0.35">
      <c r="B20" s="18" t="s">
        <v>205</v>
      </c>
      <c r="C20" s="32">
        <f>RawMaterialsForBEV!C20</f>
        <v>1000</v>
      </c>
      <c r="D20" s="5">
        <f>RawMaterialsForBEV!E20</f>
        <v>100000000</v>
      </c>
      <c r="E20" s="32">
        <f>I20*$M$12/$M$9</f>
        <v>0.59471880999999993</v>
      </c>
      <c r="F20" s="32">
        <f t="shared" si="0"/>
        <v>594.71880999999996</v>
      </c>
      <c r="G20" s="33">
        <v>45010</v>
      </c>
      <c r="H20" s="8"/>
      <c r="I20">
        <v>4085</v>
      </c>
    </row>
    <row r="21" spans="2:15" x14ac:dyDescent="0.35">
      <c r="B21" s="18" t="s">
        <v>17</v>
      </c>
      <c r="C21" s="32">
        <f>RawMaterialsForBEV!C21</f>
        <v>200</v>
      </c>
      <c r="D21" s="5">
        <f>RawMaterialsForBEV!E21</f>
        <v>20000000</v>
      </c>
      <c r="E21" s="32">
        <v>4</v>
      </c>
      <c r="F21" s="32">
        <f t="shared" si="0"/>
        <v>800</v>
      </c>
      <c r="G21" s="33">
        <v>45010</v>
      </c>
    </row>
    <row r="22" spans="2:15" ht="15" thickBot="1" x14ac:dyDescent="0.4">
      <c r="B22" s="22" t="s">
        <v>25</v>
      </c>
      <c r="C22" s="82">
        <f>SUM(C11:C13,C15:C21)</f>
        <v>1673.3562999999999</v>
      </c>
      <c r="D22" s="24"/>
      <c r="E22" s="34" t="s">
        <v>57</v>
      </c>
      <c r="F22" s="34">
        <f>SUM(F11:F13,F15:F21)</f>
        <v>6194.7126151497505</v>
      </c>
      <c r="G22" s="25"/>
    </row>
    <row r="23" spans="2:15" ht="15" thickTop="1" x14ac:dyDescent="0.35"/>
    <row r="24" spans="2:15" x14ac:dyDescent="0.35">
      <c r="B24" s="6" t="str">
        <f>RawMaterialsForBEV!B24</f>
        <v>Sources and attribution</v>
      </c>
      <c r="C24" s="6"/>
      <c r="D24" s="6"/>
      <c r="E24" s="6"/>
      <c r="F24" s="7"/>
      <c r="G24" s="7"/>
    </row>
    <row r="26" spans="2:15" x14ac:dyDescent="0.35">
      <c r="B26" s="4" t="str">
        <f>RawMaterialsForBEV!B26</f>
        <v>Material type</v>
      </c>
      <c r="C26" s="4" t="str">
        <f>RawMaterialsForBEV!C26</f>
        <v xml:space="preserve">1 average BEV </v>
      </c>
      <c r="D26" s="4" t="str">
        <f>RawMaterialsForBEV!D26</f>
        <v xml:space="preserve">Tesla 20M BEVs </v>
      </c>
      <c r="E26" s="4" t="s">
        <v>32</v>
      </c>
      <c r="F26" s="4" t="s">
        <v>34</v>
      </c>
      <c r="G26" s="4" t="s">
        <v>35</v>
      </c>
    </row>
    <row r="27" spans="2:15" x14ac:dyDescent="0.35">
      <c r="B27" s="4"/>
      <c r="C27" s="4" t="str">
        <f>RawMaterialsForBEV!C27</f>
        <v>in kg per vehicle</v>
      </c>
      <c r="D27" s="4" t="str">
        <f>RawMaterialsForBEV!D27</f>
        <v>in tons</v>
      </c>
      <c r="F27" s="4" t="s">
        <v>33</v>
      </c>
      <c r="G27" t="s">
        <v>36</v>
      </c>
    </row>
    <row r="28" spans="2:15" x14ac:dyDescent="0.35">
      <c r="B28" s="4" t="str">
        <f>RawMaterialsForBEV!B28</f>
        <v>Graphite (99.95% pure anode)</v>
      </c>
      <c r="C28" s="9" t="s">
        <v>27</v>
      </c>
      <c r="D28" t="s">
        <v>30</v>
      </c>
      <c r="E28" s="9" t="s">
        <v>60</v>
      </c>
      <c r="F28" t="s">
        <v>15</v>
      </c>
    </row>
    <row r="29" spans="2:15" x14ac:dyDescent="0.35">
      <c r="B29" s="4" t="str">
        <f>RawMaterialsForBEV!B29</f>
        <v>Nickel (tesla battery 78kWh)</v>
      </c>
      <c r="C29" s="9" t="s">
        <v>14</v>
      </c>
      <c r="D29" t="s">
        <v>15</v>
      </c>
      <c r="E29" s="9" t="s">
        <v>37</v>
      </c>
      <c r="F29" t="s">
        <v>15</v>
      </c>
    </row>
    <row r="30" spans="2:15" x14ac:dyDescent="0.35">
      <c r="B30" s="4" t="str">
        <f>RawMaterialsForBEV!B30</f>
        <v xml:space="preserve">Lithium carbonate or equivalent </v>
      </c>
      <c r="C30" s="9" t="s">
        <v>42</v>
      </c>
      <c r="D30" t="s">
        <v>15</v>
      </c>
      <c r="E30" s="9" t="s">
        <v>43</v>
      </c>
      <c r="F30" t="s">
        <v>15</v>
      </c>
    </row>
    <row r="31" spans="2:15" x14ac:dyDescent="0.35">
      <c r="B31" s="4" t="str">
        <f>RawMaterialsForBEV!$B$31</f>
        <v>In terms of lithium metal 100%</v>
      </c>
      <c r="C31" t="s">
        <v>15</v>
      </c>
    </row>
    <row r="32" spans="2:15" x14ac:dyDescent="0.35">
      <c r="B32" s="4" t="str">
        <f>RawMaterialsForBEV!B32</f>
        <v>Copper (battery, motor, wires)</v>
      </c>
      <c r="C32" t="str">
        <f>RawMaterialsForBEV!C32</f>
        <v>-</v>
      </c>
      <c r="D32" s="9" t="s">
        <v>14</v>
      </c>
      <c r="E32" s="9" t="s">
        <v>48</v>
      </c>
      <c r="F32" t="s">
        <v>15</v>
      </c>
    </row>
    <row r="33" spans="2:6" x14ac:dyDescent="0.35">
      <c r="B33" s="4" t="str">
        <f>RawMaterialsForBEV!B33</f>
        <v>Manganese (batteries)</v>
      </c>
      <c r="C33" t="str">
        <f>RawMaterialsForBEV!C33</f>
        <v>-</v>
      </c>
      <c r="D33" s="9" t="s">
        <v>14</v>
      </c>
      <c r="E33" s="9" t="s">
        <v>49</v>
      </c>
      <c r="F33" t="s">
        <v>15</v>
      </c>
    </row>
    <row r="34" spans="2:6" x14ac:dyDescent="0.35">
      <c r="B34" s="4" t="str">
        <f>RawMaterialsForBEV!B34</f>
        <v>Cobalt (batteries)</v>
      </c>
      <c r="C34" t="str">
        <f>RawMaterialsForBEV!C34</f>
        <v>-</v>
      </c>
      <c r="D34" s="9" t="s">
        <v>14</v>
      </c>
      <c r="E34" s="9" t="s">
        <v>47</v>
      </c>
      <c r="F34" t="s">
        <v>15</v>
      </c>
    </row>
    <row r="35" spans="2:6" x14ac:dyDescent="0.35">
      <c r="B35" s="4" t="str">
        <f>RawMaterialsForBEV!B35</f>
        <v>Rare earth (fx Nd, Pr, Dy, Tb)</v>
      </c>
      <c r="C35" t="str">
        <f>RawMaterialsForBEV!C35</f>
        <v>-</v>
      </c>
      <c r="D35" s="9" t="s">
        <v>14</v>
      </c>
      <c r="E35" s="9" t="s">
        <v>50</v>
      </c>
      <c r="F35" t="s">
        <v>51</v>
      </c>
    </row>
    <row r="36" spans="2:6" x14ac:dyDescent="0.35">
      <c r="B36" s="4" t="str">
        <f>RawMaterialsForBEV!B36</f>
        <v>Aluminum (vehicle GM Volt))</v>
      </c>
      <c r="C36" t="str">
        <f>RawMaterialsForBEV!C36</f>
        <v>-</v>
      </c>
      <c r="D36" s="9" t="s">
        <v>14</v>
      </c>
      <c r="E36" s="9" t="s">
        <v>52</v>
      </c>
      <c r="F36" t="s">
        <v>15</v>
      </c>
    </row>
    <row r="37" spans="2:6" x14ac:dyDescent="0.35">
      <c r="B37" s="4" t="str">
        <f>RawMaterialsForBEV!B37</f>
        <v>Crude steel https://kdmfab.com/mild-steel-vs-stainless-steel/</v>
      </c>
      <c r="C37" t="str">
        <f>RawMaterialsForBEV!C37</f>
        <v>My own estimate</v>
      </c>
      <c r="D37" t="str">
        <f>RawMaterialsForBEV!D37</f>
        <v>-</v>
      </c>
      <c r="E37" s="9" t="s">
        <v>53</v>
      </c>
      <c r="F37" t="s">
        <v>15</v>
      </c>
    </row>
    <row r="38" spans="2:6" x14ac:dyDescent="0.35">
      <c r="B38" s="4" t="str">
        <f>RawMaterialsForBEV!B38</f>
        <v>Other textile and plastic</v>
      </c>
      <c r="C38" t="str">
        <f>RawMaterialsForBEV!C38</f>
        <v>My own estimate</v>
      </c>
      <c r="D38" t="str">
        <f>RawMaterialsForBEV!D38</f>
        <v>-</v>
      </c>
      <c r="E38" t="s">
        <v>55</v>
      </c>
      <c r="F38" t="s">
        <v>15</v>
      </c>
    </row>
  </sheetData>
  <hyperlinks>
    <hyperlink ref="N11" r:id="rId1" xr:uid="{F2DB019C-C5B0-47E1-B2FC-FE95179BB327}"/>
    <hyperlink ref="C28" r:id="rId2" location=":~:text=Graphite%20is%20thus%20considered%20indispensable,containing%2020%2D30%25%20graphite." xr:uid="{D26CEEFC-2988-4AF3-B8E5-E60126C7E035}"/>
    <hyperlink ref="C29" r:id="rId3" xr:uid="{4CA6625B-EC57-41FF-96B8-427E8AAA3D5F}"/>
    <hyperlink ref="C30" r:id="rId4" xr:uid="{ABBA38C2-8F95-4002-B037-DCE81B253A54}"/>
    <hyperlink ref="D32" r:id="rId5" xr:uid="{6BE24F4D-C641-4A10-8A3B-A9604BFFD4D3}"/>
    <hyperlink ref="D33" r:id="rId6" xr:uid="{A94365C2-1437-4C7A-BED1-CD6DD20B70A0}"/>
    <hyperlink ref="D34" r:id="rId7" xr:uid="{991021C0-1D5A-423C-8E5D-AABF19C58F39}"/>
    <hyperlink ref="D35" r:id="rId8" xr:uid="{CD056B77-B732-412E-BB43-009C4E57865A}"/>
    <hyperlink ref="D36" r:id="rId9" xr:uid="{56487379-7066-4E6E-A88E-4430EF515DA8}"/>
    <hyperlink ref="E28" r:id="rId10" xr:uid="{68825717-7DF6-406F-8A1D-8E0B17F65616}"/>
    <hyperlink ref="E29" r:id="rId11" xr:uid="{38B0FA00-F0D4-439D-961C-9E6ED01B6D2F}"/>
    <hyperlink ref="E30" r:id="rId12" xr:uid="{E46A920F-709D-44E8-9C7D-A148FC0489A6}"/>
    <hyperlink ref="E32" r:id="rId13" xr:uid="{4BDC15F0-0D5A-4D93-8623-E0B507DC7BC4}"/>
    <hyperlink ref="E33" r:id="rId14" xr:uid="{3DF82D6D-9798-4277-B846-F88C6BABF82B}"/>
    <hyperlink ref="E34" r:id="rId15" xr:uid="{CF487FAC-7BEE-4BFF-887D-AE63A84AD4F6}"/>
    <hyperlink ref="E35" r:id="rId16" xr:uid="{B82EA03E-CBA8-4339-AA59-A000AB1CE05F}"/>
    <hyperlink ref="E36" r:id="rId17" xr:uid="{AD7E383F-8C05-4552-9CC9-BF0C05C19F4D}"/>
    <hyperlink ref="E37" r:id="rId18" xr:uid="{98284CE7-9A80-495A-9921-AC0949BB9DD2}"/>
  </hyperlinks>
  <pageMargins left="0.7" right="0.7" top="0.75" bottom="0.75" header="0.3" footer="0.3"/>
  <pageSetup orientation="portrait" verticalDpi="0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H6" sqref="H6"/>
    </sheetView>
  </sheetViews>
  <sheetFormatPr defaultRowHeight="14.5" x14ac:dyDescent="0.35"/>
  <cols>
    <col min="2" max="2" width="23.6328125" customWidth="1"/>
    <col min="3" max="3" width="24.08984375" customWidth="1"/>
    <col min="4" max="4" width="25.08984375" customWidth="1"/>
    <col min="5" max="5" width="23.54296875" customWidth="1"/>
    <col min="6" max="6" width="25.08984375" customWidth="1"/>
    <col min="7" max="7" width="25.6328125" customWidth="1"/>
  </cols>
  <sheetData>
    <row r="1" spans="1:9" ht="28.5" x14ac:dyDescent="0.65">
      <c r="A1" s="2" t="str">
        <f>RawMaterialsForBEV!A1</f>
        <v>Lithium - Breaking China’s battery monopoly and making 100 million BEVs per year by 2032 #19</v>
      </c>
    </row>
    <row r="3" spans="1:9" ht="15.5" x14ac:dyDescent="0.35">
      <c r="A3" s="1" t="str">
        <f>RawMaterialsForBEV!A3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RawMaterialsForBEV!A4</f>
        <v>Sources to all information used in this spreadsheet can also be found in associated PowerPoint presentation located also at www.hmexperience.dk</v>
      </c>
    </row>
    <row r="6" spans="1:9" ht="21" x14ac:dyDescent="0.5">
      <c r="B6" s="11" t="s">
        <v>68</v>
      </c>
    </row>
    <row r="7" spans="1:9" ht="7.5" customHeight="1" thickBot="1" x14ac:dyDescent="0.4"/>
    <row r="8" spans="1:9" ht="15" thickTop="1" x14ac:dyDescent="0.35">
      <c r="B8" s="53" t="s">
        <v>69</v>
      </c>
      <c r="C8" s="42" t="s">
        <v>72</v>
      </c>
      <c r="D8" s="42"/>
      <c r="E8" s="43" t="s">
        <v>71</v>
      </c>
      <c r="F8" s="44"/>
    </row>
    <row r="9" spans="1:9" x14ac:dyDescent="0.35">
      <c r="B9" s="54" t="s">
        <v>70</v>
      </c>
      <c r="C9" s="4" t="s">
        <v>73</v>
      </c>
      <c r="D9" s="4" t="s">
        <v>74</v>
      </c>
      <c r="E9" s="4" t="s">
        <v>73</v>
      </c>
      <c r="F9" s="45" t="s">
        <v>74</v>
      </c>
    </row>
    <row r="10" spans="1:9" x14ac:dyDescent="0.35">
      <c r="B10" s="55"/>
      <c r="F10" s="21"/>
    </row>
    <row r="11" spans="1:9" x14ac:dyDescent="0.35">
      <c r="B11" s="54" t="s">
        <v>79</v>
      </c>
      <c r="C11" s="61">
        <v>23</v>
      </c>
      <c r="D11" s="61">
        <v>3</v>
      </c>
      <c r="E11" s="61">
        <v>23</v>
      </c>
      <c r="F11" s="62">
        <v>3</v>
      </c>
    </row>
    <row r="12" spans="1:9" x14ac:dyDescent="0.35">
      <c r="B12" s="54" t="s">
        <v>75</v>
      </c>
      <c r="C12" s="61" t="s">
        <v>83</v>
      </c>
      <c r="D12" s="61" t="s">
        <v>84</v>
      </c>
      <c r="E12" s="61" t="s">
        <v>83</v>
      </c>
      <c r="F12" s="62" t="s">
        <v>84</v>
      </c>
      <c r="H12">
        <v>900</v>
      </c>
      <c r="I12" s="46" t="s">
        <v>90</v>
      </c>
    </row>
    <row r="13" spans="1:9" x14ac:dyDescent="0.35">
      <c r="B13" s="54" t="s">
        <v>80</v>
      </c>
      <c r="C13" s="46">
        <v>25</v>
      </c>
      <c r="D13" s="57">
        <f>C13*(1-H15)</f>
        <v>11.111111111111111</v>
      </c>
      <c r="E13" s="46">
        <v>25</v>
      </c>
      <c r="F13" s="56">
        <f>D13</f>
        <v>11.111111111111111</v>
      </c>
      <c r="H13">
        <v>400</v>
      </c>
      <c r="I13" t="s">
        <v>90</v>
      </c>
    </row>
    <row r="14" spans="1:9" x14ac:dyDescent="0.35">
      <c r="B14" s="54" t="s">
        <v>76</v>
      </c>
      <c r="C14" s="46" t="s">
        <v>88</v>
      </c>
      <c r="D14" s="46" t="s">
        <v>85</v>
      </c>
      <c r="E14" s="46" t="s">
        <v>88</v>
      </c>
      <c r="F14" s="47" t="s">
        <v>85</v>
      </c>
      <c r="H14" s="60" t="s">
        <v>91</v>
      </c>
    </row>
    <row r="15" spans="1:9" x14ac:dyDescent="0.35">
      <c r="B15" s="54" t="s">
        <v>86</v>
      </c>
      <c r="C15" s="61" t="s">
        <v>15</v>
      </c>
      <c r="D15" s="61" t="s">
        <v>15</v>
      </c>
      <c r="E15" s="61">
        <v>40</v>
      </c>
      <c r="F15" s="63">
        <f>D13</f>
        <v>11.111111111111111</v>
      </c>
      <c r="H15" s="8">
        <f>1-H13/H12</f>
        <v>0.55555555555555558</v>
      </c>
    </row>
    <row r="16" spans="1:9" x14ac:dyDescent="0.35">
      <c r="B16" s="54" t="s">
        <v>77</v>
      </c>
      <c r="C16" s="61" t="s">
        <v>15</v>
      </c>
      <c r="D16" s="61" t="s">
        <v>15</v>
      </c>
      <c r="E16" s="61" t="s">
        <v>89</v>
      </c>
      <c r="F16" s="62" t="s">
        <v>85</v>
      </c>
    </row>
    <row r="17" spans="2:6" x14ac:dyDescent="0.35">
      <c r="B17" s="54" t="s">
        <v>87</v>
      </c>
      <c r="C17" s="46">
        <v>42</v>
      </c>
      <c r="D17" s="46">
        <v>42</v>
      </c>
      <c r="E17" s="46">
        <v>42</v>
      </c>
      <c r="F17" s="47">
        <v>42</v>
      </c>
    </row>
    <row r="18" spans="2:6" x14ac:dyDescent="0.35">
      <c r="B18" s="54" t="s">
        <v>81</v>
      </c>
      <c r="C18" s="48">
        <f>C11+C13+C17</f>
        <v>90</v>
      </c>
      <c r="D18" s="58">
        <f>D11+D13+D17</f>
        <v>56.111111111111114</v>
      </c>
      <c r="E18" s="48">
        <f>E11+E13+E15+E17</f>
        <v>130</v>
      </c>
      <c r="F18" s="59">
        <f>F11+F13+F15+F17</f>
        <v>67.222222222222229</v>
      </c>
    </row>
    <row r="19" spans="2:6" ht="15" thickBot="1" x14ac:dyDescent="0.4">
      <c r="B19" s="64" t="s">
        <v>78</v>
      </c>
      <c r="C19" s="49"/>
      <c r="D19" s="50">
        <f>(C18-D18)/C18</f>
        <v>0.37654320987654316</v>
      </c>
      <c r="E19" s="51"/>
      <c r="F19" s="52">
        <f>(E18-F18)/E18</f>
        <v>0.48290598290598286</v>
      </c>
    </row>
    <row r="20" spans="2:6" ht="15" thickTop="1" x14ac:dyDescent="0.35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D848-222B-4B11-ADBF-B4C580882985}">
  <dimension ref="B7:E22"/>
  <sheetViews>
    <sheetView workbookViewId="0">
      <selection sqref="A1:XFD2"/>
    </sheetView>
  </sheetViews>
  <sheetFormatPr defaultRowHeight="14.5" x14ac:dyDescent="0.35"/>
  <cols>
    <col min="3" max="3" width="17.453125" customWidth="1"/>
    <col min="4" max="4" width="16.08984375" customWidth="1"/>
  </cols>
  <sheetData>
    <row r="7" spans="2:5" x14ac:dyDescent="0.35">
      <c r="B7" s="4" t="s">
        <v>138</v>
      </c>
      <c r="C7" s="4"/>
      <c r="D7" s="4"/>
    </row>
    <row r="8" spans="2:5" ht="5" customHeight="1" x14ac:dyDescent="0.35">
      <c r="B8" s="4"/>
      <c r="C8" s="4"/>
      <c r="D8" s="4"/>
    </row>
    <row r="9" spans="2:5" x14ac:dyDescent="0.35">
      <c r="B9" s="66" t="s">
        <v>99</v>
      </c>
      <c r="C9" s="66" t="s">
        <v>100</v>
      </c>
      <c r="D9" s="66" t="s">
        <v>101</v>
      </c>
      <c r="E9" s="66" t="s">
        <v>102</v>
      </c>
    </row>
    <row r="11" spans="2:5" x14ac:dyDescent="0.35">
      <c r="B11" s="70">
        <v>2016</v>
      </c>
      <c r="C11" s="71">
        <v>38000</v>
      </c>
      <c r="D11" s="72"/>
      <c r="E11" s="72"/>
    </row>
    <row r="12" spans="2:5" x14ac:dyDescent="0.35">
      <c r="B12" s="70">
        <v>2022</v>
      </c>
      <c r="C12" s="71">
        <v>130000</v>
      </c>
      <c r="D12" s="73">
        <f>((C12/C11)^(1/(B12-B11)))-1</f>
        <v>0.22751448593776358</v>
      </c>
      <c r="E12" s="75">
        <v>1</v>
      </c>
    </row>
    <row r="13" spans="2:5" x14ac:dyDescent="0.35">
      <c r="B13" s="67">
        <v>2023</v>
      </c>
      <c r="C13" s="68">
        <f>C12*(1+D13)</f>
        <v>163800</v>
      </c>
      <c r="D13" s="69">
        <v>0.26</v>
      </c>
      <c r="E13" s="74">
        <f>C13/C$12</f>
        <v>1.26</v>
      </c>
    </row>
    <row r="14" spans="2:5" x14ac:dyDescent="0.35">
      <c r="B14" s="67">
        <v>2024</v>
      </c>
      <c r="C14" s="68">
        <f>C13*(1+D14)</f>
        <v>206388</v>
      </c>
      <c r="D14" s="69">
        <f>D13</f>
        <v>0.26</v>
      </c>
      <c r="E14" s="74">
        <f t="shared" ref="E14:E22" si="0">C14/C$12</f>
        <v>1.5875999999999999</v>
      </c>
    </row>
    <row r="15" spans="2:5" x14ac:dyDescent="0.35">
      <c r="B15" s="67">
        <v>2025</v>
      </c>
      <c r="C15" s="68">
        <f t="shared" ref="C15:C22" si="1">C14*(1+D15)</f>
        <v>260048.88</v>
      </c>
      <c r="D15" s="69">
        <f t="shared" ref="D15:D22" si="2">D14</f>
        <v>0.26</v>
      </c>
      <c r="E15" s="74">
        <f t="shared" si="0"/>
        <v>2.0003760000000002</v>
      </c>
    </row>
    <row r="16" spans="2:5" x14ac:dyDescent="0.35">
      <c r="B16" s="67">
        <v>2026</v>
      </c>
      <c r="C16" s="68">
        <f t="shared" si="1"/>
        <v>327661.58880000003</v>
      </c>
      <c r="D16" s="69">
        <f t="shared" si="2"/>
        <v>0.26</v>
      </c>
      <c r="E16" s="74">
        <f t="shared" si="0"/>
        <v>2.5204737600000002</v>
      </c>
    </row>
    <row r="17" spans="2:5" x14ac:dyDescent="0.35">
      <c r="B17" s="67">
        <v>2027</v>
      </c>
      <c r="C17" s="68">
        <f t="shared" si="1"/>
        <v>412853.60188800003</v>
      </c>
      <c r="D17" s="69">
        <f t="shared" si="2"/>
        <v>0.26</v>
      </c>
      <c r="E17" s="74">
        <f t="shared" si="0"/>
        <v>3.1757969376000004</v>
      </c>
    </row>
    <row r="18" spans="2:5" x14ac:dyDescent="0.35">
      <c r="B18" s="67">
        <v>2028</v>
      </c>
      <c r="C18" s="68">
        <f t="shared" si="1"/>
        <v>520195.53837888007</v>
      </c>
      <c r="D18" s="69">
        <f t="shared" si="2"/>
        <v>0.26</v>
      </c>
      <c r="E18" s="74">
        <f t="shared" si="0"/>
        <v>4.0015041413760004</v>
      </c>
    </row>
    <row r="19" spans="2:5" x14ac:dyDescent="0.35">
      <c r="B19" s="67">
        <v>2029</v>
      </c>
      <c r="C19" s="68">
        <f t="shared" si="1"/>
        <v>655446.37835738889</v>
      </c>
      <c r="D19" s="69">
        <f t="shared" si="2"/>
        <v>0.26</v>
      </c>
      <c r="E19" s="74">
        <f t="shared" si="0"/>
        <v>5.0418952181337611</v>
      </c>
    </row>
    <row r="20" spans="2:5" x14ac:dyDescent="0.35">
      <c r="B20" s="67">
        <v>2030</v>
      </c>
      <c r="C20" s="68">
        <f t="shared" si="1"/>
        <v>825862.43673030997</v>
      </c>
      <c r="D20" s="69">
        <f t="shared" si="2"/>
        <v>0.26</v>
      </c>
      <c r="E20" s="74">
        <f t="shared" si="0"/>
        <v>6.3527879748485381</v>
      </c>
    </row>
    <row r="21" spans="2:5" x14ac:dyDescent="0.35">
      <c r="B21" s="67">
        <v>2031</v>
      </c>
      <c r="C21" s="68">
        <f t="shared" si="1"/>
        <v>1040586.6702801905</v>
      </c>
      <c r="D21" s="69">
        <f t="shared" si="2"/>
        <v>0.26</v>
      </c>
      <c r="E21" s="74">
        <f t="shared" si="0"/>
        <v>8.0045128483091581</v>
      </c>
    </row>
    <row r="22" spans="2:5" x14ac:dyDescent="0.35">
      <c r="B22" s="67">
        <v>2032</v>
      </c>
      <c r="C22" s="68">
        <f t="shared" si="1"/>
        <v>1311139.20455304</v>
      </c>
      <c r="D22" s="69">
        <f t="shared" si="2"/>
        <v>0.26</v>
      </c>
      <c r="E22" s="74">
        <f t="shared" si="0"/>
        <v>10.085686188869538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BBA0-5960-4C58-81FB-2D2DE19F0E28}">
  <dimension ref="A1:I37"/>
  <sheetViews>
    <sheetView topLeftCell="A7" workbookViewId="0">
      <selection activeCell="A2" sqref="A2"/>
    </sheetView>
  </sheetViews>
  <sheetFormatPr defaultRowHeight="14.5" x14ac:dyDescent="0.35"/>
  <cols>
    <col min="3" max="3" width="12.90625" customWidth="1"/>
    <col min="4" max="4" width="9.81640625" customWidth="1"/>
    <col min="5" max="5" width="9.1796875" customWidth="1"/>
    <col min="6" max="6" width="10.36328125" customWidth="1"/>
    <col min="7" max="7" width="8.90625" customWidth="1"/>
    <col min="8" max="8" width="10.6328125" customWidth="1"/>
  </cols>
  <sheetData>
    <row r="1" spans="1:9" ht="28.5" x14ac:dyDescent="0.65">
      <c r="A1" s="2" t="str">
        <f>RawMaterialsForBEV!A1</f>
        <v>Lithium - Breaking China’s battery monopoly and making 100 million BEVs per year by 2032 #19</v>
      </c>
    </row>
    <row r="3" spans="1:9" ht="15.5" x14ac:dyDescent="0.35">
      <c r="A3" s="1" t="str">
        <f>RawMaterialsForBEV!A3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RawMaterialsForBEV!A4</f>
        <v>Sources to all information used in this spreadsheet can also be found in associated PowerPoint presentation located also at www.hmexperience.dk</v>
      </c>
    </row>
    <row r="7" spans="1:9" ht="18.5" x14ac:dyDescent="0.45">
      <c r="C7" s="77" t="s">
        <v>129</v>
      </c>
    </row>
    <row r="8" spans="1:9" ht="6" customHeight="1" x14ac:dyDescent="0.35">
      <c r="C8" s="4"/>
    </row>
    <row r="9" spans="1:9" x14ac:dyDescent="0.35">
      <c r="C9" s="66" t="s">
        <v>130</v>
      </c>
      <c r="D9" s="66" t="s">
        <v>103</v>
      </c>
      <c r="E9" s="66" t="s">
        <v>132</v>
      </c>
      <c r="F9" s="66" t="s">
        <v>133</v>
      </c>
      <c r="G9" s="66" t="s">
        <v>132</v>
      </c>
      <c r="H9" s="66" t="s">
        <v>131</v>
      </c>
      <c r="I9" s="66" t="s">
        <v>132</v>
      </c>
    </row>
    <row r="10" spans="1:9" x14ac:dyDescent="0.35">
      <c r="C10" s="4"/>
    </row>
    <row r="11" spans="1:9" x14ac:dyDescent="0.35">
      <c r="C11" s="76" t="s">
        <v>104</v>
      </c>
      <c r="D11" s="5">
        <v>6200</v>
      </c>
      <c r="E11" s="8">
        <f>D11/D$35</f>
        <v>7.5609756097560973E-2</v>
      </c>
      <c r="F11" s="5">
        <v>1900000</v>
      </c>
      <c r="G11" s="8">
        <f>F11/F$35</f>
        <v>9.0476190476190474E-2</v>
      </c>
      <c r="H11" s="5">
        <v>19300000</v>
      </c>
      <c r="I11" s="8">
        <f>H11/H$35</f>
        <v>0.21113663712941691</v>
      </c>
    </row>
    <row r="12" spans="1:9" x14ac:dyDescent="0.35">
      <c r="C12" s="76" t="s">
        <v>105</v>
      </c>
      <c r="D12" s="5">
        <v>40000</v>
      </c>
      <c r="E12" s="8">
        <f t="shared" ref="E12:E35" si="0">D12/D$35</f>
        <v>0.48780487804878048</v>
      </c>
      <c r="F12" s="5">
        <v>4700000</v>
      </c>
      <c r="G12" s="8">
        <f t="shared" ref="G12" si="1">F12/F$35</f>
        <v>0.22380952380952382</v>
      </c>
      <c r="H12" s="5">
        <v>6400000</v>
      </c>
      <c r="I12" s="8">
        <f t="shared" ref="I12:I34" si="2">H12/H$35</f>
        <v>7.0014221638770371E-2</v>
      </c>
    </row>
    <row r="13" spans="1:9" x14ac:dyDescent="0.35">
      <c r="C13" s="76" t="s">
        <v>106</v>
      </c>
      <c r="D13" t="s">
        <v>15</v>
      </c>
      <c r="E13" t="s">
        <v>15</v>
      </c>
      <c r="F13" t="s">
        <v>15</v>
      </c>
      <c r="G13" t="s">
        <v>15</v>
      </c>
      <c r="H13" s="5">
        <v>50000</v>
      </c>
      <c r="I13" s="8">
        <f t="shared" si="2"/>
        <v>5.4698610655289353E-4</v>
      </c>
    </row>
    <row r="14" spans="1:9" x14ac:dyDescent="0.35">
      <c r="C14" s="76" t="s">
        <v>107</v>
      </c>
      <c r="D14" s="38" t="s">
        <v>15</v>
      </c>
      <c r="E14" s="38" t="s">
        <v>15</v>
      </c>
      <c r="F14" s="38" t="s">
        <v>15</v>
      </c>
      <c r="G14" s="38" t="s">
        <v>15</v>
      </c>
      <c r="H14" s="37">
        <v>21000000</v>
      </c>
      <c r="I14" s="81">
        <f t="shared" si="2"/>
        <v>0.22973416475221528</v>
      </c>
    </row>
    <row r="15" spans="1:9" x14ac:dyDescent="0.35">
      <c r="C15" s="76" t="s">
        <v>108</v>
      </c>
      <c r="D15" s="5">
        <v>1900</v>
      </c>
      <c r="E15" s="8">
        <f t="shared" si="0"/>
        <v>2.3170731707317073E-2</v>
      </c>
      <c r="F15" s="5">
        <v>95000</v>
      </c>
      <c r="G15" s="8">
        <f t="shared" ref="G15" si="3">F15/F$35</f>
        <v>4.5238095238095237E-3</v>
      </c>
      <c r="H15" s="5">
        <v>470000</v>
      </c>
      <c r="I15" s="8">
        <f t="shared" si="2"/>
        <v>5.1416694015971997E-3</v>
      </c>
    </row>
    <row r="16" spans="1:9" x14ac:dyDescent="0.35">
      <c r="C16" s="76" t="s">
        <v>109</v>
      </c>
      <c r="D16">
        <v>0</v>
      </c>
      <c r="E16" s="8">
        <f t="shared" si="0"/>
        <v>0</v>
      </c>
      <c r="F16" s="5">
        <v>530000</v>
      </c>
      <c r="G16" s="8">
        <f t="shared" ref="G16" si="4">F16/F$35</f>
        <v>2.5238095238095237E-2</v>
      </c>
      <c r="H16" s="5">
        <v>2900000</v>
      </c>
      <c r="I16" s="8">
        <f t="shared" si="2"/>
        <v>3.1725194180067827E-2</v>
      </c>
    </row>
    <row r="17" spans="3:9" x14ac:dyDescent="0.35">
      <c r="C17" s="76" t="s">
        <v>110</v>
      </c>
      <c r="D17" s="5">
        <v>18000</v>
      </c>
      <c r="E17" s="8">
        <f t="shared" si="0"/>
        <v>0.21951219512195122</v>
      </c>
      <c r="F17" s="5">
        <v>9200000</v>
      </c>
      <c r="G17" s="8">
        <f t="shared" ref="G17" si="5">F17/F$35</f>
        <v>0.43809523809523809</v>
      </c>
      <c r="H17" s="5">
        <v>9600000</v>
      </c>
      <c r="I17" s="8">
        <f t="shared" si="2"/>
        <v>0.10502133245815556</v>
      </c>
    </row>
    <row r="18" spans="3:9" x14ac:dyDescent="0.35">
      <c r="C18" s="76" t="s">
        <v>111</v>
      </c>
      <c r="D18" s="37">
        <v>14000</v>
      </c>
      <c r="E18" s="81">
        <f t="shared" si="0"/>
        <v>0.17073170731707318</v>
      </c>
      <c r="F18" s="37">
        <v>1500000</v>
      </c>
      <c r="G18" s="81">
        <f t="shared" ref="G18" si="6">F18/F$35</f>
        <v>7.1428571428571425E-2</v>
      </c>
      <c r="H18" s="37">
        <v>5100000</v>
      </c>
      <c r="I18" s="81">
        <f t="shared" si="2"/>
        <v>5.5792582868395141E-2</v>
      </c>
    </row>
    <row r="19" spans="3:9" x14ac:dyDescent="0.35">
      <c r="C19" s="76" t="s">
        <v>112</v>
      </c>
      <c r="D19" t="s">
        <v>15</v>
      </c>
      <c r="E19" t="s">
        <v>15</v>
      </c>
      <c r="G19" t="s">
        <v>15</v>
      </c>
      <c r="H19" s="5">
        <v>1300000</v>
      </c>
      <c r="I19" s="8">
        <f t="shared" si="2"/>
        <v>1.4221638770375232E-2</v>
      </c>
    </row>
    <row r="20" spans="3:9" x14ac:dyDescent="0.35">
      <c r="C20" s="76" t="s">
        <v>113</v>
      </c>
      <c r="D20" t="s">
        <v>15</v>
      </c>
      <c r="E20" t="s">
        <v>15</v>
      </c>
      <c r="F20" t="s">
        <v>15</v>
      </c>
      <c r="G20" t="s">
        <v>15</v>
      </c>
      <c r="H20" s="5">
        <v>3000000</v>
      </c>
      <c r="I20" s="8">
        <f t="shared" si="2"/>
        <v>3.2819166393173616E-2</v>
      </c>
    </row>
    <row r="21" spans="3:9" x14ac:dyDescent="0.35">
      <c r="C21" s="76" t="s">
        <v>114</v>
      </c>
      <c r="D21" t="s">
        <v>15</v>
      </c>
      <c r="E21" t="s">
        <v>15</v>
      </c>
      <c r="F21" t="s">
        <v>15</v>
      </c>
      <c r="G21" t="s">
        <v>15</v>
      </c>
      <c r="H21" s="5">
        <v>50000</v>
      </c>
      <c r="I21" s="8">
        <f t="shared" si="2"/>
        <v>5.4698610655289353E-4</v>
      </c>
    </row>
    <row r="22" spans="3:9" x14ac:dyDescent="0.35">
      <c r="C22" s="76" t="s">
        <v>115</v>
      </c>
      <c r="D22" t="s">
        <v>15</v>
      </c>
      <c r="E22" t="s">
        <v>15</v>
      </c>
      <c r="F22" t="s">
        <v>15</v>
      </c>
      <c r="G22" t="s">
        <v>15</v>
      </c>
      <c r="H22" s="5">
        <v>2700000</v>
      </c>
      <c r="I22" s="8">
        <f t="shared" si="2"/>
        <v>2.9537249753856253E-2</v>
      </c>
    </row>
    <row r="23" spans="3:9" x14ac:dyDescent="0.35">
      <c r="C23" s="76" t="s">
        <v>116</v>
      </c>
      <c r="D23" t="s">
        <v>15</v>
      </c>
      <c r="E23" t="s">
        <v>15</v>
      </c>
      <c r="F23" t="s">
        <v>15</v>
      </c>
      <c r="G23" t="s">
        <v>15</v>
      </c>
      <c r="H23" s="5">
        <v>90000</v>
      </c>
      <c r="I23" s="8">
        <f t="shared" si="2"/>
        <v>9.8457499179520846E-4</v>
      </c>
    </row>
    <row r="24" spans="3:9" x14ac:dyDescent="0.35">
      <c r="C24" s="76" t="s">
        <v>117</v>
      </c>
      <c r="D24" t="s">
        <v>15</v>
      </c>
      <c r="E24" t="s">
        <v>15</v>
      </c>
      <c r="F24" s="5">
        <v>5900000</v>
      </c>
      <c r="G24" s="8">
        <f t="shared" ref="G24" si="7">F24/F$35</f>
        <v>0.28095238095238095</v>
      </c>
      <c r="H24" s="5">
        <v>5900000</v>
      </c>
      <c r="I24" s="8">
        <f t="shared" si="2"/>
        <v>6.4544360573241435E-2</v>
      </c>
    </row>
    <row r="25" spans="3:9" x14ac:dyDescent="0.35">
      <c r="C25" s="76" t="s">
        <v>118</v>
      </c>
      <c r="D25" t="s">
        <v>15</v>
      </c>
      <c r="E25" t="s">
        <v>15</v>
      </c>
      <c r="F25" t="s">
        <v>15</v>
      </c>
      <c r="G25" t="s">
        <v>15</v>
      </c>
      <c r="H25" s="5">
        <v>50000</v>
      </c>
      <c r="I25" s="8">
        <f t="shared" si="2"/>
        <v>5.4698610655289353E-4</v>
      </c>
    </row>
    <row r="26" spans="3:9" x14ac:dyDescent="0.35">
      <c r="C26" s="76" t="s">
        <v>119</v>
      </c>
      <c r="D26" t="s">
        <v>15</v>
      </c>
      <c r="E26" t="s">
        <v>15</v>
      </c>
      <c r="F26" t="s">
        <v>15</v>
      </c>
      <c r="G26" t="s">
        <v>15</v>
      </c>
      <c r="H26" s="5">
        <v>700000</v>
      </c>
      <c r="I26" s="8">
        <f t="shared" si="2"/>
        <v>7.6578054917405096E-3</v>
      </c>
    </row>
    <row r="27" spans="3:9" x14ac:dyDescent="0.35">
      <c r="C27" s="76" t="s">
        <v>120</v>
      </c>
      <c r="D27" t="s">
        <v>15</v>
      </c>
      <c r="E27" t="s">
        <v>15</v>
      </c>
      <c r="F27" t="s">
        <v>15</v>
      </c>
      <c r="G27" t="s">
        <v>15</v>
      </c>
      <c r="H27" s="5">
        <v>1700000</v>
      </c>
      <c r="I27" s="8">
        <f t="shared" si="2"/>
        <v>1.8597527622798381E-2</v>
      </c>
    </row>
    <row r="28" spans="3:9" x14ac:dyDescent="0.35">
      <c r="C28" s="76" t="s">
        <v>121</v>
      </c>
      <c r="D28" t="s">
        <v>15</v>
      </c>
      <c r="E28" t="s">
        <v>15</v>
      </c>
      <c r="F28" t="s">
        <v>15</v>
      </c>
      <c r="G28" t="s">
        <v>15</v>
      </c>
      <c r="H28" s="5">
        <v>50000</v>
      </c>
      <c r="I28" s="8">
        <f t="shared" si="2"/>
        <v>5.4698610655289353E-4</v>
      </c>
    </row>
    <row r="29" spans="3:9" x14ac:dyDescent="0.35">
      <c r="C29" s="76" t="s">
        <v>122</v>
      </c>
      <c r="D29" t="s">
        <v>15</v>
      </c>
      <c r="E29" t="s">
        <v>15</v>
      </c>
      <c r="F29" t="s">
        <v>15</v>
      </c>
      <c r="G29" t="s">
        <v>15</v>
      </c>
      <c r="H29" s="5">
        <v>880000</v>
      </c>
      <c r="I29" s="8">
        <f t="shared" si="2"/>
        <v>9.6269554753309269E-3</v>
      </c>
    </row>
    <row r="30" spans="3:9" x14ac:dyDescent="0.35">
      <c r="C30" s="76" t="s">
        <v>123</v>
      </c>
      <c r="D30">
        <v>900</v>
      </c>
      <c r="E30" s="8">
        <f t="shared" si="0"/>
        <v>1.097560975609756E-2</v>
      </c>
      <c r="F30" s="5">
        <v>60000</v>
      </c>
      <c r="G30" s="8">
        <f t="shared" ref="G30" si="8">F30/F$35</f>
        <v>2.8571428571428571E-3</v>
      </c>
      <c r="H30" s="5">
        <v>270000</v>
      </c>
      <c r="I30" s="8">
        <f t="shared" si="2"/>
        <v>2.9537249753856252E-3</v>
      </c>
    </row>
    <row r="31" spans="3:9" x14ac:dyDescent="0.35">
      <c r="C31" s="76" t="s">
        <v>124</v>
      </c>
      <c r="D31" t="s">
        <v>15</v>
      </c>
      <c r="E31" t="s">
        <v>15</v>
      </c>
      <c r="F31" t="s">
        <v>15</v>
      </c>
      <c r="G31" t="s">
        <v>15</v>
      </c>
      <c r="H31" s="5">
        <v>1200000</v>
      </c>
      <c r="I31" s="8">
        <f t="shared" si="2"/>
        <v>1.3127666557269446E-2</v>
      </c>
    </row>
    <row r="32" spans="3:9" x14ac:dyDescent="0.35">
      <c r="C32" s="76" t="s">
        <v>125</v>
      </c>
      <c r="D32" t="s">
        <v>15</v>
      </c>
      <c r="E32" t="s">
        <v>15</v>
      </c>
      <c r="F32" t="s">
        <v>15</v>
      </c>
      <c r="G32" t="s">
        <v>15</v>
      </c>
      <c r="H32" s="5">
        <v>300000</v>
      </c>
      <c r="I32" s="8">
        <f t="shared" si="2"/>
        <v>3.2819166393173614E-3</v>
      </c>
    </row>
    <row r="33" spans="3:9" x14ac:dyDescent="0.35">
      <c r="C33" s="76" t="s">
        <v>126</v>
      </c>
      <c r="D33">
        <v>870</v>
      </c>
      <c r="E33" s="8">
        <f t="shared" si="0"/>
        <v>1.0609756097560976E-2</v>
      </c>
      <c r="F33" s="5">
        <v>750000</v>
      </c>
      <c r="G33" s="8">
        <f t="shared" ref="G33" si="9">F33/F$35</f>
        <v>3.5714285714285712E-2</v>
      </c>
      <c r="H33" s="5">
        <v>7900000</v>
      </c>
      <c r="I33" s="8">
        <f t="shared" si="2"/>
        <v>8.6423804835357179E-2</v>
      </c>
    </row>
    <row r="34" spans="3:9" x14ac:dyDescent="0.35">
      <c r="C34" s="76" t="s">
        <v>127</v>
      </c>
      <c r="D34" s="5">
        <v>1200</v>
      </c>
      <c r="E34" s="8">
        <f t="shared" si="0"/>
        <v>1.4634146341463415E-2</v>
      </c>
      <c r="F34" s="5">
        <v>220000</v>
      </c>
      <c r="G34" s="8">
        <f t="shared" ref="G34" si="10">F34/F$35</f>
        <v>1.0476190476190476E-2</v>
      </c>
      <c r="H34" s="5">
        <v>500000</v>
      </c>
      <c r="I34" s="8">
        <f t="shared" si="2"/>
        <v>5.4698610655289359E-3</v>
      </c>
    </row>
    <row r="35" spans="3:9" x14ac:dyDescent="0.35">
      <c r="C35" s="76" t="s">
        <v>128</v>
      </c>
      <c r="D35" s="78">
        <v>82000</v>
      </c>
      <c r="E35" s="79">
        <f t="shared" si="0"/>
        <v>1</v>
      </c>
      <c r="F35" s="78">
        <v>21000000</v>
      </c>
      <c r="G35" s="79">
        <f t="shared" ref="G35" si="11">F35/F$35</f>
        <v>1</v>
      </c>
      <c r="H35" s="80">
        <f>SUM(H11:H34)</f>
        <v>91410000</v>
      </c>
      <c r="I35" s="79">
        <f t="shared" ref="I35" si="12">H35/H$35</f>
        <v>1</v>
      </c>
    </row>
    <row r="36" spans="3:9" ht="8" customHeight="1" x14ac:dyDescent="0.35"/>
    <row r="37" spans="3:9" x14ac:dyDescent="0.35">
      <c r="C37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4C2F-5F6E-4F90-AB37-928ECA4E4EE2}">
  <dimension ref="A1:T59"/>
  <sheetViews>
    <sheetView tabSelected="1" topLeftCell="A3" workbookViewId="0">
      <selection activeCell="B8" sqref="B8:I33"/>
    </sheetView>
  </sheetViews>
  <sheetFormatPr defaultRowHeight="14.5" x14ac:dyDescent="0.35"/>
  <cols>
    <col min="2" max="2" width="28.36328125" customWidth="1"/>
    <col min="3" max="3" width="13.90625" customWidth="1"/>
    <col min="4" max="4" width="5.54296875" customWidth="1"/>
    <col min="5" max="5" width="7.6328125" customWidth="1"/>
    <col min="6" max="6" width="7.90625" customWidth="1"/>
    <col min="7" max="7" width="9.453125" customWidth="1"/>
    <col min="8" max="8" width="11.81640625" customWidth="1"/>
    <col min="9" max="9" width="13" customWidth="1"/>
  </cols>
  <sheetData>
    <row r="1" spans="1:16" ht="28.5" x14ac:dyDescent="0.65">
      <c r="A1" s="2" t="str">
        <f>RawMaterialsForBEV!A1</f>
        <v>Lithium - Breaking China’s battery monopoly and making 100 million BEVs per year by 2032 #19</v>
      </c>
    </row>
    <row r="3" spans="1:16" ht="15.5" x14ac:dyDescent="0.35">
      <c r="A3" s="1" t="str">
        <f>RawMaterialsForBEV!A3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6" ht="15.5" x14ac:dyDescent="0.35">
      <c r="A4" s="1" t="str">
        <f>RawMaterialsForBEV!A4</f>
        <v>Sources to all information used in this spreadsheet can also be found in associated PowerPoint presentation located also at www.hmexperience.dk</v>
      </c>
    </row>
    <row r="8" spans="1:16" ht="21" x14ac:dyDescent="0.5">
      <c r="B8" s="11" t="s">
        <v>164</v>
      </c>
    </row>
    <row r="9" spans="1:16" ht="5.5" customHeight="1" thickBot="1" x14ac:dyDescent="0.4"/>
    <row r="10" spans="1:16" ht="15" thickTop="1" x14ac:dyDescent="0.35">
      <c r="B10" s="12" t="s">
        <v>2</v>
      </c>
      <c r="C10" s="13" t="s">
        <v>185</v>
      </c>
      <c r="D10" s="13" t="str">
        <f>RawMaterialsForBEV!G9</f>
        <v xml:space="preserve">Data </v>
      </c>
      <c r="E10" s="13" t="s">
        <v>146</v>
      </c>
      <c r="F10" s="13" t="s">
        <v>173</v>
      </c>
      <c r="G10" s="13" t="str">
        <f>CostOfRawMaterialsToMakeBEV!G9</f>
        <v xml:space="preserve">Date of </v>
      </c>
      <c r="H10" s="14" t="s">
        <v>175</v>
      </c>
      <c r="I10" s="94" t="s">
        <v>199</v>
      </c>
    </row>
    <row r="11" spans="1:16" x14ac:dyDescent="0.35">
      <c r="B11" s="15"/>
      <c r="C11" s="86" t="s">
        <v>186</v>
      </c>
      <c r="D11" s="86" t="str">
        <f>RawMaterialsForBEV!G10</f>
        <v>year</v>
      </c>
      <c r="E11" s="86" t="s">
        <v>147</v>
      </c>
      <c r="F11" s="86" t="s">
        <v>174</v>
      </c>
      <c r="G11" s="86" t="str">
        <f>CostOfRawMaterialsToMakeBEV!G10</f>
        <v>price info</v>
      </c>
      <c r="H11" s="17" t="s">
        <v>176</v>
      </c>
      <c r="I11" s="95" t="s">
        <v>198</v>
      </c>
    </row>
    <row r="12" spans="1:16" x14ac:dyDescent="0.35">
      <c r="B12" s="89" t="s">
        <v>31</v>
      </c>
      <c r="C12" s="68">
        <f>RawMaterialsForBEV!F11</f>
        <v>3034000</v>
      </c>
      <c r="D12" s="90">
        <f>RawMaterialsForBEV!G11</f>
        <v>2021</v>
      </c>
      <c r="E12" s="69">
        <f>C12/C29</f>
        <v>7.7754997437211684E-4</v>
      </c>
      <c r="F12" s="91">
        <f>CostOfRawMaterialsToMakeBEV!E11</f>
        <v>1.5</v>
      </c>
      <c r="G12" s="92">
        <f>CostOfRawMaterialsToMakeBEV!G11</f>
        <v>45010</v>
      </c>
      <c r="H12" s="93">
        <f>F12*C12*$P$18/$P$22</f>
        <v>4551</v>
      </c>
      <c r="I12" s="96">
        <f>RawMaterialsForBEV!E11</f>
        <v>10000000</v>
      </c>
    </row>
    <row r="13" spans="1:16" x14ac:dyDescent="0.35">
      <c r="B13" s="89" t="s">
        <v>152</v>
      </c>
      <c r="C13" s="68">
        <v>1034000</v>
      </c>
      <c r="D13" s="90">
        <f>D12</f>
        <v>2021</v>
      </c>
      <c r="E13" s="103" t="s">
        <v>15</v>
      </c>
      <c r="F13" s="104" t="s">
        <v>15</v>
      </c>
      <c r="G13" s="105" t="s">
        <v>15</v>
      </c>
      <c r="H13" s="93">
        <f>H12*(C13/C12)</f>
        <v>1551</v>
      </c>
      <c r="I13" s="102" t="s">
        <v>15</v>
      </c>
    </row>
    <row r="14" spans="1:16" x14ac:dyDescent="0.35">
      <c r="B14" s="89" t="s">
        <v>151</v>
      </c>
      <c r="C14" s="68">
        <v>2000000</v>
      </c>
      <c r="D14" s="90">
        <f>D12</f>
        <v>2021</v>
      </c>
      <c r="E14" s="103" t="s">
        <v>15</v>
      </c>
      <c r="F14" s="104" t="s">
        <v>15</v>
      </c>
      <c r="G14" s="105" t="s">
        <v>15</v>
      </c>
      <c r="H14" s="93">
        <f>H12*(C14/C12)</f>
        <v>3000</v>
      </c>
      <c r="I14" s="102" t="s">
        <v>15</v>
      </c>
    </row>
    <row r="15" spans="1:16" x14ac:dyDescent="0.35">
      <c r="B15" s="18" t="s">
        <v>82</v>
      </c>
      <c r="C15" s="5">
        <f>RawMaterialsForBEV!F12</f>
        <v>3300000</v>
      </c>
      <c r="D15">
        <f>RawMaterialsForBEV!G12</f>
        <v>2022</v>
      </c>
      <c r="E15" s="109" t="s">
        <v>15</v>
      </c>
      <c r="F15" s="32">
        <f>CostOfRawMaterialsToMakeBEV!E12</f>
        <v>23.3</v>
      </c>
      <c r="G15" s="83">
        <f>CostOfRawMaterialsToMakeBEV!G12</f>
        <v>45010</v>
      </c>
      <c r="H15" s="85">
        <f>F15*C15*$P$18/$P$22</f>
        <v>76890</v>
      </c>
      <c r="I15" s="98">
        <f>RawMaterialsForBEV!E12</f>
        <v>4500000</v>
      </c>
      <c r="P15" s="4" t="s">
        <v>179</v>
      </c>
    </row>
    <row r="16" spans="1:16" x14ac:dyDescent="0.35">
      <c r="B16" s="18" t="s">
        <v>153</v>
      </c>
      <c r="C16" s="5">
        <f>(100/2)*C15</f>
        <v>165000000</v>
      </c>
      <c r="D16">
        <f>D15</f>
        <v>2022</v>
      </c>
      <c r="E16" s="8">
        <f>C16/C29</f>
        <v>4.2286007175807279E-2</v>
      </c>
      <c r="F16" s="106" t="s">
        <v>15</v>
      </c>
      <c r="G16" s="107" t="s">
        <v>15</v>
      </c>
      <c r="H16" s="108" t="s">
        <v>15</v>
      </c>
      <c r="I16" s="98">
        <f>(100/2)*I15</f>
        <v>225000000</v>
      </c>
    </row>
    <row r="17" spans="2:17" x14ac:dyDescent="0.35">
      <c r="B17" s="35" t="s">
        <v>56</v>
      </c>
      <c r="C17" s="37">
        <f>RawMaterialsForBEV!F13</f>
        <v>540000</v>
      </c>
      <c r="D17" s="38">
        <f>RawMaterialsForBEV!G13</f>
        <v>2021</v>
      </c>
      <c r="E17" s="81"/>
      <c r="F17" s="40">
        <f>CostOfRawMaterialsToMakeBEV!E13</f>
        <v>34.431089</v>
      </c>
      <c r="G17" s="84">
        <f>CostOfRawMaterialsToMakeBEV!G13</f>
        <v>45017</v>
      </c>
      <c r="H17" s="87">
        <f>F17*C17*$P$18/$P$22</f>
        <v>18592.788059999999</v>
      </c>
      <c r="I17" s="99">
        <f>RawMaterialsForBEV!E13</f>
        <v>6300000</v>
      </c>
      <c r="P17" t="s">
        <v>142</v>
      </c>
    </row>
    <row r="18" spans="2:17" x14ac:dyDescent="0.35">
      <c r="B18" s="35" t="s">
        <v>96</v>
      </c>
      <c r="C18" s="37">
        <f>RawMaterialsForBEV!F14</f>
        <v>130000</v>
      </c>
      <c r="D18" s="38">
        <f>RawMaterialsForBEV!G14</f>
        <v>2022</v>
      </c>
      <c r="E18" s="81"/>
      <c r="F18" s="40">
        <f>CostOfRawMaterialsToMakeBEV!E14</f>
        <v>182.48404176383295</v>
      </c>
      <c r="G18" s="84">
        <f>CostOfRawMaterialsToMakeBEV!G14</f>
        <v>45017</v>
      </c>
      <c r="H18" s="87">
        <f>F18*C18*$P$18/$P$22</f>
        <v>23722.925429298284</v>
      </c>
      <c r="I18" s="99">
        <f>RawMaterialsForBEV!E14</f>
        <v>1188684</v>
      </c>
      <c r="P18">
        <v>1000</v>
      </c>
    </row>
    <row r="19" spans="2:17" x14ac:dyDescent="0.35">
      <c r="B19" s="35" t="s">
        <v>145</v>
      </c>
      <c r="C19" s="37">
        <f>(100/2)*C18</f>
        <v>6500000</v>
      </c>
      <c r="D19" s="38">
        <f>D18</f>
        <v>2022</v>
      </c>
      <c r="E19" s="81">
        <f>C19/C29</f>
        <v>1.6658124038954382E-3</v>
      </c>
      <c r="F19" s="40" t="s">
        <v>15</v>
      </c>
      <c r="G19" s="84" t="s">
        <v>15</v>
      </c>
      <c r="H19" s="87" t="s">
        <v>15</v>
      </c>
      <c r="I19" s="99">
        <f>(100/2)*I18</f>
        <v>59434200</v>
      </c>
      <c r="K19" s="8">
        <f>I19/C29</f>
        <v>1.5231727319323424E-2</v>
      </c>
    </row>
    <row r="20" spans="2:17" x14ac:dyDescent="0.35">
      <c r="B20" s="18" t="s">
        <v>203</v>
      </c>
      <c r="C20" s="5">
        <f>RawMaterialsForBEV!F15</f>
        <v>21200000</v>
      </c>
      <c r="D20">
        <f>RawMaterialsForBEV!G15</f>
        <v>2021</v>
      </c>
      <c r="E20" s="109" t="s">
        <v>15</v>
      </c>
      <c r="F20" s="32">
        <f>CostOfRawMaterialsToMakeBEV!E15</f>
        <v>9.02</v>
      </c>
      <c r="G20" s="83">
        <f>CostOfRawMaterialsToMakeBEV!G15</f>
        <v>45010</v>
      </c>
      <c r="H20" s="85">
        <f>F20*C20*$P$18/$P$22</f>
        <v>191224</v>
      </c>
      <c r="I20" s="98">
        <f>RawMaterialsForBEV!E15</f>
        <v>9100000</v>
      </c>
      <c r="P20" t="s">
        <v>143</v>
      </c>
    </row>
    <row r="21" spans="2:17" x14ac:dyDescent="0.35">
      <c r="B21" s="18" t="s">
        <v>149</v>
      </c>
      <c r="C21" s="5">
        <f>(100/0.5)*C20</f>
        <v>4240000000</v>
      </c>
      <c r="D21">
        <f>D20</f>
        <v>2021</v>
      </c>
      <c r="E21" s="8">
        <f>C21/C29</f>
        <v>1.0866222450025629</v>
      </c>
      <c r="F21" s="106" t="s">
        <v>15</v>
      </c>
      <c r="G21" s="107" t="s">
        <v>15</v>
      </c>
      <c r="H21" s="108" t="s">
        <v>15</v>
      </c>
      <c r="I21" s="98">
        <f>(100/0.5)*I20</f>
        <v>1820000000</v>
      </c>
    </row>
    <row r="22" spans="2:17" x14ac:dyDescent="0.35">
      <c r="B22" s="89" t="s">
        <v>209</v>
      </c>
      <c r="C22" s="68">
        <f>RawMaterialsForBEV!F16</f>
        <v>19000000</v>
      </c>
      <c r="D22" s="90">
        <f>RawMaterialsForBEV!G16</f>
        <v>2019</v>
      </c>
      <c r="E22" s="69"/>
      <c r="F22" s="91">
        <f>CostOfRawMaterialsToMakeBEV!E16</f>
        <v>4.7315449999999997</v>
      </c>
      <c r="G22" s="92">
        <f>CostOfRawMaterialsToMakeBEV!G16</f>
        <v>45010</v>
      </c>
      <c r="H22" s="93">
        <f>F22*C22*$P$18/$P$22</f>
        <v>89899.354999999996</v>
      </c>
      <c r="I22" s="96">
        <f>RawMaterialsForBEV!E16</f>
        <v>104055</v>
      </c>
      <c r="P22" s="5">
        <v>1000000</v>
      </c>
    </row>
    <row r="23" spans="2:17" x14ac:dyDescent="0.35">
      <c r="B23" s="89" t="s">
        <v>157</v>
      </c>
      <c r="C23" s="68">
        <f>(100/30)*C22</f>
        <v>63333333.333333336</v>
      </c>
      <c r="D23" s="90">
        <f>D22</f>
        <v>2019</v>
      </c>
      <c r="E23" s="69">
        <f>C23/C29</f>
        <v>1.623099265334017E-2</v>
      </c>
      <c r="F23" s="103" t="s">
        <v>15</v>
      </c>
      <c r="G23" s="104" t="s">
        <v>15</v>
      </c>
      <c r="H23" s="105" t="s">
        <v>15</v>
      </c>
      <c r="I23" s="96">
        <f>(100/30)*I22</f>
        <v>346850</v>
      </c>
      <c r="P23" s="5"/>
    </row>
    <row r="24" spans="2:17" x14ac:dyDescent="0.35">
      <c r="B24" s="18" t="s">
        <v>207</v>
      </c>
      <c r="C24" s="5">
        <f>RawMaterialsForBEV!F17</f>
        <v>190000</v>
      </c>
      <c r="D24">
        <f>RawMaterialsForBEV!G17</f>
        <v>2022</v>
      </c>
      <c r="E24" s="109" t="s">
        <v>15</v>
      </c>
      <c r="F24" s="32">
        <f>CostOfRawMaterialsToMakeBEV!E17</f>
        <v>34.18</v>
      </c>
      <c r="G24" s="83">
        <f>CostOfRawMaterialsToMakeBEV!G17</f>
        <v>45010</v>
      </c>
      <c r="H24" s="85">
        <f>F24*C24*$P$18/$P$22</f>
        <v>6494.2</v>
      </c>
      <c r="I24" s="98">
        <v>0</v>
      </c>
      <c r="P24" t="s">
        <v>161</v>
      </c>
    </row>
    <row r="25" spans="2:17" x14ac:dyDescent="0.35">
      <c r="B25" s="89" t="s">
        <v>202</v>
      </c>
      <c r="C25" s="68">
        <f>RawMaterialsForBEV!F18</f>
        <v>300000</v>
      </c>
      <c r="D25" s="90">
        <f>RawMaterialsForBEV!G18</f>
        <v>2019</v>
      </c>
      <c r="E25" s="103" t="s">
        <v>15</v>
      </c>
      <c r="F25" s="91">
        <f>CostOfRawMaterialsToMakeBEV!E18</f>
        <v>103.36606</v>
      </c>
      <c r="G25" s="92">
        <f>CostOfRawMaterialsToMakeBEV!G18</f>
        <v>45010</v>
      </c>
      <c r="H25" s="93">
        <f>F25*C25*$P$18/$P$22</f>
        <v>31009.817999999999</v>
      </c>
      <c r="I25" s="97">
        <v>0</v>
      </c>
      <c r="P25" s="8">
        <f>C26/C27</f>
        <v>0.17894736842105263</v>
      </c>
    </row>
    <row r="26" spans="2:17" x14ac:dyDescent="0.35">
      <c r="B26" s="18" t="s">
        <v>204</v>
      </c>
      <c r="C26" s="5">
        <f>RawMaterialsForBEV!F19</f>
        <v>68000000</v>
      </c>
      <c r="D26">
        <f>RawMaterialsForBEV!G19</f>
        <v>2022</v>
      </c>
      <c r="E26" s="109" t="s">
        <v>15</v>
      </c>
      <c r="F26" s="32">
        <f>CostOfRawMaterialsToMakeBEV!E19</f>
        <v>2.3479999999999999</v>
      </c>
      <c r="G26" s="83">
        <f>CostOfRawMaterialsToMakeBEV!G19</f>
        <v>45010</v>
      </c>
      <c r="H26" s="85">
        <f>F26*C26*$P$18/$P$22</f>
        <v>159664</v>
      </c>
      <c r="I26" s="98">
        <f>RawMaterialsForBEV!E19</f>
        <v>16900000</v>
      </c>
    </row>
    <row r="27" spans="2:17" x14ac:dyDescent="0.35">
      <c r="B27" s="18" t="s">
        <v>162</v>
      </c>
      <c r="C27" s="5">
        <v>380000000</v>
      </c>
      <c r="D27">
        <v>2022</v>
      </c>
      <c r="E27" s="8">
        <f>C27/$C$29</f>
        <v>9.7385955920040998E-2</v>
      </c>
      <c r="F27" s="106" t="s">
        <v>15</v>
      </c>
      <c r="G27" s="107" t="s">
        <v>15</v>
      </c>
      <c r="H27" s="108" t="s">
        <v>15</v>
      </c>
      <c r="I27" s="98">
        <f>(100/17)*I26</f>
        <v>99411764.705882356</v>
      </c>
      <c r="K27" s="8">
        <f>C26/C27</f>
        <v>0.17894736842105263</v>
      </c>
      <c r="P27" t="s">
        <v>168</v>
      </c>
    </row>
    <row r="28" spans="2:17" x14ac:dyDescent="0.35">
      <c r="B28" s="89" t="s">
        <v>205</v>
      </c>
      <c r="C28" s="68">
        <f>RawMaterialsForBEV!F20</f>
        <v>1951000000</v>
      </c>
      <c r="D28" s="90">
        <f>RawMaterialsForBEV!G20</f>
        <v>2021</v>
      </c>
      <c r="E28" s="69"/>
      <c r="F28" s="91">
        <f>CostOfRawMaterialsToMakeBEV!E20</f>
        <v>0.59471880999999993</v>
      </c>
      <c r="G28" s="92">
        <f>CostOfRawMaterialsToMakeBEV!G20</f>
        <v>45010</v>
      </c>
      <c r="H28" s="93">
        <f>F28*C28*$P$18/$P$22</f>
        <v>1160296.3983100001</v>
      </c>
      <c r="I28" s="96">
        <f>RawMaterialsForBEV!E20</f>
        <v>100000000</v>
      </c>
      <c r="P28">
        <v>198</v>
      </c>
    </row>
    <row r="29" spans="2:17" x14ac:dyDescent="0.35">
      <c r="B29" s="89" t="s">
        <v>140</v>
      </c>
      <c r="C29" s="68">
        <f>(100/50)*C28</f>
        <v>3902000000</v>
      </c>
      <c r="D29" s="90">
        <v>2021</v>
      </c>
      <c r="E29" s="69">
        <v>1</v>
      </c>
      <c r="F29" s="91">
        <v>0.1235</v>
      </c>
      <c r="G29" s="92">
        <v>45020</v>
      </c>
      <c r="H29" s="93">
        <f>F29*C29*$P$18/$P$22</f>
        <v>481897</v>
      </c>
      <c r="I29" s="96">
        <f>(100/50)*I28</f>
        <v>200000000</v>
      </c>
      <c r="P29" t="s">
        <v>169</v>
      </c>
      <c r="Q29" s="83">
        <v>45022</v>
      </c>
    </row>
    <row r="30" spans="2:17" x14ac:dyDescent="0.35">
      <c r="B30" s="18" t="s">
        <v>210</v>
      </c>
      <c r="C30" s="5">
        <v>7700000000</v>
      </c>
      <c r="D30">
        <v>2021</v>
      </c>
      <c r="E30" s="8">
        <f>C30/$C$29</f>
        <v>1.9733470015376731</v>
      </c>
      <c r="F30" s="32">
        <f>P28/P18</f>
        <v>0.19800000000000001</v>
      </c>
      <c r="G30" s="83">
        <v>45022</v>
      </c>
      <c r="H30" s="85">
        <f>F30*C30*$P$18/$P$22</f>
        <v>1524600</v>
      </c>
      <c r="I30" s="100">
        <v>0</v>
      </c>
    </row>
    <row r="31" spans="2:17" x14ac:dyDescent="0.35">
      <c r="B31" s="89" t="s">
        <v>211</v>
      </c>
      <c r="C31" s="68">
        <v>4200000000</v>
      </c>
      <c r="D31" s="90">
        <v>2021</v>
      </c>
      <c r="E31" s="69">
        <f>C31/$C$29</f>
        <v>1.0763710917478215</v>
      </c>
      <c r="F31" s="91">
        <f>P32*P35/P18</f>
        <v>0.55789999999999995</v>
      </c>
      <c r="G31" s="92">
        <v>45022</v>
      </c>
      <c r="H31" s="93">
        <f>F31*C31*$P$18/$P$22</f>
        <v>2343180</v>
      </c>
      <c r="I31" s="97">
        <v>0</v>
      </c>
      <c r="P31" t="s">
        <v>170</v>
      </c>
    </row>
    <row r="32" spans="2:17" x14ac:dyDescent="0.35">
      <c r="B32" s="18" t="s">
        <v>212</v>
      </c>
      <c r="C32" s="5">
        <f>P38*P42/P35</f>
        <v>3872074514.2857141</v>
      </c>
      <c r="D32">
        <v>2021</v>
      </c>
      <c r="E32" s="8">
        <f>C32/$C$29</f>
        <v>0.99233073149300721</v>
      </c>
      <c r="F32" s="32">
        <f>P59</f>
        <v>0.49431200000000003</v>
      </c>
      <c r="G32" s="83">
        <v>45022</v>
      </c>
      <c r="H32" s="85">
        <f>F32*C32*$P$18/$P$22</f>
        <v>1914012.8973055999</v>
      </c>
      <c r="I32" s="100">
        <v>0</v>
      </c>
      <c r="P32">
        <v>79.7</v>
      </c>
      <c r="Q32" t="s">
        <v>171</v>
      </c>
    </row>
    <row r="33" spans="2:19" ht="15" thickBot="1" x14ac:dyDescent="0.4">
      <c r="B33" s="22"/>
      <c r="C33" s="24"/>
      <c r="D33" s="24"/>
      <c r="E33" s="24"/>
      <c r="F33" s="24"/>
      <c r="G33" s="24"/>
      <c r="H33" s="25"/>
      <c r="I33" s="101"/>
      <c r="P33" t="s">
        <v>169</v>
      </c>
      <c r="Q33" s="83">
        <v>45022</v>
      </c>
    </row>
    <row r="34" spans="2:19" ht="15" thickTop="1" x14ac:dyDescent="0.35">
      <c r="P34" t="s">
        <v>177</v>
      </c>
    </row>
    <row r="35" spans="2:19" x14ac:dyDescent="0.35">
      <c r="P35">
        <v>7</v>
      </c>
      <c r="Q35" t="s">
        <v>93</v>
      </c>
      <c r="R35" s="9" t="s">
        <v>178</v>
      </c>
    </row>
    <row r="37" spans="2:19" x14ac:dyDescent="0.35">
      <c r="B37" s="6" t="str">
        <f>RawMaterialsForBEV!B24</f>
        <v>Sources and attribution</v>
      </c>
      <c r="C37" s="7"/>
      <c r="D37" s="7"/>
      <c r="E37" s="7"/>
      <c r="F37" s="7"/>
      <c r="G37" s="7"/>
      <c r="P37" t="s">
        <v>181</v>
      </c>
    </row>
    <row r="38" spans="2:19" x14ac:dyDescent="0.35">
      <c r="P38">
        <v>4040</v>
      </c>
      <c r="Q38" t="s">
        <v>182</v>
      </c>
      <c r="R38" t="s">
        <v>93</v>
      </c>
      <c r="S38" t="str">
        <f>C59</f>
        <v>https://www.statista.com/statistics/265344/total-global-natural-gas-production-since-1998/</v>
      </c>
    </row>
    <row r="39" spans="2:19" x14ac:dyDescent="0.35">
      <c r="B39" s="4" t="str">
        <f>RawMaterialsForBEV!B26</f>
        <v>Material type</v>
      </c>
      <c r="C39" s="4" t="str">
        <f>RawMaterialsForBEV!F26</f>
        <v xml:space="preserve">Global production </v>
      </c>
      <c r="D39" s="4" t="str">
        <f>RawMaterialsForBEV!G26</f>
        <v>Data year</v>
      </c>
      <c r="E39" s="4"/>
      <c r="F39" s="4" t="str">
        <f>CostOfRawMaterialsToMakeBEV!E26</f>
        <v>Price per kg</v>
      </c>
      <c r="P39" t="s">
        <v>169</v>
      </c>
      <c r="Q39">
        <v>2021</v>
      </c>
    </row>
    <row r="40" spans="2:19" x14ac:dyDescent="0.35">
      <c r="C40" t="str">
        <f>RawMaterialsForBEV!F27</f>
        <v>in tons</v>
      </c>
    </row>
    <row r="41" spans="2:19" x14ac:dyDescent="0.35">
      <c r="B41" s="4" t="str">
        <f>RawMaterialsForBEV!B28</f>
        <v>Graphite (99.95% pure anode)</v>
      </c>
      <c r="C41" s="9" t="str">
        <f>RawMaterialsForBEV!F28</f>
        <v>https://natural-resources.canada.ca/our-natural-resources/minerals-mining/minerals-metals-facts/graphite-facts/24027</v>
      </c>
      <c r="D41" t="s">
        <v>155</v>
      </c>
      <c r="F41" s="9" t="s">
        <v>60</v>
      </c>
      <c r="G41" t="s">
        <v>15</v>
      </c>
      <c r="P41" t="s">
        <v>183</v>
      </c>
    </row>
    <row r="42" spans="2:19" x14ac:dyDescent="0.35">
      <c r="B42" s="4" t="str">
        <f>RawMaterialsForBEV!B29</f>
        <v>Nickel (tesla battery 78kWh)</v>
      </c>
      <c r="C42" s="9" t="s">
        <v>14</v>
      </c>
      <c r="D42" t="s">
        <v>15</v>
      </c>
      <c r="F42" s="9" t="s">
        <v>37</v>
      </c>
      <c r="G42" t="s">
        <v>15</v>
      </c>
      <c r="P42" s="5">
        <v>6709040</v>
      </c>
      <c r="Q42" t="s">
        <v>93</v>
      </c>
      <c r="R42" s="9" t="s">
        <v>184</v>
      </c>
    </row>
    <row r="43" spans="2:19" x14ac:dyDescent="0.35">
      <c r="B43" s="4" t="str">
        <f>B16</f>
        <v>Nickel ore at 2%</v>
      </c>
      <c r="C43" s="9" t="s">
        <v>154</v>
      </c>
      <c r="D43" t="s">
        <v>15</v>
      </c>
      <c r="F43" s="9"/>
    </row>
    <row r="44" spans="2:19" x14ac:dyDescent="0.35">
      <c r="B44" s="4" t="str">
        <f>RawMaterialsForBEV!B30</f>
        <v xml:space="preserve">Lithium carbonate or equivalent </v>
      </c>
      <c r="C44" s="9" t="str">
        <f>RawMaterialsForBEV!F30</f>
        <v>https://www.visualcapitalist.com/visualizing-25-years-of-lithium-production-by-country/</v>
      </c>
      <c r="D44" t="s">
        <v>156</v>
      </c>
      <c r="F44" s="9" t="s">
        <v>43</v>
      </c>
      <c r="G44" t="s">
        <v>15</v>
      </c>
      <c r="P44" t="s">
        <v>187</v>
      </c>
    </row>
    <row r="45" spans="2:19" x14ac:dyDescent="0.35">
      <c r="B45" s="18" t="str">
        <f>RawMaterialsForBEV!B31</f>
        <v>In terms of lithium metal 100%</v>
      </c>
      <c r="C45" s="9" t="str">
        <f>RawMaterialsForBEV!F31</f>
        <v>https://www.statista.com/statistics/606684/world-production-of-lithium/?ssp=1&amp;darkschemeovr=1&amp;setlang=en-XL&amp;safesearch=moderate</v>
      </c>
      <c r="D45" t="s">
        <v>15</v>
      </c>
      <c r="F45" t="s">
        <v>15</v>
      </c>
      <c r="G45" t="s">
        <v>15</v>
      </c>
      <c r="P45">
        <v>104</v>
      </c>
      <c r="Q45" t="s">
        <v>189</v>
      </c>
    </row>
    <row r="46" spans="2:19" x14ac:dyDescent="0.35">
      <c r="B46" s="4" t="str">
        <f>B19</f>
        <v>Li in terms of spodumene ore 2%</v>
      </c>
      <c r="C46" s="9" t="s">
        <v>200</v>
      </c>
      <c r="D46" t="s">
        <v>201</v>
      </c>
      <c r="F46" t="s">
        <v>15</v>
      </c>
    </row>
    <row r="47" spans="2:19" x14ac:dyDescent="0.35">
      <c r="B47" s="4" t="str">
        <f>RawMaterialsForBEV!B32</f>
        <v>Copper (battery, motor, wires)</v>
      </c>
      <c r="C47" s="9" t="s">
        <v>22</v>
      </c>
      <c r="D47" t="s">
        <v>15</v>
      </c>
      <c r="F47" s="9" t="s">
        <v>48</v>
      </c>
      <c r="G47" t="s">
        <v>15</v>
      </c>
      <c r="P47" t="s">
        <v>169</v>
      </c>
      <c r="Q47" s="83">
        <v>45022</v>
      </c>
    </row>
    <row r="48" spans="2:19" x14ac:dyDescent="0.35">
      <c r="B48" s="4" t="str">
        <f>B21</f>
        <v>Copper ore at 0.6%</v>
      </c>
      <c r="C48" s="9" t="s">
        <v>148</v>
      </c>
      <c r="D48" t="s">
        <v>15</v>
      </c>
      <c r="P48" t="s">
        <v>93</v>
      </c>
      <c r="Q48" t="str">
        <f>F59</f>
        <v>https://tradingeconomics.com/commodity/uk-natural-gas</v>
      </c>
    </row>
    <row r="49" spans="2:20" x14ac:dyDescent="0.35">
      <c r="B49" s="4" t="str">
        <f>RawMaterialsForBEV!B33</f>
        <v>Manganese (batteries)</v>
      </c>
      <c r="C49" s="9" t="s">
        <v>14</v>
      </c>
      <c r="D49" t="s">
        <v>15</v>
      </c>
      <c r="F49" s="9" t="s">
        <v>49</v>
      </c>
      <c r="G49" t="s">
        <v>15</v>
      </c>
    </row>
    <row r="50" spans="2:20" x14ac:dyDescent="0.35">
      <c r="B50" s="4" t="str">
        <f>B23</f>
        <v>Manganese ore at 30%</v>
      </c>
      <c r="C50" s="9" t="s">
        <v>158</v>
      </c>
      <c r="D50" t="s">
        <v>15</v>
      </c>
      <c r="F50" s="9"/>
      <c r="P50" t="s">
        <v>190</v>
      </c>
    </row>
    <row r="51" spans="2:20" x14ac:dyDescent="0.35">
      <c r="B51" s="4" t="str">
        <f>RawMaterialsForBEV!B34</f>
        <v>Cobalt (batteries)</v>
      </c>
      <c r="C51" s="9" t="s">
        <v>14</v>
      </c>
      <c r="D51" t="s">
        <v>15</v>
      </c>
      <c r="F51" s="9" t="s">
        <v>47</v>
      </c>
      <c r="G51" t="s">
        <v>15</v>
      </c>
      <c r="P51">
        <f>1.25/100</f>
        <v>1.2500000000000001E-2</v>
      </c>
      <c r="Q51" t="s">
        <v>169</v>
      </c>
      <c r="R51" s="83">
        <v>45022</v>
      </c>
      <c r="S51" t="s">
        <v>93</v>
      </c>
      <c r="T51" s="9" t="s">
        <v>193</v>
      </c>
    </row>
    <row r="52" spans="2:20" x14ac:dyDescent="0.35">
      <c r="B52" s="4" t="str">
        <f>RawMaterialsForBEV!B35</f>
        <v>Rare earth (fx Nd, Pr, Dy, Tb)</v>
      </c>
      <c r="C52" s="88" t="s">
        <v>19</v>
      </c>
      <c r="D52" t="s">
        <v>15</v>
      </c>
      <c r="F52" s="9" t="s">
        <v>50</v>
      </c>
      <c r="G52" t="s">
        <v>15</v>
      </c>
      <c r="P52" t="s">
        <v>191</v>
      </c>
    </row>
    <row r="53" spans="2:20" x14ac:dyDescent="0.35">
      <c r="B53" s="4" t="str">
        <f>RawMaterialsForBEV!B36</f>
        <v>Aluminum (vehicle GM Volt))</v>
      </c>
      <c r="C53" s="9" t="s">
        <v>14</v>
      </c>
      <c r="D53" t="s">
        <v>15</v>
      </c>
      <c r="F53" s="9" t="s">
        <v>52</v>
      </c>
      <c r="G53" t="s">
        <v>15</v>
      </c>
      <c r="P53" s="65">
        <f>P45*P51</f>
        <v>1.3</v>
      </c>
      <c r="Q53" t="s">
        <v>192</v>
      </c>
    </row>
    <row r="54" spans="2:20" x14ac:dyDescent="0.35">
      <c r="B54" s="4" t="str">
        <f>B27</f>
        <v>Aluminuium ore Bauxite at 17%</v>
      </c>
      <c r="C54" s="9" t="s">
        <v>160</v>
      </c>
      <c r="D54" t="s">
        <v>15</v>
      </c>
      <c r="F54" s="9"/>
      <c r="P54" t="s">
        <v>194</v>
      </c>
    </row>
    <row r="55" spans="2:20" x14ac:dyDescent="0.35">
      <c r="B55" s="4" t="str">
        <f>RawMaterialsForBEV!B37</f>
        <v>Crude steel https://kdmfab.com/mild-steel-vs-stainless-steel/</v>
      </c>
      <c r="C55" s="9" t="str">
        <f>RawMaterialsForBEV!F37</f>
        <v>https://worldsteel.org/steel-topics/statistics/world-steel-in-figures-2022/</v>
      </c>
      <c r="D55" t="s">
        <v>15</v>
      </c>
      <c r="F55" s="9" t="s">
        <v>53</v>
      </c>
      <c r="G55" t="s">
        <v>15</v>
      </c>
      <c r="P55">
        <v>54.32</v>
      </c>
      <c r="Q55" t="s">
        <v>93</v>
      </c>
      <c r="R55" s="9" t="s">
        <v>184</v>
      </c>
    </row>
    <row r="56" spans="2:20" x14ac:dyDescent="0.35">
      <c r="B56" s="18" t="s">
        <v>139</v>
      </c>
      <c r="C56" s="9" t="s">
        <v>141</v>
      </c>
      <c r="D56" t="s">
        <v>15</v>
      </c>
      <c r="F56" s="9" t="s">
        <v>144</v>
      </c>
      <c r="G56" t="s">
        <v>15</v>
      </c>
      <c r="P56" t="s">
        <v>195</v>
      </c>
    </row>
    <row r="57" spans="2:20" x14ac:dyDescent="0.35">
      <c r="B57" s="4" t="str">
        <f>B30</f>
        <v>Coal (price is Newcastle Europe)</v>
      </c>
      <c r="C57" s="9" t="s">
        <v>165</v>
      </c>
      <c r="D57" t="s">
        <v>15</v>
      </c>
      <c r="F57" s="9" t="s">
        <v>166</v>
      </c>
      <c r="G57" t="s">
        <v>15</v>
      </c>
      <c r="P57">
        <f>P55*P53</f>
        <v>70.616</v>
      </c>
      <c r="Q57" t="s">
        <v>196</v>
      </c>
    </row>
    <row r="58" spans="2:20" x14ac:dyDescent="0.35">
      <c r="B58" s="4" t="str">
        <f>B31</f>
        <v>Oil (price is WTI US crude)</v>
      </c>
      <c r="C58" s="9" t="s">
        <v>167</v>
      </c>
      <c r="D58" t="s">
        <v>15</v>
      </c>
      <c r="F58" s="9" t="s">
        <v>172</v>
      </c>
      <c r="G58" t="s">
        <v>15</v>
      </c>
      <c r="P58" t="s">
        <v>197</v>
      </c>
    </row>
    <row r="59" spans="2:20" x14ac:dyDescent="0.35">
      <c r="B59" s="4" t="str">
        <f>B32</f>
        <v>Gas (price is UK natural gas)</v>
      </c>
      <c r="C59" s="9" t="s">
        <v>180</v>
      </c>
      <c r="D59" t="s">
        <v>15</v>
      </c>
      <c r="F59" s="9" t="s">
        <v>188</v>
      </c>
      <c r="G59" t="s">
        <v>15</v>
      </c>
      <c r="P59">
        <f>P57*P35/P18</f>
        <v>0.49431200000000003</v>
      </c>
    </row>
  </sheetData>
  <hyperlinks>
    <hyperlink ref="C55" r:id="rId1" display="https://worldsteel.org/steel-topics/statistics/world-steel-in-figures-2022/" xr:uid="{0078ACA3-AAC0-4488-A9D9-48855C935261}"/>
    <hyperlink ref="C41" r:id="rId2" display="https://natural-resources.canada.ca/our-natural-resources/minerals-mining/minerals-metals-facts/graphite-facts/24027" xr:uid="{A79C997B-3088-4E1D-A8D7-26C52D1914B6}"/>
    <hyperlink ref="C45" r:id="rId3" display="https://www.statista.com/statistics/606684/world-production-of-lithium/?ssp=1&amp;darkschemeovr=1&amp;setlang=en-XL&amp;safesearch=moderate" xr:uid="{297E9D5B-44BD-437E-84BE-BDAAB61ACDEF}"/>
    <hyperlink ref="C44" r:id="rId4" display="https://www.visualcapitalist.com/visualizing-25-years-of-lithium-production-by-country/" xr:uid="{666B9507-9FA1-4A30-9E8C-2A79B9AD3032}"/>
    <hyperlink ref="C56" r:id="rId5" xr:uid="{37F32956-B455-4854-AC23-32AFE65BCBA5}"/>
    <hyperlink ref="C47" r:id="rId6" xr:uid="{26B190BE-2785-4F83-9401-4ED20559816D}"/>
    <hyperlink ref="C42" r:id="rId7" xr:uid="{C731DA5B-E821-4ADC-BFF0-31A7FCC8E7EA}"/>
    <hyperlink ref="C48" r:id="rId8" location="Concentration_(beneficiation)" xr:uid="{45C6B8F1-CB18-45A0-AC26-235E4DDDF093}"/>
    <hyperlink ref="C49" r:id="rId9" xr:uid="{56A81D79-8E76-4793-B450-F6376D7345A8}"/>
    <hyperlink ref="C51" r:id="rId10" xr:uid="{22BA8B7B-E7C7-4E2A-A69E-2F43EF370B57}"/>
    <hyperlink ref="C52" r:id="rId11" xr:uid="{937C8509-E6A6-4BDE-B54A-9AEDF44A49E5}"/>
    <hyperlink ref="C53" r:id="rId12" xr:uid="{C862E410-6FF3-4E2A-80C8-6A3D78B6DA12}"/>
    <hyperlink ref="F41" r:id="rId13" xr:uid="{74A11CA8-8D31-4C56-ACF2-B0207D8631B2}"/>
    <hyperlink ref="F42" r:id="rId14" xr:uid="{2947A1D2-FECE-48CE-917B-F60D9F22FA03}"/>
    <hyperlink ref="F44" r:id="rId15" xr:uid="{14FC2353-81D3-4362-B7B6-7246DFA311CC}"/>
    <hyperlink ref="F47" r:id="rId16" xr:uid="{AF86838F-C540-4595-B9F5-C95B4DE9453E}"/>
    <hyperlink ref="F49" r:id="rId17" xr:uid="{D3E4A96D-2F58-4609-B4E6-247F97DA5C8A}"/>
    <hyperlink ref="F51" r:id="rId18" xr:uid="{989BD761-C046-4FE1-926D-0FD631928000}"/>
    <hyperlink ref="F52" r:id="rId19" xr:uid="{252CD2AD-A09D-423A-BD53-21A98C8AA37A}"/>
    <hyperlink ref="F53" r:id="rId20" xr:uid="{A97A5AC5-EA5A-4934-B488-B167B6467A04}"/>
    <hyperlink ref="F55" r:id="rId21" xr:uid="{80D96D73-E942-40D2-B8F9-992AED53270A}"/>
    <hyperlink ref="C43" r:id="rId22" location=":~:text=After%20mining%2C%20nickel%20ores%20are%20further%20processed%20to,minerals%20using%20various%20physical%20and%20chemical%20processing%20methods." xr:uid="{5A867391-C059-4729-8318-762EDFBD20E3}"/>
    <hyperlink ref="C50" r:id="rId23" xr:uid="{A1BE5B7A-A6A6-4DE1-B746-67134682A717}"/>
    <hyperlink ref="C54" r:id="rId24" xr:uid="{6236F2E5-9BC6-4CB7-B37A-8E89CE38BE2D}"/>
    <hyperlink ref="C57" r:id="rId25" xr:uid="{0D8928B2-ECAE-46BB-AC98-9F1FF5AF16AE}"/>
    <hyperlink ref="F57" r:id="rId26" xr:uid="{202884A6-C048-4E08-BC1E-7130D7A126D3}"/>
    <hyperlink ref="C58" r:id="rId27" xr:uid="{E37C0D6B-953B-45F2-B612-8ADA2FDBA233}"/>
    <hyperlink ref="F58" r:id="rId28" xr:uid="{5F80D741-917B-4DBD-B20B-22FBB6490E74}"/>
    <hyperlink ref="R35" r:id="rId29" xr:uid="{F85EC29A-8087-4F56-8434-F89081919769}"/>
    <hyperlink ref="C59" r:id="rId30" xr:uid="{8D851899-FA47-4826-9CF4-AAF404F6F22D}"/>
    <hyperlink ref="R42" r:id="rId31" xr:uid="{5B2B9D1B-00E9-45C1-A460-F6DF7789434A}"/>
    <hyperlink ref="F59" r:id="rId32" xr:uid="{E39FEB1E-03F8-4893-AFEA-6245899990CC}"/>
    <hyperlink ref="T51" r:id="rId33" xr:uid="{8CC28252-02AF-4688-BDEC-CD240F0134C6}"/>
    <hyperlink ref="R55" r:id="rId34" xr:uid="{C04FA2B0-E407-4DBE-86E3-95C8492E8BB8}"/>
    <hyperlink ref="C46" r:id="rId35" xr:uid="{B8ED467C-229B-4101-A8F4-513716DD514B}"/>
  </hyperlinks>
  <pageMargins left="0.7" right="0.7" top="0.75" bottom="0.75" header="0.3" footer="0.3"/>
  <pageSetup orientation="portrait" verticalDpi="0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RawMaterialsForBEV</vt:lpstr>
      <vt:lpstr>CostOfRawMaterialsToMakeBEV</vt:lpstr>
      <vt:lpstr>TotalCopperSavings</vt:lpstr>
      <vt:lpstr>GrowthLithium</vt:lpstr>
      <vt:lpstr>LithiumReserves</vt:lpstr>
      <vt:lpstr>RawMaterialProcessing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2023-04-07T12:46:50Z</dcterms:modified>
</cp:coreProperties>
</file>