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V:\8_MakingTheFutureBetter\2024\#40_64_FundingUkrWar\1_FilesUsedForYTvideo\"/>
    </mc:Choice>
  </mc:AlternateContent>
  <xr:revisionPtr revIDLastSave="0" documentId="13_ncr:1_{590B0D64-3E6E-473F-8363-8A966A00FE30}" xr6:coauthVersionLast="47" xr6:coauthVersionMax="47" xr10:uidLastSave="{00000000-0000-0000-0000-000000000000}"/>
  <bookViews>
    <workbookView xWindow="-110" yWindow="-110" windowWidth="38620" windowHeight="21100" activeTab="1" xr2:uid="{00000000-000D-0000-FFFF-FFFF00000000}"/>
  </bookViews>
  <sheets>
    <sheet name="Data24jan2022ToOct312023" sheetId="1" r:id="rId1"/>
    <sheet name="Data24Jan2022To15Jan2024" sheetId="3" r:id="rId2"/>
    <sheet name="CostOfWeapon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3" l="1"/>
  <c r="H25" i="3"/>
  <c r="H24" i="3"/>
  <c r="P36" i="3"/>
  <c r="O36" i="3"/>
  <c r="O9" i="3"/>
  <c r="G24" i="3"/>
  <c r="G25" i="3"/>
  <c r="G26" i="3" s="1"/>
  <c r="C24" i="3"/>
  <c r="F30" i="2"/>
  <c r="E10" i="2"/>
  <c r="E11" i="2"/>
  <c r="E9" i="2"/>
  <c r="F18" i="2"/>
  <c r="E18" i="2"/>
  <c r="F17" i="2"/>
  <c r="G16" i="2"/>
  <c r="H16" i="2"/>
  <c r="G17" i="2"/>
  <c r="H17" i="2"/>
  <c r="G29" i="2"/>
  <c r="H29" i="2"/>
  <c r="I29" i="2"/>
  <c r="G30" i="2"/>
  <c r="H30" i="2"/>
  <c r="J24" i="2"/>
  <c r="J22" i="2"/>
  <c r="E20" i="2"/>
  <c r="E19" i="2"/>
  <c r="C28" i="2"/>
  <c r="H28" i="2" s="1"/>
  <c r="E26" i="2"/>
  <c r="F26" i="2"/>
  <c r="F25" i="2"/>
  <c r="E25" i="2"/>
  <c r="D26" i="2"/>
  <c r="D25" i="2"/>
  <c r="G23" i="2"/>
  <c r="G24" i="2"/>
  <c r="G22" i="2"/>
  <c r="G14" i="2"/>
  <c r="G15" i="2"/>
  <c r="G13" i="2"/>
  <c r="C21" i="2"/>
  <c r="D21" i="2" s="1"/>
  <c r="D20" i="2"/>
  <c r="D19" i="2"/>
  <c r="D11" i="2"/>
  <c r="D9" i="2"/>
  <c r="C10" i="2"/>
  <c r="D10" i="2" s="1"/>
  <c r="H24" i="2"/>
  <c r="I24" i="2"/>
  <c r="H22" i="2"/>
  <c r="I22" i="2"/>
  <c r="H23" i="2"/>
  <c r="I23" i="2"/>
  <c r="H15" i="2"/>
  <c r="I15" i="2"/>
  <c r="I14" i="2"/>
  <c r="I13" i="2"/>
  <c r="H14" i="2"/>
  <c r="H13" i="2"/>
  <c r="A1" i="2"/>
  <c r="P28" i="3"/>
  <c r="P27" i="3"/>
  <c r="P32" i="3"/>
  <c r="P33" i="3"/>
  <c r="P34" i="3"/>
  <c r="P37" i="3"/>
  <c r="P38" i="3"/>
  <c r="O31" i="3"/>
  <c r="P31" i="3"/>
  <c r="N35" i="3"/>
  <c r="P35" i="3" s="1"/>
  <c r="P10" i="3"/>
  <c r="P11" i="3"/>
  <c r="P13" i="3"/>
  <c r="P14" i="3"/>
  <c r="P15" i="3"/>
  <c r="P16" i="3"/>
  <c r="P17" i="3"/>
  <c r="P12" i="3"/>
  <c r="P18" i="3"/>
  <c r="P19" i="3"/>
  <c r="P20" i="3"/>
  <c r="P21" i="3"/>
  <c r="P22" i="3"/>
  <c r="P23" i="3"/>
  <c r="P9" i="3"/>
  <c r="F3" i="3"/>
  <c r="E8" i="3" s="1"/>
  <c r="O8" i="3" s="1"/>
  <c r="R4" i="3"/>
  <c r="D8" i="3"/>
  <c r="S5" i="3"/>
  <c r="O32" i="3"/>
  <c r="O33" i="3"/>
  <c r="O34" i="3"/>
  <c r="O35" i="3"/>
  <c r="O37" i="3"/>
  <c r="O38" i="3"/>
  <c r="O21" i="3"/>
  <c r="O19" i="3"/>
  <c r="O18" i="3"/>
  <c r="O14" i="3"/>
  <c r="O10" i="3"/>
  <c r="O11" i="3"/>
  <c r="O13" i="3"/>
  <c r="O15" i="3"/>
  <c r="O16" i="3"/>
  <c r="O17" i="3"/>
  <c r="O12" i="3"/>
  <c r="O20" i="3"/>
  <c r="O22" i="3"/>
  <c r="O23" i="3"/>
  <c r="M27" i="3"/>
  <c r="O28" i="3"/>
  <c r="S24" i="3"/>
  <c r="T24" i="3"/>
  <c r="U24" i="3"/>
  <c r="S25" i="3"/>
  <c r="T25" i="3"/>
  <c r="U25" i="3"/>
  <c r="S26" i="3"/>
  <c r="T26" i="3"/>
  <c r="U26" i="3"/>
  <c r="C26" i="3"/>
  <c r="C25" i="3"/>
  <c r="D9" i="3"/>
  <c r="D11" i="3"/>
  <c r="D13" i="3"/>
  <c r="D14" i="3"/>
  <c r="D15" i="3"/>
  <c r="D16" i="3"/>
  <c r="D17" i="3"/>
  <c r="D12" i="3"/>
  <c r="D18" i="3"/>
  <c r="D19" i="3"/>
  <c r="D20" i="3"/>
  <c r="D21" i="3"/>
  <c r="D22" i="3"/>
  <c r="D23" i="3"/>
  <c r="D10" i="3"/>
  <c r="I31" i="1"/>
  <c r="J26" i="1"/>
  <c r="F26" i="1"/>
  <c r="E26" i="1"/>
  <c r="C26" i="1"/>
  <c r="H27" i="1"/>
  <c r="I27" i="1" s="1"/>
  <c r="K27" i="1" s="1"/>
  <c r="H28" i="1"/>
  <c r="I28" i="1" s="1"/>
  <c r="K28" i="1" s="1"/>
  <c r="C8" i="1"/>
  <c r="C9" i="1" s="1"/>
  <c r="C11" i="1" s="1"/>
  <c r="C29" i="1" s="1"/>
  <c r="J8" i="1"/>
  <c r="F8" i="1"/>
  <c r="G17" i="1"/>
  <c r="G18" i="1"/>
  <c r="G19" i="1"/>
  <c r="G20" i="1"/>
  <c r="G21" i="1"/>
  <c r="G22" i="1"/>
  <c r="G23" i="1"/>
  <c r="G24" i="1"/>
  <c r="G25" i="1"/>
  <c r="G16" i="1"/>
  <c r="G15" i="1"/>
  <c r="G14" i="1"/>
  <c r="G13" i="1"/>
  <c r="E8" i="1"/>
  <c r="E9" i="1" s="1"/>
  <c r="E11" i="1" s="1"/>
  <c r="G12" i="1"/>
  <c r="G10" i="1"/>
  <c r="G7" i="1"/>
  <c r="H3" i="1"/>
  <c r="D12" i="1" s="1"/>
  <c r="P24" i="3" l="1"/>
  <c r="O24" i="3"/>
  <c r="M24" i="3" s="1"/>
  <c r="D24" i="3"/>
  <c r="P8" i="3"/>
  <c r="I28" i="2"/>
  <c r="G28" i="2"/>
  <c r="E21" i="2"/>
  <c r="F16" i="3"/>
  <c r="J16" i="3" s="1"/>
  <c r="I8" i="3"/>
  <c r="F15" i="3"/>
  <c r="J15" i="3" s="1"/>
  <c r="F10" i="3"/>
  <c r="F23" i="3"/>
  <c r="J23" i="3" s="1"/>
  <c r="F21" i="3"/>
  <c r="J21" i="3" s="1"/>
  <c r="F8" i="3"/>
  <c r="F22" i="3"/>
  <c r="J22" i="3" s="1"/>
  <c r="F19" i="3"/>
  <c r="J19" i="3" s="1"/>
  <c r="F9" i="3"/>
  <c r="J9" i="3" s="1"/>
  <c r="F12" i="3"/>
  <c r="J12" i="3" s="1"/>
  <c r="F13" i="3"/>
  <c r="J13" i="3" s="1"/>
  <c r="F17" i="3"/>
  <c r="J17" i="3" s="1"/>
  <c r="F18" i="3"/>
  <c r="J18" i="3" s="1"/>
  <c r="F11" i="3"/>
  <c r="J11" i="3" s="1"/>
  <c r="F20" i="3"/>
  <c r="J20" i="3" s="1"/>
  <c r="F14" i="3"/>
  <c r="J14" i="3" s="1"/>
  <c r="O25" i="3"/>
  <c r="M25" i="3" s="1"/>
  <c r="O26" i="3"/>
  <c r="M26" i="3" s="1"/>
  <c r="D25" i="3"/>
  <c r="D26" i="3"/>
  <c r="E11" i="3"/>
  <c r="I11" i="3" s="1"/>
  <c r="E22" i="3"/>
  <c r="I22" i="3" s="1"/>
  <c r="E17" i="3"/>
  <c r="I17" i="3" s="1"/>
  <c r="E10" i="3"/>
  <c r="E23" i="3"/>
  <c r="I23" i="3" s="1"/>
  <c r="E12" i="3"/>
  <c r="I12" i="3" s="1"/>
  <c r="E18" i="3"/>
  <c r="I18" i="3" s="1"/>
  <c r="E13" i="3"/>
  <c r="I13" i="3" s="1"/>
  <c r="E19" i="3"/>
  <c r="I19" i="3" s="1"/>
  <c r="E14" i="3"/>
  <c r="I14" i="3" s="1"/>
  <c r="E20" i="3"/>
  <c r="I20" i="3" s="1"/>
  <c r="E9" i="3"/>
  <c r="E15" i="3"/>
  <c r="I15" i="3" s="1"/>
  <c r="E21" i="3"/>
  <c r="I21" i="3" s="1"/>
  <c r="E16" i="3"/>
  <c r="I16" i="3" s="1"/>
  <c r="D17" i="1"/>
  <c r="H29" i="1"/>
  <c r="I29" i="1" s="1"/>
  <c r="D21" i="1"/>
  <c r="D20" i="1"/>
  <c r="D19" i="1"/>
  <c r="D25" i="1"/>
  <c r="D24" i="1"/>
  <c r="D23" i="1"/>
  <c r="D22" i="1"/>
  <c r="D18" i="1"/>
  <c r="D26" i="1"/>
  <c r="G26" i="1"/>
  <c r="H26" i="1" s="1"/>
  <c r="I26" i="1" s="1"/>
  <c r="K26" i="1" s="1"/>
  <c r="D15" i="1"/>
  <c r="D10" i="1"/>
  <c r="D14" i="1"/>
  <c r="D29" i="1"/>
  <c r="D16" i="1"/>
  <c r="D11" i="1"/>
  <c r="D9" i="1"/>
  <c r="D8" i="1"/>
  <c r="D13" i="1"/>
  <c r="H10" i="1"/>
  <c r="I10" i="1" s="1"/>
  <c r="K10" i="1" s="1"/>
  <c r="H17" i="1"/>
  <c r="I17" i="1" s="1"/>
  <c r="K17" i="1" s="1"/>
  <c r="H19" i="1"/>
  <c r="I19" i="1" s="1"/>
  <c r="K19" i="1" s="1"/>
  <c r="H18" i="1"/>
  <c r="I18" i="1" s="1"/>
  <c r="K18" i="1" s="1"/>
  <c r="H30" i="1"/>
  <c r="I30" i="1" s="1"/>
  <c r="H12" i="1"/>
  <c r="I12" i="1" s="1"/>
  <c r="K12" i="1" s="1"/>
  <c r="H13" i="1"/>
  <c r="I13" i="1" s="1"/>
  <c r="K13" i="1" s="1"/>
  <c r="H15" i="1"/>
  <c r="I15" i="1" s="1"/>
  <c r="K15" i="1" s="1"/>
  <c r="H16" i="1"/>
  <c r="I16" i="1" s="1"/>
  <c r="K16" i="1" s="1"/>
  <c r="H14" i="1"/>
  <c r="I14" i="1" s="1"/>
  <c r="K14" i="1" s="1"/>
  <c r="H7" i="1"/>
  <c r="I7" i="1" s="1"/>
  <c r="K7" i="1" s="1"/>
  <c r="H24" i="1"/>
  <c r="I24" i="1" s="1"/>
  <c r="K24" i="1" s="1"/>
  <c r="H22" i="1"/>
  <c r="I22" i="1" s="1"/>
  <c r="K22" i="1" s="1"/>
  <c r="H20" i="1"/>
  <c r="I20" i="1" s="1"/>
  <c r="K20" i="1" s="1"/>
  <c r="H23" i="1"/>
  <c r="I23" i="1" s="1"/>
  <c r="K23" i="1" s="1"/>
  <c r="G8" i="1"/>
  <c r="H8" i="1" s="1"/>
  <c r="I8" i="1" s="1"/>
  <c r="K8" i="1" s="1"/>
  <c r="H25" i="1"/>
  <c r="I25" i="1" s="1"/>
  <c r="K25" i="1" s="1"/>
  <c r="H21" i="1"/>
  <c r="I21" i="1" s="1"/>
  <c r="K21" i="1" s="1"/>
  <c r="J9" i="1"/>
  <c r="F9" i="1"/>
  <c r="I9" i="3" l="1"/>
  <c r="E25" i="3"/>
  <c r="P29" i="3" s="1"/>
  <c r="N24" i="3"/>
  <c r="P25" i="3"/>
  <c r="N25" i="3" s="1"/>
  <c r="P26" i="3"/>
  <c r="N26" i="3" s="1"/>
  <c r="I10" i="3"/>
  <c r="E24" i="3"/>
  <c r="I24" i="3" s="1"/>
  <c r="J10" i="3"/>
  <c r="F24" i="3"/>
  <c r="J24" i="3" s="1"/>
  <c r="E26" i="3"/>
  <c r="O29" i="3" s="1"/>
  <c r="J11" i="1"/>
  <c r="G9" i="1"/>
  <c r="F11" i="1"/>
  <c r="I25" i="3" l="1"/>
  <c r="P30" i="3"/>
  <c r="I26" i="3"/>
  <c r="O30" i="3"/>
  <c r="J8" i="3"/>
  <c r="F25" i="3"/>
  <c r="J25" i="3" s="1"/>
  <c r="F26" i="3"/>
  <c r="J26" i="3" s="1"/>
  <c r="H9" i="1"/>
  <c r="I9" i="1" s="1"/>
  <c r="K9" i="1" s="1"/>
  <c r="G11" i="1"/>
  <c r="H11" i="1" s="1"/>
  <c r="I11" i="1" s="1"/>
  <c r="K11" i="1" s="1"/>
</calcChain>
</file>

<file path=xl/sharedStrings.xml><?xml version="1.0" encoding="utf-8"?>
<sst xmlns="http://schemas.openxmlformats.org/spreadsheetml/2006/main" count="1360" uniqueCount="281">
  <si>
    <t>Funding for UkraineWar #36/60</t>
  </si>
  <si>
    <t>European Union</t>
  </si>
  <si>
    <t>Germany</t>
  </si>
  <si>
    <t>UK</t>
  </si>
  <si>
    <t>Poland</t>
  </si>
  <si>
    <t>Norway</t>
  </si>
  <si>
    <t>Denmark</t>
  </si>
  <si>
    <t>Sweden</t>
  </si>
  <si>
    <t>USA</t>
  </si>
  <si>
    <t>Annualized</t>
  </si>
  <si>
    <t>Bilateral aid not including US</t>
  </si>
  <si>
    <t>Total non US aid</t>
  </si>
  <si>
    <t>Japan</t>
  </si>
  <si>
    <t>Canada</t>
  </si>
  <si>
    <t>Switzerland</t>
  </si>
  <si>
    <t>France</t>
  </si>
  <si>
    <t>Military, financial &amp; humanitary aid</t>
  </si>
  <si>
    <t>Finland</t>
  </si>
  <si>
    <t>Czech Republic</t>
  </si>
  <si>
    <t>Italy</t>
  </si>
  <si>
    <t>Netherlands</t>
  </si>
  <si>
    <t>including refugees</t>
  </si>
  <si>
    <t>Sources</t>
  </si>
  <si>
    <t>Jan. 24, 2022 to Oct.31 2023</t>
  </si>
  <si>
    <t>Latest annual</t>
  </si>
  <si>
    <t>Calc</t>
  </si>
  <si>
    <t>https://www.ifw-kiel.de/topics/war-against-ukraine/ukraine-support-tracker/</t>
  </si>
  <si>
    <t xml:space="preserve">#ofYears </t>
  </si>
  <si>
    <t>Exchange rate</t>
  </si>
  <si>
    <t>1 USD =</t>
  </si>
  <si>
    <t>Euro</t>
  </si>
  <si>
    <t>Source</t>
  </si>
  <si>
    <t>https://www.xe.com/currencyconverter/convert/?Amount=1&amp;From=USD&amp;To=EUR</t>
  </si>
  <si>
    <t>Date 13 february 2024</t>
  </si>
  <si>
    <t xml:space="preserve">Ann. Aid </t>
  </si>
  <si>
    <t>in % GDP</t>
  </si>
  <si>
    <t>-</t>
  </si>
  <si>
    <t>calc</t>
  </si>
  <si>
    <t>https://tradingeconomics.com/united-states/gdp</t>
  </si>
  <si>
    <t>https://tradingeconomics.com/germany/gdp</t>
  </si>
  <si>
    <t>https://tradingeconomics.com/united-kingdom/gdp</t>
  </si>
  <si>
    <t>https://tradingeconomics.com/norway/gdp</t>
  </si>
  <si>
    <t>https://tradingeconomics.com/japan/gdp</t>
  </si>
  <si>
    <t xml:space="preserve">European Union </t>
  </si>
  <si>
    <t>https://tradingeconomics.com/canada/gdp</t>
  </si>
  <si>
    <t>https://tradingeconomics.com/poland/gdp</t>
  </si>
  <si>
    <t>https://tradingeconomics.com/netherlands/gdp</t>
  </si>
  <si>
    <t>https://tradingeconomics.com/denmark/gdp</t>
  </si>
  <si>
    <t>Russia military spending</t>
  </si>
  <si>
    <t>https://tradingeconomics.com/sweden/gdp</t>
  </si>
  <si>
    <t>https://tradingeconomics.com/switzerland/gdp</t>
  </si>
  <si>
    <t>https://tradingeconomics.com/france/gdp</t>
  </si>
  <si>
    <t>https://tradingeconomics.com/finland/gdp</t>
  </si>
  <si>
    <t>https://tradingeconomics.com/czech-republic/gdp</t>
  </si>
  <si>
    <t>https://tradingeconomics.com/italy/gdp</t>
  </si>
  <si>
    <t>https://en.wikipedia.org/wiki/Military_budget_of_Russia</t>
  </si>
  <si>
    <t>https://tradingeconomics.com/russia/gdp</t>
  </si>
  <si>
    <t>Only military aid, B. EURO</t>
  </si>
  <si>
    <t>Jan. 24, 2022 to Oct.31 2023, B. EURO</t>
  </si>
  <si>
    <t>B. EURO cost of UKR refugees</t>
  </si>
  <si>
    <t>B. EURO cost of aid</t>
  </si>
  <si>
    <t>GDP in B. USD</t>
  </si>
  <si>
    <t>Donor countries minus US</t>
  </si>
  <si>
    <t>Ukraine military spending</t>
  </si>
  <si>
    <t>Foreign military aid for Ukraine</t>
  </si>
  <si>
    <t>Military expence for Ukraine</t>
  </si>
  <si>
    <t>https://tradingeconomics.com/ukraine/military-expenditure</t>
  </si>
  <si>
    <t>linked</t>
  </si>
  <si>
    <t>https://www.wilsoncenter.org/blog-post/russias-unprecedented-war-budget-explained</t>
  </si>
  <si>
    <t>Only military aid, B. EUR</t>
  </si>
  <si>
    <t>Jan. 24, 2022 to Oct.31 2023, B. EUR</t>
  </si>
  <si>
    <t>Cost of UKR refugees, B. EUR</t>
  </si>
  <si>
    <t>B. EUR cost of aid</t>
  </si>
  <si>
    <t>Total B. EUR</t>
  </si>
  <si>
    <t>https://tradingeconomics.com/ukraine/gdp</t>
  </si>
  <si>
    <t xml:space="preserve">Ann. aid </t>
  </si>
  <si>
    <t>https://en.wikipedia.org/wiki/Economy_of_the_European_Union</t>
  </si>
  <si>
    <t>Donor countries minus US + EU</t>
  </si>
  <si>
    <t>Total B. USD</t>
  </si>
  <si>
    <t>All aid countries incl US &amp; EU</t>
  </si>
  <si>
    <t>mil. B. USD</t>
  </si>
  <si>
    <t>Top 15 countries and EU supporting Ukraine in billion EUR or USD</t>
  </si>
  <si>
    <t>Sum of blue aid countries+EU</t>
  </si>
  <si>
    <r>
      <t>USA</t>
    </r>
    <r>
      <rPr>
        <sz val="11"/>
        <color theme="1"/>
        <rFont val="Calibri"/>
        <family val="2"/>
        <scheme val="minor"/>
      </rPr>
      <t xml:space="preserve"> (has nuclear weapons)</t>
    </r>
  </si>
  <si>
    <r>
      <t>UK</t>
    </r>
    <r>
      <rPr>
        <sz val="11"/>
        <color theme="1"/>
        <rFont val="Calibri"/>
        <family val="2"/>
        <scheme val="minor"/>
      </rPr>
      <t xml:space="preserve"> (has nuclear weapons)</t>
    </r>
  </si>
  <si>
    <r>
      <t>France</t>
    </r>
    <r>
      <rPr>
        <sz val="11"/>
        <color theme="1"/>
        <rFont val="Calibri"/>
        <family val="2"/>
        <scheme val="minor"/>
      </rPr>
      <t xml:space="preserve"> (has nuclear weapons)</t>
    </r>
  </si>
  <si>
    <t>Military expence for Ukraine - US</t>
  </si>
  <si>
    <t>Jan. 24, 2022 to Jan. 15, 2024, B. EUR</t>
  </si>
  <si>
    <t>Financial</t>
  </si>
  <si>
    <t>Humanitarian</t>
  </si>
  <si>
    <t>Cost of refugees</t>
  </si>
  <si>
    <t>All blue aid countries incl EU</t>
  </si>
  <si>
    <t>All aid countries incl EU - US</t>
  </si>
  <si>
    <t>All aid countries incl EU &amp; US</t>
  </si>
  <si>
    <t>follow link</t>
  </si>
  <si>
    <t>https://tradingeconomics.com/japan/military-expenditure-percent-of-gdp-wb-data.html#:~:text=Military%20expenditure%20%28%25%20of%20GDP%29%20in%20Japan%20was,of%20development%20indicators%2C%20compiled%20from%20officially%20recognized%20sources.</t>
  </si>
  <si>
    <t>https://www.statista.com/chart/14636/defense-expenditures-of-nato-countries/</t>
  </si>
  <si>
    <t>Military spending in % of GDP</t>
  </si>
  <si>
    <t>https://tradingeconomics.com/sweden/military-expenditure-percent-of-gdp-wb-data.html</t>
  </si>
  <si>
    <t>https://tradingeconomics.com/united-states/military-expenditure-percent-of-gdp-wb-data.html</t>
  </si>
  <si>
    <t>https://tradingeconomics.com/germany/military-expenditure-percent-of-gdp-wb-data.html</t>
  </si>
  <si>
    <t>https://tradingeconomics.com/ukraine/military-expenditure-percent-of-gdp-wb-data.html</t>
  </si>
  <si>
    <t>https://tradingeconomics.com/russia/military-expenditure-percent-of-gdp-wb-data.html</t>
  </si>
  <si>
    <t>https://www.reuters.com/world/europe/ukraine-approves-increase-2023-defence-spending-2023-10-06/</t>
  </si>
  <si>
    <t>https://tradingeconomics.com/united-kingdom/military-expenditure-percent-of-gdp-wb-data.html</t>
  </si>
  <si>
    <t>https://tradingeconomics.com/norway/military-expenditure-percent-of-gdp-wb-data.html</t>
  </si>
  <si>
    <t>https://tradingeconomics.com/canada/military-expenditure-percent-of-gdp-wb-data.html</t>
  </si>
  <si>
    <t>https://tradingeconomics.com/poland/military-expenditure-percent-of-gdp-wb-data.html</t>
  </si>
  <si>
    <t>https://tradingeconomics.com/netherlands/military-expenditure-percent-of-gdp-wb-data.html</t>
  </si>
  <si>
    <t>https://tradingeconomics.com/denmark/military-expenditure-percent-of-gdp-wb-data.html</t>
  </si>
  <si>
    <t>Germany NATO</t>
  </si>
  <si>
    <r>
      <t>USA</t>
    </r>
    <r>
      <rPr>
        <sz val="11"/>
        <color theme="1"/>
        <rFont val="Calibri"/>
        <family val="2"/>
        <scheme val="minor"/>
      </rPr>
      <t xml:space="preserve"> (nuclear weapons)</t>
    </r>
    <r>
      <rPr>
        <b/>
        <sz val="11"/>
        <color theme="1"/>
        <rFont val="Calibri"/>
        <family val="2"/>
        <scheme val="minor"/>
      </rPr>
      <t xml:space="preserve"> NATO</t>
    </r>
  </si>
  <si>
    <r>
      <t>UK</t>
    </r>
    <r>
      <rPr>
        <sz val="11"/>
        <color theme="1"/>
        <rFont val="Calibri"/>
        <family val="2"/>
        <scheme val="minor"/>
      </rPr>
      <t xml:space="preserve"> (nuclear weapons) NATO</t>
    </r>
  </si>
  <si>
    <t>Norway NATO</t>
  </si>
  <si>
    <t>Canada NATO</t>
  </si>
  <si>
    <t>Poland NATO</t>
  </si>
  <si>
    <t>Netherlands NATO</t>
  </si>
  <si>
    <t>Denmark NATO</t>
  </si>
  <si>
    <t>Sweden NATO</t>
  </si>
  <si>
    <r>
      <t>France</t>
    </r>
    <r>
      <rPr>
        <sz val="11"/>
        <color theme="1"/>
        <rFont val="Calibri"/>
        <family val="2"/>
        <scheme val="minor"/>
      </rPr>
      <t xml:space="preserve"> (nuclear weapons) NATO</t>
    </r>
  </si>
  <si>
    <t>Finland NATO</t>
  </si>
  <si>
    <t>Czech Republic NATO</t>
  </si>
  <si>
    <t>Italy NATO</t>
  </si>
  <si>
    <r>
      <t>Russia</t>
    </r>
    <r>
      <rPr>
        <sz val="11"/>
        <color theme="1"/>
        <rFont val="Calibri"/>
        <family val="2"/>
        <scheme val="minor"/>
      </rPr>
      <t xml:space="preserve"> (nuclear weapons)</t>
    </r>
  </si>
  <si>
    <t xml:space="preserve">Ukraine </t>
  </si>
  <si>
    <r>
      <t xml:space="preserve">Israel </t>
    </r>
    <r>
      <rPr>
        <sz val="11"/>
        <color theme="1"/>
        <rFont val="Calibri"/>
        <family val="2"/>
        <scheme val="minor"/>
      </rPr>
      <t>(nuclear weapons)</t>
    </r>
  </si>
  <si>
    <r>
      <t>North Korea</t>
    </r>
    <r>
      <rPr>
        <sz val="11"/>
        <color theme="1"/>
        <rFont val="Calibri"/>
        <family val="2"/>
        <scheme val="minor"/>
      </rPr>
      <t xml:space="preserve"> (nuclear weapons)</t>
    </r>
  </si>
  <si>
    <r>
      <t>India</t>
    </r>
    <r>
      <rPr>
        <sz val="11"/>
        <color theme="1"/>
        <rFont val="Calibri"/>
        <family val="2"/>
        <scheme val="minor"/>
      </rPr>
      <t xml:space="preserve"> (nuclear weapons)</t>
    </r>
  </si>
  <si>
    <r>
      <t>China</t>
    </r>
    <r>
      <rPr>
        <sz val="11"/>
        <color theme="1"/>
        <rFont val="Calibri"/>
        <family val="2"/>
        <scheme val="minor"/>
      </rPr>
      <t xml:space="preserve"> (nuclear weapons)</t>
    </r>
  </si>
  <si>
    <r>
      <t xml:space="preserve">Pakistan </t>
    </r>
    <r>
      <rPr>
        <sz val="11"/>
        <color theme="1"/>
        <rFont val="Calibri"/>
        <family val="2"/>
        <scheme val="minor"/>
      </rPr>
      <t>(nuclear weapons)</t>
    </r>
  </si>
  <si>
    <r>
      <t xml:space="preserve">Iran </t>
    </r>
    <r>
      <rPr>
        <sz val="11"/>
        <color theme="1"/>
        <rFont val="Calibri"/>
        <family val="2"/>
        <scheme val="minor"/>
      </rPr>
      <t>(nuclear weapons in 2 years)</t>
    </r>
  </si>
  <si>
    <r>
      <t>USA</t>
    </r>
    <r>
      <rPr>
        <sz val="11"/>
        <color theme="1"/>
        <rFont val="Calibri"/>
        <family val="2"/>
        <scheme val="minor"/>
      </rPr>
      <t xml:space="preserve"> (nuclear weapons) NATO</t>
    </r>
  </si>
  <si>
    <r>
      <t xml:space="preserve">Czech Republic </t>
    </r>
    <r>
      <rPr>
        <sz val="11"/>
        <color theme="1"/>
        <rFont val="Calibri"/>
        <family val="2"/>
        <scheme val="minor"/>
      </rPr>
      <t>NATO</t>
    </r>
  </si>
  <si>
    <r>
      <t xml:space="preserve">Italy </t>
    </r>
    <r>
      <rPr>
        <sz val="11"/>
        <color theme="1"/>
        <rFont val="Calibri"/>
        <family val="2"/>
        <scheme val="minor"/>
      </rPr>
      <t>NATO</t>
    </r>
  </si>
  <si>
    <r>
      <t xml:space="preserve">Finland </t>
    </r>
    <r>
      <rPr>
        <sz val="11"/>
        <color theme="1"/>
        <rFont val="Calibri"/>
        <family val="2"/>
        <scheme val="minor"/>
      </rPr>
      <t>NATO</t>
    </r>
  </si>
  <si>
    <r>
      <t xml:space="preserve">Sweden </t>
    </r>
    <r>
      <rPr>
        <sz val="11"/>
        <color theme="1"/>
        <rFont val="Calibri"/>
        <family val="2"/>
        <scheme val="minor"/>
      </rPr>
      <t>NATO</t>
    </r>
  </si>
  <si>
    <r>
      <t xml:space="preserve">Denmark </t>
    </r>
    <r>
      <rPr>
        <sz val="11"/>
        <color theme="1"/>
        <rFont val="Calibri"/>
        <family val="2"/>
        <scheme val="minor"/>
      </rPr>
      <t>NATO</t>
    </r>
  </si>
  <si>
    <r>
      <t xml:space="preserve">Netherlands </t>
    </r>
    <r>
      <rPr>
        <sz val="11"/>
        <color theme="1"/>
        <rFont val="Calibri"/>
        <family val="2"/>
        <scheme val="minor"/>
      </rPr>
      <t>NATO</t>
    </r>
  </si>
  <si>
    <r>
      <t xml:space="preserve">Norway </t>
    </r>
    <r>
      <rPr>
        <sz val="11"/>
        <color theme="1"/>
        <rFont val="Calibri"/>
        <family val="2"/>
        <scheme val="minor"/>
      </rPr>
      <t>NATO</t>
    </r>
  </si>
  <si>
    <r>
      <t>Canada</t>
    </r>
    <r>
      <rPr>
        <sz val="11"/>
        <color theme="1"/>
        <rFont val="Calibri"/>
        <family val="2"/>
        <scheme val="minor"/>
      </rPr>
      <t xml:space="preserve"> NATO</t>
    </r>
  </si>
  <si>
    <r>
      <t>Germany</t>
    </r>
    <r>
      <rPr>
        <sz val="11"/>
        <color theme="1"/>
        <rFont val="Calibri"/>
        <family val="2"/>
        <scheme val="minor"/>
      </rPr>
      <t xml:space="preserve"> NATO</t>
    </r>
  </si>
  <si>
    <r>
      <t>Poland</t>
    </r>
    <r>
      <rPr>
        <sz val="11"/>
        <color theme="1"/>
        <rFont val="Calibri"/>
        <family val="2"/>
        <scheme val="minor"/>
      </rPr>
      <t xml:space="preserve"> NATO</t>
    </r>
  </si>
  <si>
    <t>https://tradingeconomics.com/switzerland/military-expenditure-percent-of-gdp-wb-data.html</t>
  </si>
  <si>
    <t>https://tradingeconomics.com/france/military-expenditure-percent-of-gdp-wb-data.html</t>
  </si>
  <si>
    <t>https://tradingeconomics.com/finland/military-expenditure-percent-of-gdp-wb-data.html</t>
  </si>
  <si>
    <t>https://tradingeconomics.com/czech-republic/military-expenditure-percent-of-gdp-wb-data.html</t>
  </si>
  <si>
    <t>https://tradingeconomics.com/italy/military-expenditure-percent-of-gdp-wb-data.html</t>
  </si>
  <si>
    <t>https://tradingeconomics.com/china/gdp</t>
  </si>
  <si>
    <t>https://tradingeconomics.com/india/gdp</t>
  </si>
  <si>
    <t>https://tradingeconomics.com/pakistan/gdp</t>
  </si>
  <si>
    <t>https://tradingeconomics.com/north-korea/gdp</t>
  </si>
  <si>
    <t>https://tradingeconomics.com/iran/gdp</t>
  </si>
  <si>
    <t>https://tradingeconomics.com/israel/gdp</t>
  </si>
  <si>
    <t>https://tradingeconomics.com/israel/military-expenditure-percent-of-gdp-wb-data.html</t>
  </si>
  <si>
    <t>Taiwan</t>
  </si>
  <si>
    <t>https://tradingeconomics.com/china/military-expenditure-percent-of-gdp-wb-data.html</t>
  </si>
  <si>
    <t>https://tradingeconomics.com/taiwan/gdp</t>
  </si>
  <si>
    <t>https://en.wikipedia.org/wiki/List_of_countries_with_highest_military_expenditures</t>
  </si>
  <si>
    <t>https://knoema.com/atlas/Taiwan-Province-of-China/Military-expenditure-as-a-share-of-GDP</t>
  </si>
  <si>
    <t>https://www.statista.com/statistics/747387/north-korea-share-of-military-spending-in-budget/</t>
  </si>
  <si>
    <t>https://tradingeconomics.com/iran/military-expenditure-percent-of-gdp-wb-data.html</t>
  </si>
  <si>
    <t>https://tradingeconomics.com/pakistan/military-expenditure-percent-of-gdp-wb-data.html</t>
  </si>
  <si>
    <t>Military aid</t>
  </si>
  <si>
    <t>billion USD</t>
  </si>
  <si>
    <t>Refugees</t>
  </si>
  <si>
    <t>Mil.,fin.,hum.</t>
  </si>
  <si>
    <t xml:space="preserve">GDP in </t>
  </si>
  <si>
    <t>Annual</t>
  </si>
  <si>
    <t>Military, financial &amp;</t>
  </si>
  <si>
    <t>humanitarian aid</t>
  </si>
  <si>
    <t>Jan. 24, 2022 to Jan. 15 2024 in billion EUR</t>
  </si>
  <si>
    <t>total aid</t>
  </si>
  <si>
    <t>military aid</t>
  </si>
  <si>
    <t>My guess</t>
  </si>
  <si>
    <t>Ukraine versus Russia’s spending on war – How much aid is needed for Ukraine to win? #40/64</t>
  </si>
  <si>
    <t>in billion USD</t>
  </si>
  <si>
    <t>Top 15 donar countries plus EU supporting Ukraine</t>
  </si>
  <si>
    <t>Unit cost in USD</t>
  </si>
  <si>
    <t>Navy weapons</t>
  </si>
  <si>
    <t>Cost to make</t>
  </si>
  <si>
    <t>Army weapons</t>
  </si>
  <si>
    <t>Air force weapons</t>
  </si>
  <si>
    <t>MAGURA V5 navy drone</t>
  </si>
  <si>
    <t>https://en.wikipedia.org/wiki/MAGURA_V5</t>
  </si>
  <si>
    <t>in million USD</t>
  </si>
  <si>
    <t>https://en.wikipedia.org/wiki/M15_mine</t>
  </si>
  <si>
    <t>M15 anti-tank mine</t>
  </si>
  <si>
    <t xml:space="preserve">Cost to make </t>
  </si>
  <si>
    <t>Small anti-personel mine</t>
  </si>
  <si>
    <t>R-360 Neptune anti-ship missile</t>
  </si>
  <si>
    <t>https://en.wikipedia.org/wiki/R-360_Neptune</t>
  </si>
  <si>
    <t>Harpoon anti-ship missile</t>
  </si>
  <si>
    <t>https://en.wikipedia.org/wiki/Harpoon_(missile)</t>
  </si>
  <si>
    <t>https://en.wikipedia.org/wiki/Anti-personnel_mine</t>
  </si>
  <si>
    <t>https://en.defence-ua.com/analysis/how_much_155mm_ammunition_costs_now_an_example_of_the_rheinmetall_contract_for_10000_shells-5178.html</t>
  </si>
  <si>
    <t>Mortar shells 120mm</t>
  </si>
  <si>
    <t>Mortar shells 60mm</t>
  </si>
  <si>
    <t>Mortar shells 81mm</t>
  </si>
  <si>
    <t xml:space="preserve">Range </t>
  </si>
  <si>
    <t>in km</t>
  </si>
  <si>
    <t>https://www.pmulcahy.com/ammunition/mortar_rounds.html</t>
  </si>
  <si>
    <t>https://en.wikipedia.org/wiki/Archer_Artillery_System</t>
  </si>
  <si>
    <t>Archer self-propelled howitzer</t>
  </si>
  <si>
    <t>Panzerhaubitze 2000</t>
  </si>
  <si>
    <t>https://en.wikipedia.org/wiki/Panzerhaubitze_2000</t>
  </si>
  <si>
    <t>CAESAR self-propelled howitzer</t>
  </si>
  <si>
    <t>https://weaponsystems.net/system/171-60mm%2BM224</t>
  </si>
  <si>
    <t>https://en.wikipedia.org/wiki/Soltam_K6</t>
  </si>
  <si>
    <t>my guess</t>
  </si>
  <si>
    <t>https://www.nextbigfuture.com/2024/01/ukraines-one-million-fpv-drones-will-be-outnumbered-by-5-million-russian-drones.html</t>
  </si>
  <si>
    <t>https://www.newsweek.com/ukraine-fpv-drones-mykhailo-fedorov-russia-avdiivka-1853646</t>
  </si>
  <si>
    <t>https://armyrecognition.com/ukraine_-_russia_conflict_war_2022/how_ukraine_s_cheap_fpv_drones_are_used_on_the_ukrainian_battlefield.html?utm_content=cmp-true</t>
  </si>
  <si>
    <t>Warhead</t>
  </si>
  <si>
    <t>kilograms</t>
  </si>
  <si>
    <t xml:space="preserve">in </t>
  </si>
  <si>
    <t>https://en.wikipedia.org/wiki/MAGURA_V6</t>
  </si>
  <si>
    <t>Cost of weapons used in Ukraine war</t>
  </si>
  <si>
    <t>Small anti-personel mine M14</t>
  </si>
  <si>
    <t>Small FPV drone RPG-7 round</t>
  </si>
  <si>
    <t>https://ruavia.su/fpv-drones-hortensia-with-increased-payload-are-preparing-to-be-sent-to-the-frontline/</t>
  </si>
  <si>
    <t>Medium FPV w. RPG-7 round</t>
  </si>
  <si>
    <t>Large FPV w. 5 RPG-7 rounds</t>
  </si>
  <si>
    <t>120mm Soltam K6 launcher</t>
  </si>
  <si>
    <t>60mm M224 mortar launcher</t>
  </si>
  <si>
    <t>Artillery shells 155mm, M107</t>
  </si>
  <si>
    <t>https://en.wikipedia.org/wiki/M107_projectile</t>
  </si>
  <si>
    <t>0.1/0.03</t>
  </si>
  <si>
    <t>2/1</t>
  </si>
  <si>
    <t>10/5</t>
  </si>
  <si>
    <t>all/explos.</t>
  </si>
  <si>
    <t>Notes</t>
  </si>
  <si>
    <t>Shahed 137</t>
  </si>
  <si>
    <t>https://en.wikipedia.org/wiki/CAESAR_self-propelled_howitzer</t>
  </si>
  <si>
    <t>1.7</t>
  </si>
  <si>
    <t>4.6</t>
  </si>
  <si>
    <t>14.3</t>
  </si>
  <si>
    <t>https://news.err.ee/1609171468/estonia-issues-historic-munitions-procurement-to-kick-start-eu-defense-industry</t>
  </si>
  <si>
    <t>4000 USD per shell is current war time price. Before Ukraine war the price was 2000 USD per shell</t>
  </si>
  <si>
    <t>Art.shells 155mm, base bleed</t>
  </si>
  <si>
    <t>Art.shells 155mm, rocket assist</t>
  </si>
  <si>
    <t>Art.shells 155mm, M982 GPS</t>
  </si>
  <si>
    <t>https://en.wikipedia.org/wiki/M982_Excalibur</t>
  </si>
  <si>
    <t>8000 USD per shell is likely current war time price. Before Ukraine war the price was 4000 USD per shell</t>
  </si>
  <si>
    <t>12000 USD per rocket assiust shell is my best guess current war time price. Before Ukraine war the price was 6000 USD per shell</t>
  </si>
  <si>
    <t>48/5.4</t>
  </si>
  <si>
    <t>43.6/7</t>
  </si>
  <si>
    <t>https://en.wikipedia.org/wiki/M549</t>
  </si>
  <si>
    <t>My best guess</t>
  </si>
  <si>
    <t>24-30</t>
  </si>
  <si>
    <t>43.2/6.9</t>
  </si>
  <si>
    <t>https://store.dji.com/product/dji-inspire-3?vid=136551</t>
  </si>
  <si>
    <t>Military spending</t>
  </si>
  <si>
    <t>All blue aid countries</t>
  </si>
  <si>
    <t>Ukraine spending in % of RUS</t>
  </si>
  <si>
    <t>Ukraine + foreign aid &amp; loans</t>
  </si>
  <si>
    <t>Turkey</t>
  </si>
  <si>
    <t>https://tradingeconomics.com/turkey/gdp</t>
  </si>
  <si>
    <t>https://tradingeconomics.com/turkey/military-expenditure-percent-of-gdp-wb-data.html</t>
  </si>
  <si>
    <r>
      <t xml:space="preserve">Turkey </t>
    </r>
    <r>
      <rPr>
        <sz val="11"/>
        <color theme="1"/>
        <rFont val="Calibri"/>
        <family val="2"/>
        <scheme val="minor"/>
      </rPr>
      <t>NATO</t>
    </r>
  </si>
  <si>
    <t>Population</t>
  </si>
  <si>
    <t>millions</t>
  </si>
  <si>
    <r>
      <t xml:space="preserve">Iran </t>
    </r>
    <r>
      <rPr>
        <sz val="11"/>
        <color theme="1"/>
        <rFont val="Calibri"/>
        <family val="2"/>
        <scheme val="minor"/>
      </rPr>
      <t>(nuclear weapons, 2 years?)</t>
    </r>
  </si>
  <si>
    <t>https://tradingeconomics.com/united-states/population</t>
  </si>
  <si>
    <t>https://en.wikipedia.org/wiki/Demographics_of_the_European_Union</t>
  </si>
  <si>
    <t>https://tradingeconomics.com/germany/population</t>
  </si>
  <si>
    <t>https://tradingeconomics.com/united-kingdom/population</t>
  </si>
  <si>
    <t>in 2023 in</t>
  </si>
  <si>
    <t>https://tradingeconomics.com/denmark/population</t>
  </si>
  <si>
    <t>https://tradingeconomics.com/norway/population</t>
  </si>
  <si>
    <t>https://tradingeconomics.com/japan/population</t>
  </si>
  <si>
    <t>https://tradingeconomics.com/canada/population</t>
  </si>
  <si>
    <t>https://tradingeconomics.com/poland/population</t>
  </si>
  <si>
    <t>https://tradingeconomics.com/netherlands/population</t>
  </si>
  <si>
    <t>https://tradingeconomics.com/sweden/population</t>
  </si>
  <si>
    <t>https://tradingeconomics.com/switzerland/population</t>
  </si>
  <si>
    <t>https://tradingeconomics.com/france/population</t>
  </si>
  <si>
    <t>https://tradingeconomics.com/finland/population</t>
  </si>
  <si>
    <t>https://tradingeconomics.com/czech-republic/population</t>
  </si>
  <si>
    <t>https://tradingeconomics.com/italy/population</t>
  </si>
  <si>
    <t>https://tradingeconomics.com/russia/population</t>
  </si>
  <si>
    <t>https://tradingeconomics.com/ukraine/population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</si>
</sst>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2" fontId="0" fillId="0" borderId="0" xfId="0" applyNumberFormat="1"/>
    <xf numFmtId="4" fontId="0" fillId="0" borderId="0" xfId="0" applyNumberFormat="1"/>
    <xf numFmtId="0" fontId="1" fillId="2" borderId="4" xfId="0" applyFont="1" applyFill="1" applyBorder="1"/>
    <xf numFmtId="2" fontId="0" fillId="2" borderId="0" xfId="0" applyNumberFormat="1" applyFill="1"/>
    <xf numFmtId="4" fontId="0" fillId="2" borderId="0" xfId="0" applyNumberFormat="1" applyFill="1"/>
    <xf numFmtId="0" fontId="1" fillId="0" borderId="5" xfId="0" applyFont="1" applyBorder="1"/>
    <xf numFmtId="0" fontId="0" fillId="0" borderId="6" xfId="0" applyBorder="1"/>
    <xf numFmtId="0" fontId="1" fillId="0" borderId="2" xfId="0" applyFont="1" applyBorder="1"/>
    <xf numFmtId="4" fontId="0" fillId="0" borderId="4" xfId="0" applyNumberFormat="1" applyBorder="1"/>
    <xf numFmtId="0" fontId="0" fillId="0" borderId="5" xfId="0" applyBorder="1"/>
    <xf numFmtId="0" fontId="1" fillId="0" borderId="6" xfId="0" applyFont="1" applyBorder="1"/>
    <xf numFmtId="0" fontId="0" fillId="0" borderId="3" xfId="0" applyBorder="1"/>
    <xf numFmtId="0" fontId="4" fillId="0" borderId="0" xfId="1" applyFill="1" applyBorder="1"/>
    <xf numFmtId="0" fontId="1" fillId="0" borderId="1" xfId="0" applyFont="1" applyBorder="1"/>
    <xf numFmtId="0" fontId="0" fillId="0" borderId="7" xfId="0" applyBorder="1"/>
    <xf numFmtId="2" fontId="4" fillId="0" borderId="3" xfId="1" applyNumberFormat="1" applyBorder="1"/>
    <xf numFmtId="0" fontId="0" fillId="0" borderId="9" xfId="0" applyBorder="1"/>
    <xf numFmtId="0" fontId="0" fillId="0" borderId="10" xfId="0" applyBorder="1"/>
    <xf numFmtId="2" fontId="4" fillId="0" borderId="0" xfId="1" applyNumberFormat="1" applyBorder="1"/>
    <xf numFmtId="2" fontId="4" fillId="0" borderId="6" xfId="1" applyNumberFormat="1" applyBorder="1"/>
    <xf numFmtId="0" fontId="0" fillId="0" borderId="11" xfId="0" applyBorder="1"/>
    <xf numFmtId="0" fontId="4" fillId="0" borderId="2" xfId="1" applyBorder="1"/>
    <xf numFmtId="2" fontId="0" fillId="0" borderId="4" xfId="0" applyNumberFormat="1" applyBorder="1"/>
    <xf numFmtId="0" fontId="4" fillId="0" borderId="4" xfId="1" applyBorder="1"/>
    <xf numFmtId="0" fontId="4" fillId="0" borderId="5" xfId="1" applyBorder="1"/>
    <xf numFmtId="0" fontId="4" fillId="0" borderId="7" xfId="1" applyFill="1" applyBorder="1"/>
    <xf numFmtId="0" fontId="4" fillId="2" borderId="0" xfId="1" applyFill="1" applyBorder="1"/>
    <xf numFmtId="2" fontId="0" fillId="2" borderId="4" xfId="0" applyNumberFormat="1" applyFill="1" applyBorder="1"/>
    <xf numFmtId="0" fontId="0" fillId="2" borderId="10" xfId="0" applyFill="1" applyBorder="1"/>
    <xf numFmtId="2" fontId="4" fillId="2" borderId="0" xfId="1" applyNumberFormat="1" applyFill="1" applyBorder="1"/>
    <xf numFmtId="0" fontId="4" fillId="2" borderId="4" xfId="1" applyFill="1" applyBorder="1"/>
    <xf numFmtId="0" fontId="1" fillId="0" borderId="9" xfId="0" applyFont="1" applyBorder="1"/>
    <xf numFmtId="0" fontId="1" fillId="0" borderId="11" xfId="0" applyFont="1" applyBorder="1"/>
    <xf numFmtId="10" fontId="0" fillId="0" borderId="10" xfId="0" applyNumberFormat="1" applyBorder="1"/>
    <xf numFmtId="0" fontId="0" fillId="0" borderId="0" xfId="0" applyAlignment="1">
      <alignment horizontal="right"/>
    </xf>
    <xf numFmtId="4" fontId="1" fillId="2" borderId="0" xfId="0" applyNumberFormat="1" applyFont="1" applyFill="1"/>
    <xf numFmtId="4" fontId="1" fillId="0" borderId="4" xfId="0" applyNumberFormat="1" applyFont="1" applyBorder="1"/>
    <xf numFmtId="10" fontId="1" fillId="0" borderId="10" xfId="0" applyNumberFormat="1" applyFont="1" applyBorder="1"/>
    <xf numFmtId="2" fontId="1" fillId="2" borderId="0" xfId="0" applyNumberFormat="1" applyFont="1" applyFill="1"/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4" fontId="0" fillId="0" borderId="6" xfId="0" applyNumberFormat="1" applyBorder="1"/>
    <xf numFmtId="0" fontId="0" fillId="0" borderId="4" xfId="0" applyBorder="1"/>
    <xf numFmtId="4" fontId="4" fillId="0" borderId="3" xfId="1" applyNumberFormat="1" applyBorder="1"/>
    <xf numFmtId="4" fontId="5" fillId="0" borderId="0" xfId="1" applyNumberFormat="1" applyFont="1" applyBorder="1"/>
    <xf numFmtId="0" fontId="4" fillId="0" borderId="7" xfId="1" applyBorder="1"/>
    <xf numFmtId="4" fontId="1" fillId="0" borderId="6" xfId="0" applyNumberFormat="1" applyFont="1" applyBorder="1"/>
    <xf numFmtId="2" fontId="1" fillId="0" borderId="7" xfId="0" applyNumberFormat="1" applyFont="1" applyBorder="1"/>
    <xf numFmtId="4" fontId="1" fillId="0" borderId="7" xfId="0" applyNumberFormat="1" applyFont="1" applyBorder="1"/>
    <xf numFmtId="4" fontId="0" fillId="0" borderId="0" xfId="0" applyNumberFormat="1" applyAlignment="1">
      <alignment horizontal="right"/>
    </xf>
    <xf numFmtId="2" fontId="0" fillId="0" borderId="2" xfId="0" applyNumberFormat="1" applyBorder="1"/>
    <xf numFmtId="0" fontId="4" fillId="0" borderId="1" xfId="1" applyBorder="1"/>
    <xf numFmtId="2" fontId="1" fillId="0" borderId="11" xfId="0" applyNumberFormat="1" applyFont="1" applyBorder="1"/>
    <xf numFmtId="2" fontId="1" fillId="0" borderId="8" xfId="0" applyNumberFormat="1" applyFont="1" applyBorder="1"/>
    <xf numFmtId="4" fontId="1" fillId="0" borderId="1" xfId="0" applyNumberFormat="1" applyFont="1" applyBorder="1"/>
    <xf numFmtId="10" fontId="1" fillId="0" borderId="8" xfId="0" applyNumberFormat="1" applyFont="1" applyBorder="1"/>
    <xf numFmtId="0" fontId="1" fillId="3" borderId="4" xfId="0" applyFont="1" applyFill="1" applyBorder="1"/>
    <xf numFmtId="10" fontId="0" fillId="3" borderId="10" xfId="0" applyNumberFormat="1" applyFill="1" applyBorder="1"/>
    <xf numFmtId="0" fontId="5" fillId="0" borderId="5" xfId="1" applyFont="1" applyBorder="1"/>
    <xf numFmtId="2" fontId="0" fillId="0" borderId="6" xfId="0" applyNumberFormat="1" applyBorder="1" applyAlignment="1">
      <alignment horizontal="right"/>
    </xf>
    <xf numFmtId="2" fontId="0" fillId="0" borderId="3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2" borderId="0" xfId="0" applyNumberFormat="1" applyFill="1" applyAlignment="1">
      <alignment horizontal="right"/>
    </xf>
    <xf numFmtId="0" fontId="1" fillId="3" borderId="2" xfId="0" applyFont="1" applyFill="1" applyBorder="1"/>
    <xf numFmtId="4" fontId="1" fillId="3" borderId="0" xfId="0" applyNumberFormat="1" applyFont="1" applyFill="1"/>
    <xf numFmtId="2" fontId="1" fillId="3" borderId="0" xfId="0" applyNumberFormat="1" applyFont="1" applyFill="1"/>
    <xf numFmtId="2" fontId="1" fillId="3" borderId="11" xfId="0" applyNumberFormat="1" applyFont="1" applyFill="1" applyBorder="1"/>
    <xf numFmtId="10" fontId="1" fillId="3" borderId="10" xfId="0" applyNumberFormat="1" applyFont="1" applyFill="1" applyBorder="1"/>
    <xf numFmtId="0" fontId="0" fillId="0" borderId="8" xfId="0" applyBorder="1"/>
    <xf numFmtId="0" fontId="0" fillId="0" borderId="1" xfId="0" applyBorder="1"/>
    <xf numFmtId="0" fontId="1" fillId="0" borderId="3" xfId="0" applyFont="1" applyBorder="1" applyAlignment="1">
      <alignment horizontal="right"/>
    </xf>
    <xf numFmtId="0" fontId="1" fillId="0" borderId="12" xfId="0" applyFont="1" applyBorder="1"/>
    <xf numFmtId="4" fontId="1" fillId="0" borderId="0" xfId="0" applyNumberFormat="1" applyFont="1"/>
    <xf numFmtId="4" fontId="1" fillId="0" borderId="3" xfId="0" applyNumberFormat="1" applyFont="1" applyBorder="1"/>
    <xf numFmtId="4" fontId="1" fillId="0" borderId="9" xfId="0" applyNumberFormat="1" applyFont="1" applyBorder="1"/>
    <xf numFmtId="2" fontId="4" fillId="0" borderId="0" xfId="1" applyNumberFormat="1" applyFill="1" applyBorder="1"/>
    <xf numFmtId="0" fontId="4" fillId="0" borderId="4" xfId="1" applyFill="1" applyBorder="1"/>
    <xf numFmtId="2" fontId="0" fillId="0" borderId="9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5" fillId="0" borderId="2" xfId="1" applyFont="1" applyBorder="1"/>
    <xf numFmtId="0" fontId="5" fillId="0" borderId="4" xfId="1" applyFont="1" applyBorder="1"/>
    <xf numFmtId="4" fontId="1" fillId="0" borderId="3" xfId="0" applyNumberFormat="1" applyFon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0" fontId="4" fillId="0" borderId="10" xfId="1" applyNumberFormat="1" applyBorder="1"/>
    <xf numFmtId="10" fontId="0" fillId="0" borderId="4" xfId="0" applyNumberFormat="1" applyBorder="1"/>
    <xf numFmtId="10" fontId="1" fillId="0" borderId="0" xfId="0" applyNumberFormat="1" applyFont="1"/>
    <xf numFmtId="10" fontId="0" fillId="0" borderId="0" xfId="0" applyNumberFormat="1"/>
    <xf numFmtId="0" fontId="4" fillId="0" borderId="0" xfId="1" applyBorder="1"/>
    <xf numFmtId="10" fontId="1" fillId="0" borderId="10" xfId="0" applyNumberFormat="1" applyFont="1" applyBorder="1" applyAlignment="1">
      <alignment horizontal="right"/>
    </xf>
    <xf numFmtId="3" fontId="0" fillId="0" borderId="4" xfId="0" applyNumberFormat="1" applyBorder="1"/>
    <xf numFmtId="3" fontId="1" fillId="0" borderId="4" xfId="0" applyNumberFormat="1" applyFont="1" applyBorder="1"/>
    <xf numFmtId="3" fontId="1" fillId="0" borderId="2" xfId="0" applyNumberFormat="1" applyFont="1" applyBorder="1"/>
    <xf numFmtId="10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/>
    <xf numFmtId="3" fontId="0" fillId="0" borderId="14" xfId="0" applyNumberFormat="1" applyBorder="1"/>
    <xf numFmtId="0" fontId="1" fillId="0" borderId="13" xfId="0" applyFont="1" applyBorder="1"/>
    <xf numFmtId="2" fontId="1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right"/>
    </xf>
    <xf numFmtId="3" fontId="0" fillId="0" borderId="12" xfId="0" applyNumberFormat="1" applyBorder="1"/>
    <xf numFmtId="0" fontId="4" fillId="0" borderId="12" xfId="1" applyBorder="1"/>
    <xf numFmtId="0" fontId="0" fillId="0" borderId="13" xfId="0" applyBorder="1"/>
    <xf numFmtId="2" fontId="1" fillId="0" borderId="9" xfId="0" applyNumberFormat="1" applyFont="1" applyBorder="1" applyAlignment="1">
      <alignment horizontal="right"/>
    </xf>
    <xf numFmtId="10" fontId="1" fillId="0" borderId="9" xfId="0" applyNumberFormat="1" applyFont="1" applyBorder="1" applyAlignment="1">
      <alignment horizontal="right"/>
    </xf>
    <xf numFmtId="10" fontId="1" fillId="0" borderId="2" xfId="0" applyNumberFormat="1" applyFont="1" applyBorder="1"/>
    <xf numFmtId="10" fontId="1" fillId="0" borderId="3" xfId="0" applyNumberFormat="1" applyFont="1" applyBorder="1"/>
    <xf numFmtId="4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3" xfId="1" applyFill="1" applyBorder="1"/>
    <xf numFmtId="10" fontId="0" fillId="0" borderId="9" xfId="0" applyNumberFormat="1" applyBorder="1"/>
    <xf numFmtId="4" fontId="4" fillId="0" borderId="0" xfId="1" applyNumberFormat="1" applyBorder="1"/>
    <xf numFmtId="0" fontId="0" fillId="0" borderId="14" xfId="0" applyBorder="1"/>
    <xf numFmtId="10" fontId="0" fillId="0" borderId="2" xfId="0" applyNumberFormat="1" applyBorder="1" applyAlignment="1">
      <alignment horizontal="right"/>
    </xf>
    <xf numFmtId="10" fontId="0" fillId="0" borderId="3" xfId="0" applyNumberFormat="1" applyBorder="1" applyAlignment="1">
      <alignment horizontal="right"/>
    </xf>
    <xf numFmtId="10" fontId="0" fillId="0" borderId="0" xfId="0" applyNumberFormat="1" applyAlignment="1">
      <alignment horizontal="right"/>
    </xf>
    <xf numFmtId="10" fontId="1" fillId="0" borderId="4" xfId="0" applyNumberFormat="1" applyFont="1" applyBorder="1" applyAlignment="1">
      <alignment horizontal="right"/>
    </xf>
    <xf numFmtId="10" fontId="1" fillId="0" borderId="0" xfId="0" applyNumberFormat="1" applyFont="1" applyAlignment="1">
      <alignment horizontal="right"/>
    </xf>
    <xf numFmtId="3" fontId="0" fillId="0" borderId="5" xfId="0" applyNumberFormat="1" applyBorder="1"/>
    <xf numFmtId="10" fontId="0" fillId="0" borderId="5" xfId="0" applyNumberFormat="1" applyBorder="1"/>
    <xf numFmtId="10" fontId="0" fillId="0" borderId="6" xfId="0" applyNumberFormat="1" applyBorder="1"/>
    <xf numFmtId="10" fontId="0" fillId="0" borderId="11" xfId="0" applyNumberFormat="1" applyBorder="1"/>
    <xf numFmtId="3" fontId="1" fillId="0" borderId="0" xfId="0" applyNumberFormat="1" applyFont="1"/>
    <xf numFmtId="0" fontId="1" fillId="0" borderId="2" xfId="0" applyFont="1" applyBorder="1" applyAlignment="1">
      <alignment horizontal="right"/>
    </xf>
    <xf numFmtId="10" fontId="0" fillId="0" borderId="11" xfId="0" applyNumberFormat="1" applyBorder="1" applyAlignment="1">
      <alignment horizontal="right"/>
    </xf>
    <xf numFmtId="3" fontId="4" fillId="0" borderId="5" xfId="1" applyNumberFormat="1" applyBorder="1"/>
    <xf numFmtId="0" fontId="0" fillId="0" borderId="12" xfId="0" applyBorder="1"/>
    <xf numFmtId="0" fontId="1" fillId="3" borderId="14" xfId="0" applyFont="1" applyFill="1" applyBorder="1"/>
    <xf numFmtId="0" fontId="1" fillId="3" borderId="12" xfId="0" applyFont="1" applyFill="1" applyBorder="1"/>
    <xf numFmtId="0" fontId="1" fillId="0" borderId="10" xfId="0" applyFont="1" applyBorder="1"/>
    <xf numFmtId="0" fontId="1" fillId="0" borderId="14" xfId="0" applyFont="1" applyBorder="1" applyAlignment="1">
      <alignment horizontal="right"/>
    </xf>
    <xf numFmtId="2" fontId="0" fillId="0" borderId="10" xfId="0" applyNumberFormat="1" applyBorder="1"/>
    <xf numFmtId="4" fontId="0" fillId="0" borderId="10" xfId="0" applyNumberFormat="1" applyBorder="1"/>
    <xf numFmtId="4" fontId="1" fillId="0" borderId="10" xfId="0" applyNumberFormat="1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14" xfId="1" applyBorder="1"/>
    <xf numFmtId="4" fontId="0" fillId="0" borderId="4" xfId="0" applyNumberForma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2" fontId="1" fillId="0" borderId="5" xfId="0" applyNumberFormat="1" applyFont="1" applyBorder="1" applyAlignment="1">
      <alignment horizontal="right"/>
    </xf>
    <xf numFmtId="3" fontId="0" fillId="0" borderId="0" xfId="0" applyNumberFormat="1"/>
    <xf numFmtId="3" fontId="0" fillId="0" borderId="6" xfId="0" applyNumberFormat="1" applyBorder="1"/>
    <xf numFmtId="0" fontId="4" fillId="0" borderId="3" xfId="1" applyBorder="1"/>
    <xf numFmtId="3" fontId="4" fillId="0" borderId="6" xfId="1" applyNumberFormat="1" applyBorder="1"/>
    <xf numFmtId="0" fontId="1" fillId="0" borderId="12" xfId="0" applyFont="1" applyBorder="1" applyAlignment="1">
      <alignment horizontal="left"/>
    </xf>
    <xf numFmtId="10" fontId="0" fillId="0" borderId="9" xfId="0" applyNumberFormat="1" applyBorder="1" applyAlignment="1">
      <alignment horizontal="right"/>
    </xf>
    <xf numFmtId="0" fontId="1" fillId="0" borderId="14" xfId="0" applyFont="1" applyBorder="1" applyAlignment="1">
      <alignment horizontal="left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/>
    <xf numFmtId="3" fontId="1" fillId="0" borderId="10" xfId="0" applyNumberFormat="1" applyFont="1" applyBorder="1"/>
    <xf numFmtId="3" fontId="0" fillId="0" borderId="11" xfId="0" applyNumberFormat="1" applyBorder="1"/>
    <xf numFmtId="3" fontId="0" fillId="0" borderId="2" xfId="0" applyNumberFormat="1" applyBorder="1" applyAlignment="1">
      <alignment horizontal="right"/>
    </xf>
    <xf numFmtId="1" fontId="0" fillId="0" borderId="10" xfId="0" applyNumberFormat="1" applyBorder="1"/>
    <xf numFmtId="1" fontId="0" fillId="0" borderId="6" xfId="0" applyNumberFormat="1" applyBorder="1"/>
    <xf numFmtId="1" fontId="0" fillId="0" borderId="11" xfId="0" applyNumberFormat="1" applyBorder="1"/>
    <xf numFmtId="4" fontId="4" fillId="0" borderId="4" xfId="1" applyNumberFormat="1" applyBorder="1"/>
    <xf numFmtId="3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14" xfId="0" applyBorder="1" applyAlignment="1">
      <alignment horizontal="right"/>
    </xf>
    <xf numFmtId="1" fontId="0" fillId="0" borderId="10" xfId="0" applyNumberFormat="1" applyBorder="1" applyAlignment="1">
      <alignment horizontal="right"/>
    </xf>
    <xf numFmtId="3" fontId="7" fillId="0" borderId="0" xfId="0" applyNumberFormat="1" applyFont="1"/>
    <xf numFmtId="165" fontId="0" fillId="0" borderId="14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13" xfId="0" applyNumberFormat="1" applyBorder="1"/>
    <xf numFmtId="49" fontId="0" fillId="0" borderId="14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5" fillId="0" borderId="0" xfId="1" applyFont="1"/>
    <xf numFmtId="0" fontId="1" fillId="4" borderId="4" xfId="0" applyFont="1" applyFill="1" applyBorder="1"/>
    <xf numFmtId="3" fontId="0" fillId="4" borderId="4" xfId="0" applyNumberFormat="1" applyFill="1" applyBorder="1" applyAlignment="1">
      <alignment horizontal="right"/>
    </xf>
    <xf numFmtId="3" fontId="0" fillId="4" borderId="0" xfId="0" applyNumberFormat="1" applyFill="1" applyAlignment="1">
      <alignment horizontal="right"/>
    </xf>
    <xf numFmtId="3" fontId="0" fillId="4" borderId="0" xfId="0" applyNumberFormat="1" applyFill="1"/>
    <xf numFmtId="1" fontId="0" fillId="4" borderId="10" xfId="0" applyNumberFormat="1" applyFill="1" applyBorder="1"/>
    <xf numFmtId="0" fontId="0" fillId="4" borderId="14" xfId="0" applyFill="1" applyBorder="1"/>
    <xf numFmtId="3" fontId="0" fillId="4" borderId="4" xfId="0" applyNumberFormat="1" applyFill="1" applyBorder="1"/>
    <xf numFmtId="164" fontId="0" fillId="4" borderId="0" xfId="0" applyNumberFormat="1" applyFill="1"/>
    <xf numFmtId="4" fontId="0" fillId="4" borderId="0" xfId="0" applyNumberFormat="1" applyFill="1"/>
    <xf numFmtId="0" fontId="1" fillId="4" borderId="14" xfId="0" applyFont="1" applyFill="1" applyBorder="1"/>
    <xf numFmtId="2" fontId="0" fillId="4" borderId="14" xfId="0" applyNumberFormat="1" applyFill="1" applyBorder="1"/>
    <xf numFmtId="49" fontId="0" fillId="4" borderId="14" xfId="0" applyNumberFormat="1" applyFill="1" applyBorder="1" applyAlignment="1">
      <alignment horizontal="right"/>
    </xf>
    <xf numFmtId="4" fontId="0" fillId="4" borderId="4" xfId="0" applyNumberFormat="1" applyFill="1" applyBorder="1"/>
    <xf numFmtId="2" fontId="0" fillId="4" borderId="0" xfId="0" applyNumberFormat="1" applyFill="1" applyAlignment="1">
      <alignment horizontal="right"/>
    </xf>
    <xf numFmtId="0" fontId="0" fillId="4" borderId="0" xfId="0" applyFill="1"/>
    <xf numFmtId="4" fontId="0" fillId="4" borderId="4" xfId="0" applyNumberFormat="1" applyFill="1" applyBorder="1" applyAlignment="1">
      <alignment horizontal="right"/>
    </xf>
    <xf numFmtId="4" fontId="0" fillId="4" borderId="0" xfId="0" applyNumberFormat="1" applyFill="1" applyAlignment="1">
      <alignment horizontal="right"/>
    </xf>
    <xf numFmtId="10" fontId="0" fillId="0" borderId="4" xfId="0" applyNumberForma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10" fontId="1" fillId="0" borderId="4" xfId="0" applyNumberFormat="1" applyFont="1" applyBorder="1"/>
    <xf numFmtId="0" fontId="1" fillId="3" borderId="15" xfId="0" applyFont="1" applyFill="1" applyBorder="1"/>
    <xf numFmtId="4" fontId="0" fillId="0" borderId="15" xfId="0" applyNumberFormat="1" applyBorder="1"/>
    <xf numFmtId="4" fontId="0" fillId="0" borderId="16" xfId="0" applyNumberFormat="1" applyBorder="1"/>
    <xf numFmtId="4" fontId="1" fillId="0" borderId="15" xfId="0" applyNumberFormat="1" applyFont="1" applyBorder="1"/>
    <xf numFmtId="4" fontId="1" fillId="0" borderId="17" xfId="0" applyNumberFormat="1" applyFont="1" applyBorder="1"/>
    <xf numFmtId="3" fontId="1" fillId="0" borderId="16" xfId="0" applyNumberFormat="1" applyFont="1" applyBorder="1"/>
    <xf numFmtId="10" fontId="1" fillId="3" borderId="17" xfId="0" applyNumberFormat="1" applyFont="1" applyFill="1" applyBorder="1"/>
    <xf numFmtId="10" fontId="1" fillId="0" borderId="15" xfId="0" applyNumberFormat="1" applyFont="1" applyBorder="1" applyAlignment="1">
      <alignment horizontal="right"/>
    </xf>
    <xf numFmtId="10" fontId="1" fillId="0" borderId="16" xfId="0" applyNumberFormat="1" applyFont="1" applyBorder="1" applyAlignment="1">
      <alignment horizontal="right"/>
    </xf>
    <xf numFmtId="10" fontId="1" fillId="0" borderId="17" xfId="0" applyNumberFormat="1" applyFont="1" applyBorder="1" applyAlignment="1">
      <alignment horizontal="right"/>
    </xf>
    <xf numFmtId="3" fontId="1" fillId="0" borderId="15" xfId="0" applyNumberFormat="1" applyFont="1" applyBorder="1"/>
    <xf numFmtId="3" fontId="1" fillId="0" borderId="17" xfId="0" applyNumberFormat="1" applyFont="1" applyBorder="1"/>
    <xf numFmtId="4" fontId="4" fillId="0" borderId="6" xfId="1" applyNumberFormat="1" applyBorder="1"/>
    <xf numFmtId="0" fontId="4" fillId="0" borderId="6" xfId="1" applyBorder="1"/>
    <xf numFmtId="10" fontId="4" fillId="0" borderId="11" xfId="1" applyNumberFormat="1" applyBorder="1"/>
    <xf numFmtId="2" fontId="1" fillId="0" borderId="14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0" fontId="4" fillId="0" borderId="0" xfId="1" applyNumberFormat="1" applyBorder="1"/>
    <xf numFmtId="10" fontId="6" fillId="0" borderId="0" xfId="1" applyNumberFormat="1" applyFont="1" applyBorder="1" applyAlignment="1">
      <alignment horizontal="right"/>
    </xf>
    <xf numFmtId="10" fontId="4" fillId="0" borderId="6" xfId="1" applyNumberFormat="1" applyBorder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9" fontId="1" fillId="5" borderId="5" xfId="0" applyNumberFormat="1" applyFont="1" applyFill="1" applyBorder="1"/>
    <xf numFmtId="9" fontId="1" fillId="5" borderId="11" xfId="0" applyNumberFormat="1" applyFont="1" applyFill="1" applyBorder="1"/>
    <xf numFmtId="0" fontId="1" fillId="0" borderId="0" xfId="0" applyFont="1" applyBorder="1"/>
    <xf numFmtId="3" fontId="0" fillId="0" borderId="0" xfId="0" applyNumberFormat="1" applyBorder="1"/>
    <xf numFmtId="3" fontId="1" fillId="0" borderId="0" xfId="0" applyNumberFormat="1" applyFont="1" applyBorder="1"/>
    <xf numFmtId="164" fontId="0" fillId="0" borderId="0" xfId="0" applyNumberFormat="1" applyBorder="1"/>
    <xf numFmtId="164" fontId="1" fillId="0" borderId="0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0" fillId="0" borderId="6" xfId="0" applyNumberFormat="1" applyBorder="1"/>
    <xf numFmtId="10" fontId="0" fillId="0" borderId="15" xfId="0" applyNumberFormat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12" xfId="0" applyFont="1" applyFill="1" applyBorder="1"/>
    <xf numFmtId="0" fontId="1" fillId="4" borderId="9" xfId="0" applyFont="1" applyFill="1" applyBorder="1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xe.com/currencyconverter/convert/?Amount=1&amp;From=USD&amp;To=EUR" TargetMode="External"/><Relationship Id="rId13" Type="http://schemas.openxmlformats.org/officeDocument/2006/relationships/hyperlink" Target="https://tradingeconomics.com/japan/gdp" TargetMode="External"/><Relationship Id="rId18" Type="http://schemas.openxmlformats.org/officeDocument/2006/relationships/hyperlink" Target="https://tradingeconomics.com/sweden/gdp" TargetMode="External"/><Relationship Id="rId26" Type="http://schemas.openxmlformats.org/officeDocument/2006/relationships/hyperlink" Target="https://www.ifw-kiel.de/topics/war-against-ukraine/ukraine-support-tracker/" TargetMode="External"/><Relationship Id="rId3" Type="http://schemas.openxmlformats.org/officeDocument/2006/relationships/hyperlink" Target="https://www.ifw-kiel.de/topics/war-against-ukraine/ukraine-support-tracker/" TargetMode="External"/><Relationship Id="rId21" Type="http://schemas.openxmlformats.org/officeDocument/2006/relationships/hyperlink" Target="https://tradingeconomics.com/finland/gdp" TargetMode="External"/><Relationship Id="rId7" Type="http://schemas.openxmlformats.org/officeDocument/2006/relationships/hyperlink" Target="https://www.ifw-kiel.de/topics/war-against-ukraine/ukraine-support-tracker/" TargetMode="External"/><Relationship Id="rId12" Type="http://schemas.openxmlformats.org/officeDocument/2006/relationships/hyperlink" Target="https://tradingeconomics.com/norway/gdp" TargetMode="External"/><Relationship Id="rId17" Type="http://schemas.openxmlformats.org/officeDocument/2006/relationships/hyperlink" Target="https://tradingeconomics.com/denmark/gdp" TargetMode="External"/><Relationship Id="rId25" Type="http://schemas.openxmlformats.org/officeDocument/2006/relationships/hyperlink" Target="https://www.ifw-kiel.de/topics/war-against-ukraine/ukraine-support-tracker/" TargetMode="External"/><Relationship Id="rId2" Type="http://schemas.openxmlformats.org/officeDocument/2006/relationships/hyperlink" Target="https://www.ifw-kiel.de/topics/war-against-ukraine/ukraine-support-tracker/" TargetMode="External"/><Relationship Id="rId16" Type="http://schemas.openxmlformats.org/officeDocument/2006/relationships/hyperlink" Target="https://tradingeconomics.com/netherlands/gdp" TargetMode="External"/><Relationship Id="rId20" Type="http://schemas.openxmlformats.org/officeDocument/2006/relationships/hyperlink" Target="https://tradingeconomics.com/france/gdp" TargetMode="External"/><Relationship Id="rId29" Type="http://schemas.openxmlformats.org/officeDocument/2006/relationships/hyperlink" Target="https://tradingeconomics.com/russia/gdp" TargetMode="External"/><Relationship Id="rId1" Type="http://schemas.openxmlformats.org/officeDocument/2006/relationships/hyperlink" Target="https://www.ifw-kiel.de/topics/war-against-ukraine/ukraine-support-tracker/" TargetMode="External"/><Relationship Id="rId6" Type="http://schemas.openxmlformats.org/officeDocument/2006/relationships/hyperlink" Target="https://www.ifw-kiel.de/topics/war-against-ukraine/ukraine-support-tracker/" TargetMode="External"/><Relationship Id="rId11" Type="http://schemas.openxmlformats.org/officeDocument/2006/relationships/hyperlink" Target="https://tradingeconomics.com/united-kingdom/gdp" TargetMode="External"/><Relationship Id="rId24" Type="http://schemas.openxmlformats.org/officeDocument/2006/relationships/hyperlink" Target="https://en.wikipedia.org/wiki/Military_budget_of_Russia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ifw-kiel.de/topics/war-against-ukraine/ukraine-support-tracker/" TargetMode="External"/><Relationship Id="rId15" Type="http://schemas.openxmlformats.org/officeDocument/2006/relationships/hyperlink" Target="https://tradingeconomics.com/poland/gdp" TargetMode="External"/><Relationship Id="rId23" Type="http://schemas.openxmlformats.org/officeDocument/2006/relationships/hyperlink" Target="https://tradingeconomics.com/italy/gdp" TargetMode="External"/><Relationship Id="rId28" Type="http://schemas.openxmlformats.org/officeDocument/2006/relationships/hyperlink" Target="https://www.wilsoncenter.org/blog-post/russias-unprecedented-war-budget-explained" TargetMode="External"/><Relationship Id="rId10" Type="http://schemas.openxmlformats.org/officeDocument/2006/relationships/hyperlink" Target="https://tradingeconomics.com/germany/gdp" TargetMode="External"/><Relationship Id="rId19" Type="http://schemas.openxmlformats.org/officeDocument/2006/relationships/hyperlink" Target="https://tradingeconomics.com/switzerland/gdp" TargetMode="External"/><Relationship Id="rId31" Type="http://schemas.openxmlformats.org/officeDocument/2006/relationships/hyperlink" Target="https://en.wikipedia.org/wiki/Economy_of_the_European_Union" TargetMode="External"/><Relationship Id="rId4" Type="http://schemas.openxmlformats.org/officeDocument/2006/relationships/hyperlink" Target="https://www.ifw-kiel.de/topics/war-against-ukraine/ukraine-support-tracker/" TargetMode="External"/><Relationship Id="rId9" Type="http://schemas.openxmlformats.org/officeDocument/2006/relationships/hyperlink" Target="https://tradingeconomics.com/united-states/gdp" TargetMode="External"/><Relationship Id="rId14" Type="http://schemas.openxmlformats.org/officeDocument/2006/relationships/hyperlink" Target="https://tradingeconomics.com/canada/gdp" TargetMode="External"/><Relationship Id="rId22" Type="http://schemas.openxmlformats.org/officeDocument/2006/relationships/hyperlink" Target="https://tradingeconomics.com/czech-republic/gdp" TargetMode="External"/><Relationship Id="rId27" Type="http://schemas.openxmlformats.org/officeDocument/2006/relationships/hyperlink" Target="https://tradingeconomics.com/ukraine/military-expenditure" TargetMode="External"/><Relationship Id="rId30" Type="http://schemas.openxmlformats.org/officeDocument/2006/relationships/hyperlink" Target="https://tradingeconomics.com/ukraine/gdp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dingeconomics.com/sweden/gdp" TargetMode="External"/><Relationship Id="rId18" Type="http://schemas.openxmlformats.org/officeDocument/2006/relationships/hyperlink" Target="https://tradingeconomics.com/italy/gdp" TargetMode="External"/><Relationship Id="rId26" Type="http://schemas.openxmlformats.org/officeDocument/2006/relationships/hyperlink" Target="https://www.statista.com/chart/14636/defense-expenditures-of-nato-countries/" TargetMode="External"/><Relationship Id="rId39" Type="http://schemas.openxmlformats.org/officeDocument/2006/relationships/hyperlink" Target="https://www.ifw-kiel.de/topics/war-against-ukraine/ukraine-support-tracker/" TargetMode="External"/><Relationship Id="rId21" Type="http://schemas.openxmlformats.org/officeDocument/2006/relationships/hyperlink" Target="https://tradingeconomics.com/ukraine/military-expenditure" TargetMode="External"/><Relationship Id="rId34" Type="http://schemas.openxmlformats.org/officeDocument/2006/relationships/hyperlink" Target="https://www.wilsoncenter.org/blog-post/russias-unprecedented-war-budget-explained" TargetMode="External"/><Relationship Id="rId42" Type="http://schemas.openxmlformats.org/officeDocument/2006/relationships/hyperlink" Target="https://tradingeconomics.com/france/population" TargetMode="External"/><Relationship Id="rId7" Type="http://schemas.openxmlformats.org/officeDocument/2006/relationships/hyperlink" Target="https://tradingeconomics.com/united-kingdom/gdp" TargetMode="External"/><Relationship Id="rId2" Type="http://schemas.openxmlformats.org/officeDocument/2006/relationships/hyperlink" Target="https://www.ifw-kiel.de/topics/war-against-ukraine/ukraine-support-tracker/" TargetMode="External"/><Relationship Id="rId16" Type="http://schemas.openxmlformats.org/officeDocument/2006/relationships/hyperlink" Target="https://tradingeconomics.com/finland/gdp" TargetMode="External"/><Relationship Id="rId20" Type="http://schemas.openxmlformats.org/officeDocument/2006/relationships/hyperlink" Target="https://www.ifw-kiel.de/topics/war-against-ukraine/ukraine-support-tracker/" TargetMode="External"/><Relationship Id="rId29" Type="http://schemas.openxmlformats.org/officeDocument/2006/relationships/hyperlink" Target="https://tradingeconomics.com/ukraine/military-expenditure-percent-of-gdp-wb-data.html" TargetMode="External"/><Relationship Id="rId41" Type="http://schemas.openxmlformats.org/officeDocument/2006/relationships/hyperlink" Target="https://www.ifw-kiel.de/topics/war-against-ukraine/ukraine-support-tracker/" TargetMode="External"/><Relationship Id="rId1" Type="http://schemas.openxmlformats.org/officeDocument/2006/relationships/hyperlink" Target="https://www.ifw-kiel.de/topics/war-against-ukraine/ukraine-support-tracker/" TargetMode="External"/><Relationship Id="rId6" Type="http://schemas.openxmlformats.org/officeDocument/2006/relationships/hyperlink" Target="https://tradingeconomics.com/germany/gdp" TargetMode="External"/><Relationship Id="rId11" Type="http://schemas.openxmlformats.org/officeDocument/2006/relationships/hyperlink" Target="https://tradingeconomics.com/poland/gdp" TargetMode="External"/><Relationship Id="rId24" Type="http://schemas.openxmlformats.org/officeDocument/2006/relationships/hyperlink" Target="https://en.wikipedia.org/wiki/Economy_of_the_European_Union" TargetMode="External"/><Relationship Id="rId32" Type="http://schemas.openxmlformats.org/officeDocument/2006/relationships/hyperlink" Target="https://tradingeconomics.com/united-kingdom/military-expenditure-percent-of-gdp-wb-data.html" TargetMode="External"/><Relationship Id="rId37" Type="http://schemas.openxmlformats.org/officeDocument/2006/relationships/hyperlink" Target="https://tradingeconomics.com/china/gdp" TargetMode="External"/><Relationship Id="rId40" Type="http://schemas.openxmlformats.org/officeDocument/2006/relationships/hyperlink" Target="https://tradingeconomics.com/denmark/gdp" TargetMode="External"/><Relationship Id="rId5" Type="http://schemas.openxmlformats.org/officeDocument/2006/relationships/hyperlink" Target="https://tradingeconomics.com/united-states/gdp" TargetMode="External"/><Relationship Id="rId15" Type="http://schemas.openxmlformats.org/officeDocument/2006/relationships/hyperlink" Target="https://tradingeconomics.com/france/gdp" TargetMode="External"/><Relationship Id="rId23" Type="http://schemas.openxmlformats.org/officeDocument/2006/relationships/hyperlink" Target="https://tradingeconomics.com/ukraine/gdp" TargetMode="External"/><Relationship Id="rId28" Type="http://schemas.openxmlformats.org/officeDocument/2006/relationships/hyperlink" Target="https://tradingeconomics.com/sweden/military-expenditure-percent-of-gdp-wb-data.html" TargetMode="External"/><Relationship Id="rId36" Type="http://schemas.openxmlformats.org/officeDocument/2006/relationships/hyperlink" Target="https://tradingeconomics.com/czech-republic/military-expenditure-percent-of-gdp-wb-data.html" TargetMode="External"/><Relationship Id="rId10" Type="http://schemas.openxmlformats.org/officeDocument/2006/relationships/hyperlink" Target="https://tradingeconomics.com/canada/gdp" TargetMode="External"/><Relationship Id="rId19" Type="http://schemas.openxmlformats.org/officeDocument/2006/relationships/hyperlink" Target="https://www.ifw-kiel.de/topics/war-against-ukraine/ukraine-support-tracker/" TargetMode="External"/><Relationship Id="rId31" Type="http://schemas.openxmlformats.org/officeDocument/2006/relationships/hyperlink" Target="https://www.reuters.com/world/europe/ukraine-approves-increase-2023-defence-spending-2023-10-06/" TargetMode="External"/><Relationship Id="rId4" Type="http://schemas.openxmlformats.org/officeDocument/2006/relationships/hyperlink" Target="https://www.xe.com/currencyconverter/convert/?Amount=1&amp;From=USD&amp;To=EUR" TargetMode="External"/><Relationship Id="rId9" Type="http://schemas.openxmlformats.org/officeDocument/2006/relationships/hyperlink" Target="https://tradingeconomics.com/japan/gdp" TargetMode="External"/><Relationship Id="rId14" Type="http://schemas.openxmlformats.org/officeDocument/2006/relationships/hyperlink" Target="https://tradingeconomics.com/switzerland/gdp" TargetMode="External"/><Relationship Id="rId22" Type="http://schemas.openxmlformats.org/officeDocument/2006/relationships/hyperlink" Target="https://tradingeconomics.com/russia/gdp" TargetMode="External"/><Relationship Id="rId27" Type="http://schemas.openxmlformats.org/officeDocument/2006/relationships/hyperlink" Target="https://tradingeconomics.com/sweden/military-expenditure-percent-of-gdp-wb-data.html" TargetMode="External"/><Relationship Id="rId30" Type="http://schemas.openxmlformats.org/officeDocument/2006/relationships/hyperlink" Target="https://tradingeconomics.com/ukraine/military-expenditure-percent-of-gdp-wb-data.html" TargetMode="External"/><Relationship Id="rId35" Type="http://schemas.openxmlformats.org/officeDocument/2006/relationships/hyperlink" Target="https://www.wilsoncenter.org/blog-post/russias-unprecedented-war-budget-explained" TargetMode="External"/><Relationship Id="rId43" Type="http://schemas.openxmlformats.org/officeDocument/2006/relationships/printerSettings" Target="../printerSettings/printerSettings2.bin"/><Relationship Id="rId8" Type="http://schemas.openxmlformats.org/officeDocument/2006/relationships/hyperlink" Target="https://tradingeconomics.com/norway/gdp" TargetMode="External"/><Relationship Id="rId3" Type="http://schemas.openxmlformats.org/officeDocument/2006/relationships/hyperlink" Target="https://www.ifw-kiel.de/topics/war-against-ukraine/ukraine-support-tracker/" TargetMode="External"/><Relationship Id="rId12" Type="http://schemas.openxmlformats.org/officeDocument/2006/relationships/hyperlink" Target="https://tradingeconomics.com/netherlands/gdp" TargetMode="External"/><Relationship Id="rId17" Type="http://schemas.openxmlformats.org/officeDocument/2006/relationships/hyperlink" Target="https://tradingeconomics.com/czech-republic/gdp" TargetMode="External"/><Relationship Id="rId25" Type="http://schemas.openxmlformats.org/officeDocument/2006/relationships/hyperlink" Target="https://www.statista.com/chart/14636/defense-expenditures-of-nato-countries/" TargetMode="External"/><Relationship Id="rId33" Type="http://schemas.openxmlformats.org/officeDocument/2006/relationships/hyperlink" Target="https://tradingeconomics.com/united-kingdom/military-expenditure-percent-of-gdp-wb-data.html" TargetMode="External"/><Relationship Id="rId38" Type="http://schemas.openxmlformats.org/officeDocument/2006/relationships/hyperlink" Target="https://www.wilsoncenter.org/blog-post/russias-unprecedented-war-budget-explaine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en.wikipedia.org/wiki/Harpoon_(missile)" TargetMode="External"/><Relationship Id="rId13" Type="http://schemas.openxmlformats.org/officeDocument/2006/relationships/hyperlink" Target="https://en.wikipedia.org/wiki/M15_mine" TargetMode="External"/><Relationship Id="rId18" Type="http://schemas.openxmlformats.org/officeDocument/2006/relationships/hyperlink" Target="https://en.wikipedia.org/wiki/M982_Excalibur" TargetMode="External"/><Relationship Id="rId3" Type="http://schemas.openxmlformats.org/officeDocument/2006/relationships/hyperlink" Target="https://en.wikipedia.org/wiki/Soltam_K6" TargetMode="External"/><Relationship Id="rId21" Type="http://schemas.openxmlformats.org/officeDocument/2006/relationships/hyperlink" Target="https://en.wikipedia.org/wiki/CAESAR_self-propelled_howitzer" TargetMode="External"/><Relationship Id="rId7" Type="http://schemas.openxmlformats.org/officeDocument/2006/relationships/hyperlink" Target="https://en.wikipedia.org/wiki/R-360_Neptune" TargetMode="External"/><Relationship Id="rId12" Type="http://schemas.openxmlformats.org/officeDocument/2006/relationships/hyperlink" Target="https://ruavia.su/fpv-drones-hortensia-with-increased-payload-are-preparing-to-be-sent-to-the-frontline/" TargetMode="External"/><Relationship Id="rId17" Type="http://schemas.openxmlformats.org/officeDocument/2006/relationships/hyperlink" Target="https://en.wikipedia.org/wiki/CAESAR_self-propelled_howitzer" TargetMode="External"/><Relationship Id="rId2" Type="http://schemas.openxmlformats.org/officeDocument/2006/relationships/hyperlink" Target="https://en.wikipedia.org/wiki/Harpoon_(missile)" TargetMode="External"/><Relationship Id="rId16" Type="http://schemas.openxmlformats.org/officeDocument/2006/relationships/hyperlink" Target="https://www.pmulcahy.com/ammunition/mortar_rounds.html" TargetMode="External"/><Relationship Id="rId20" Type="http://schemas.openxmlformats.org/officeDocument/2006/relationships/hyperlink" Target="https://en.wikipedia.org/wiki/Archer_Artillery_System" TargetMode="External"/><Relationship Id="rId1" Type="http://schemas.openxmlformats.org/officeDocument/2006/relationships/hyperlink" Target="https://en.wikipedia.org/wiki/R-360_Neptune" TargetMode="External"/><Relationship Id="rId6" Type="http://schemas.openxmlformats.org/officeDocument/2006/relationships/hyperlink" Target="https://en.wikipedia.org/wiki/MAGURA_V5" TargetMode="External"/><Relationship Id="rId11" Type="http://schemas.openxmlformats.org/officeDocument/2006/relationships/hyperlink" Target="https://en.defence-ua.com/analysis/how_much_155mm_ammunition_costs_now_an_example_of_the_rheinmetall_contract_for_10000_shells-5178.html" TargetMode="External"/><Relationship Id="rId5" Type="http://schemas.openxmlformats.org/officeDocument/2006/relationships/hyperlink" Target="https://www.newsweek.com/ukraine-fpv-drones-mykhailo-fedorov-russia-avdiivka-1853646" TargetMode="External"/><Relationship Id="rId15" Type="http://schemas.openxmlformats.org/officeDocument/2006/relationships/hyperlink" Target="https://en.wikipedia.org/wiki/Panzerhaubitze_2000" TargetMode="External"/><Relationship Id="rId10" Type="http://schemas.openxmlformats.org/officeDocument/2006/relationships/hyperlink" Target="https://en.wikipedia.org/wiki/Anti-personnel_mine" TargetMode="External"/><Relationship Id="rId19" Type="http://schemas.openxmlformats.org/officeDocument/2006/relationships/hyperlink" Target="https://en.wikipedia.org/wiki/M107_projectile" TargetMode="External"/><Relationship Id="rId4" Type="http://schemas.openxmlformats.org/officeDocument/2006/relationships/hyperlink" Target="https://www.nextbigfuture.com/2024/01/ukraines-one-million-fpv-drones-will-be-outnumbered-by-5-million-russian-drones.html" TargetMode="External"/><Relationship Id="rId9" Type="http://schemas.openxmlformats.org/officeDocument/2006/relationships/hyperlink" Target="https://en.wikipedia.org/wiki/M15_mine" TargetMode="External"/><Relationship Id="rId14" Type="http://schemas.openxmlformats.org/officeDocument/2006/relationships/hyperlink" Target="https://en.wikipedia.org/wiki/Archer_Artillery_System" TargetMode="External"/><Relationship Id="rId22" Type="http://schemas.openxmlformats.org/officeDocument/2006/relationships/hyperlink" Target="https://store.dji.com/product/dji-inspire-3?vid=136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zoomScale="152" zoomScaleNormal="152" workbookViewId="0">
      <selection activeCell="E13" sqref="E13"/>
    </sheetView>
  </sheetViews>
  <sheetFormatPr defaultRowHeight="14.5" x14ac:dyDescent="0.35"/>
  <cols>
    <col min="1" max="1" width="15.453125" customWidth="1"/>
    <col min="2" max="2" width="26.6328125" customWidth="1"/>
    <col min="3" max="3" width="24.1796875" customWidth="1"/>
    <col min="4" max="4" width="10.453125" customWidth="1"/>
    <col min="5" max="5" width="30.6328125" customWidth="1"/>
    <col min="6" max="6" width="24.90625" customWidth="1"/>
    <col min="7" max="7" width="16" customWidth="1"/>
    <col min="8" max="8" width="11.1796875" customWidth="1"/>
    <col min="9" max="9" width="11.26953125" customWidth="1"/>
    <col min="10" max="10" width="12.453125" customWidth="1"/>
    <col min="11" max="11" width="8.81640625" bestFit="1" customWidth="1"/>
  </cols>
  <sheetData>
    <row r="1" spans="1:13" ht="28.5" x14ac:dyDescent="0.65">
      <c r="A1" s="1" t="s">
        <v>0</v>
      </c>
    </row>
    <row r="2" spans="1:13" x14ac:dyDescent="0.35">
      <c r="H2" t="s">
        <v>27</v>
      </c>
      <c r="J2" t="s">
        <v>28</v>
      </c>
      <c r="L2" t="s">
        <v>31</v>
      </c>
      <c r="M2" s="4" t="s">
        <v>32</v>
      </c>
    </row>
    <row r="3" spans="1:13" x14ac:dyDescent="0.35">
      <c r="H3">
        <f>(11+10)/12</f>
        <v>1.75</v>
      </c>
      <c r="J3" t="s">
        <v>29</v>
      </c>
      <c r="K3">
        <v>0.93</v>
      </c>
      <c r="L3" t="s">
        <v>30</v>
      </c>
      <c r="M3" t="s">
        <v>33</v>
      </c>
    </row>
    <row r="4" spans="1:13" ht="24" thickBot="1" x14ac:dyDescent="0.6">
      <c r="B4" s="2" t="s">
        <v>81</v>
      </c>
      <c r="C4" s="2"/>
      <c r="D4" s="2"/>
    </row>
    <row r="5" spans="1:13" ht="15" thickTop="1" x14ac:dyDescent="0.35">
      <c r="B5" s="5"/>
      <c r="C5" s="6" t="s">
        <v>23</v>
      </c>
      <c r="D5" s="6" t="s">
        <v>9</v>
      </c>
      <c r="E5" s="6" t="s">
        <v>70</v>
      </c>
      <c r="F5" s="6" t="s">
        <v>23</v>
      </c>
      <c r="G5" s="6" t="s">
        <v>72</v>
      </c>
      <c r="H5" s="6" t="s">
        <v>9</v>
      </c>
      <c r="I5" s="6" t="s">
        <v>9</v>
      </c>
      <c r="J5" s="15" t="s">
        <v>24</v>
      </c>
      <c r="K5" s="39" t="s">
        <v>75</v>
      </c>
    </row>
    <row r="6" spans="1:13" ht="15" thickBot="1" x14ac:dyDescent="0.4">
      <c r="B6" s="17"/>
      <c r="C6" s="18" t="s">
        <v>69</v>
      </c>
      <c r="D6" s="18" t="s">
        <v>80</v>
      </c>
      <c r="E6" s="18" t="s">
        <v>16</v>
      </c>
      <c r="F6" s="18" t="s">
        <v>71</v>
      </c>
      <c r="G6" s="18" t="s">
        <v>21</v>
      </c>
      <c r="H6" s="18" t="s">
        <v>73</v>
      </c>
      <c r="I6" s="18" t="s">
        <v>78</v>
      </c>
      <c r="J6" s="13" t="s">
        <v>61</v>
      </c>
      <c r="K6" s="40" t="s">
        <v>35</v>
      </c>
    </row>
    <row r="7" spans="1:13" ht="15" thickTop="1" x14ac:dyDescent="0.35">
      <c r="B7" s="65" t="s">
        <v>43</v>
      </c>
      <c r="C7" s="42" t="s">
        <v>36</v>
      </c>
      <c r="D7" s="42"/>
      <c r="E7" s="8">
        <v>84.9</v>
      </c>
      <c r="F7" s="8">
        <v>0</v>
      </c>
      <c r="G7" s="8">
        <f>E7+F7</f>
        <v>84.9</v>
      </c>
      <c r="H7" s="8">
        <f>G7/H$3</f>
        <v>48.51428571428572</v>
      </c>
      <c r="I7" s="8">
        <f t="shared" ref="I7:I30" si="0">H7*(1/K$3)</f>
        <v>52.165898617511523</v>
      </c>
      <c r="J7" s="16">
        <v>19350</v>
      </c>
      <c r="K7" s="66">
        <f t="shared" ref="K7:K12" si="1">I7/J7</f>
        <v>2.6959120732564096E-3</v>
      </c>
    </row>
    <row r="8" spans="1:13" x14ac:dyDescent="0.35">
      <c r="B8" s="7" t="s">
        <v>62</v>
      </c>
      <c r="C8" s="9">
        <f>SUM(C12:C25)</f>
        <v>44.000000000000007</v>
      </c>
      <c r="D8" s="9">
        <f>(C8*(1/K$3))/H$3</f>
        <v>27.035330261136718</v>
      </c>
      <c r="E8" s="8">
        <f>SUM(E12:E25)</f>
        <v>77.979999999999961</v>
      </c>
      <c r="F8" s="8">
        <f>SUM(F12:F25)</f>
        <v>43.680000000000007</v>
      </c>
      <c r="G8" s="8">
        <f t="shared" ref="G8:G25" si="2">E8+F8</f>
        <v>121.65999999999997</v>
      </c>
      <c r="H8" s="8">
        <f t="shared" ref="H8:H26" si="3">G8/H$3</f>
        <v>69.519999999999982</v>
      </c>
      <c r="I8" s="8">
        <f t="shared" si="0"/>
        <v>74.75268817204298</v>
      </c>
      <c r="J8" s="16">
        <f>SUM(J12:J25)</f>
        <v>23029</v>
      </c>
      <c r="K8" s="41">
        <f t="shared" si="1"/>
        <v>3.2460240640949664E-3</v>
      </c>
    </row>
    <row r="9" spans="1:13" x14ac:dyDescent="0.35">
      <c r="B9" s="10" t="s">
        <v>77</v>
      </c>
      <c r="C9" s="12">
        <f>SUM(C7:C8)</f>
        <v>44.000000000000007</v>
      </c>
      <c r="D9" s="12">
        <f t="shared" ref="D9:D26" si="4">(C9*(1/K$3))/H$3</f>
        <v>27.035330261136718</v>
      </c>
      <c r="E9" s="11">
        <f>SUM(E7:E8)</f>
        <v>162.87999999999997</v>
      </c>
      <c r="F9" s="11">
        <f>SUM(F7:F8)</f>
        <v>43.680000000000007</v>
      </c>
      <c r="G9" s="11">
        <f t="shared" si="2"/>
        <v>206.55999999999997</v>
      </c>
      <c r="H9" s="11">
        <f>G9/H$3</f>
        <v>118.0342857142857</v>
      </c>
      <c r="I9" s="11">
        <f t="shared" si="0"/>
        <v>126.91858678955451</v>
      </c>
      <c r="J9" s="16">
        <f>SUM(J7:J8)</f>
        <v>42379</v>
      </c>
      <c r="K9" s="41">
        <f t="shared" si="1"/>
        <v>2.9948461924432976E-3</v>
      </c>
    </row>
    <row r="10" spans="1:13" x14ac:dyDescent="0.35">
      <c r="B10" s="10" t="s">
        <v>83</v>
      </c>
      <c r="C10" s="12">
        <v>43.9</v>
      </c>
      <c r="D10" s="12">
        <f t="shared" si="4"/>
        <v>26.973886328725037</v>
      </c>
      <c r="E10" s="11">
        <v>71.400000000000006</v>
      </c>
      <c r="F10" s="11">
        <v>0</v>
      </c>
      <c r="G10" s="11">
        <f t="shared" si="2"/>
        <v>71.400000000000006</v>
      </c>
      <c r="H10" s="11">
        <f t="shared" si="3"/>
        <v>40.800000000000004</v>
      </c>
      <c r="I10" s="11">
        <f t="shared" si="0"/>
        <v>43.870967741935488</v>
      </c>
      <c r="J10" s="16">
        <v>25440</v>
      </c>
      <c r="K10" s="41">
        <f t="shared" si="1"/>
        <v>1.7244877257050113E-3</v>
      </c>
    </row>
    <row r="11" spans="1:13" x14ac:dyDescent="0.35">
      <c r="B11" s="10" t="s">
        <v>79</v>
      </c>
      <c r="C11" s="43">
        <f>SUM(C9:C10)</f>
        <v>87.9</v>
      </c>
      <c r="D11" s="43">
        <f t="shared" si="4"/>
        <v>54.009216589861751</v>
      </c>
      <c r="E11" s="43">
        <f t="shared" ref="E11:G11" si="5">SUM(E9:E10)</f>
        <v>234.27999999999997</v>
      </c>
      <c r="F11" s="43">
        <f t="shared" si="5"/>
        <v>43.680000000000007</v>
      </c>
      <c r="G11" s="43">
        <f t="shared" si="5"/>
        <v>277.95999999999998</v>
      </c>
      <c r="H11" s="46">
        <f t="shared" si="3"/>
        <v>158.8342857142857</v>
      </c>
      <c r="I11" s="46">
        <f t="shared" si="0"/>
        <v>170.78955453148998</v>
      </c>
      <c r="J11" s="44">
        <f>SUM(J9:J10)</f>
        <v>67819</v>
      </c>
      <c r="K11" s="45">
        <f t="shared" si="1"/>
        <v>2.5183142560564146E-3</v>
      </c>
    </row>
    <row r="12" spans="1:13" x14ac:dyDescent="0.35">
      <c r="B12" s="65" t="s">
        <v>2</v>
      </c>
      <c r="C12" s="9">
        <v>17.100000000000001</v>
      </c>
      <c r="D12" s="9">
        <f t="shared" si="4"/>
        <v>10.506912442396313</v>
      </c>
      <c r="E12" s="8">
        <v>21</v>
      </c>
      <c r="F12" s="8">
        <v>13.9</v>
      </c>
      <c r="G12" s="8">
        <f t="shared" si="2"/>
        <v>34.9</v>
      </c>
      <c r="H12" s="8">
        <f t="shared" si="3"/>
        <v>19.942857142857143</v>
      </c>
      <c r="I12" s="8">
        <f t="shared" si="0"/>
        <v>21.443932411674346</v>
      </c>
      <c r="J12" s="16">
        <v>4082</v>
      </c>
      <c r="K12" s="66">
        <f t="shared" si="1"/>
        <v>5.2532906447021917E-3</v>
      </c>
    </row>
    <row r="13" spans="1:13" x14ac:dyDescent="0.35">
      <c r="B13" s="65" t="s">
        <v>84</v>
      </c>
      <c r="C13" s="9">
        <v>6.6</v>
      </c>
      <c r="D13" s="9">
        <f t="shared" si="4"/>
        <v>4.0552995391705062</v>
      </c>
      <c r="E13" s="8">
        <v>13.3</v>
      </c>
      <c r="F13" s="8">
        <v>1.04</v>
      </c>
      <c r="G13" s="8">
        <f t="shared" si="2"/>
        <v>14.34</v>
      </c>
      <c r="H13" s="8">
        <f t="shared" si="3"/>
        <v>8.194285714285714</v>
      </c>
      <c r="I13" s="8">
        <f t="shared" si="0"/>
        <v>8.8110599078340996</v>
      </c>
      <c r="J13" s="16">
        <v>3089</v>
      </c>
      <c r="K13" s="66">
        <f t="shared" ref="K13:K28" si="6">I13/J13</f>
        <v>2.8523988047374879E-3</v>
      </c>
    </row>
    <row r="14" spans="1:13" x14ac:dyDescent="0.35">
      <c r="B14" s="65" t="s">
        <v>5</v>
      </c>
      <c r="C14" s="9">
        <v>3.6</v>
      </c>
      <c r="D14" s="9">
        <f t="shared" si="4"/>
        <v>2.2119815668202762</v>
      </c>
      <c r="E14" s="8">
        <v>7.3</v>
      </c>
      <c r="F14" s="8">
        <v>0.73</v>
      </c>
      <c r="G14" s="8">
        <f t="shared" si="2"/>
        <v>8.0299999999999994</v>
      </c>
      <c r="H14" s="8">
        <f>G14/H$3</f>
        <v>4.5885714285714281</v>
      </c>
      <c r="I14" s="8">
        <f t="shared" si="0"/>
        <v>4.933947772657449</v>
      </c>
      <c r="J14" s="16">
        <v>579</v>
      </c>
      <c r="K14" s="66">
        <f t="shared" si="6"/>
        <v>8.5214987437952482E-3</v>
      </c>
    </row>
    <row r="15" spans="1:13" x14ac:dyDescent="0.35">
      <c r="B15" s="7" t="s">
        <v>12</v>
      </c>
      <c r="C15" s="9">
        <v>0</v>
      </c>
      <c r="D15" s="9">
        <f t="shared" si="4"/>
        <v>0</v>
      </c>
      <c r="E15" s="8">
        <v>6.8</v>
      </c>
      <c r="F15" s="8">
        <v>0</v>
      </c>
      <c r="G15" s="8">
        <f t="shared" si="2"/>
        <v>6.8</v>
      </c>
      <c r="H15" s="8">
        <f t="shared" si="3"/>
        <v>3.8857142857142857</v>
      </c>
      <c r="I15" s="8">
        <f t="shared" si="0"/>
        <v>4.1781874039938556</v>
      </c>
      <c r="J15" s="16">
        <v>4232</v>
      </c>
      <c r="K15" s="41">
        <f t="shared" si="6"/>
        <v>9.8728435822161053E-4</v>
      </c>
    </row>
    <row r="16" spans="1:13" x14ac:dyDescent="0.35">
      <c r="B16" s="7" t="s">
        <v>13</v>
      </c>
      <c r="C16" s="9">
        <v>2.1</v>
      </c>
      <c r="D16" s="9">
        <f t="shared" si="4"/>
        <v>1.2903225806451613</v>
      </c>
      <c r="E16" s="8">
        <v>6</v>
      </c>
      <c r="F16" s="8">
        <v>0</v>
      </c>
      <c r="G16" s="8">
        <f t="shared" si="2"/>
        <v>6</v>
      </c>
      <c r="H16" s="8">
        <f t="shared" si="3"/>
        <v>3.4285714285714284</v>
      </c>
      <c r="I16" s="8">
        <f t="shared" si="0"/>
        <v>3.6866359447004604</v>
      </c>
      <c r="J16" s="16">
        <v>2138</v>
      </c>
      <c r="K16" s="41">
        <f t="shared" si="6"/>
        <v>1.7243386083725259E-3</v>
      </c>
    </row>
    <row r="17" spans="2:11" x14ac:dyDescent="0.35">
      <c r="B17" s="65" t="s">
        <v>4</v>
      </c>
      <c r="C17" s="9">
        <v>3</v>
      </c>
      <c r="D17" s="9">
        <f t="shared" si="4"/>
        <v>1.8433179723502302</v>
      </c>
      <c r="E17" s="8">
        <v>4.3</v>
      </c>
      <c r="F17" s="8">
        <v>15.65</v>
      </c>
      <c r="G17" s="8">
        <f t="shared" si="2"/>
        <v>19.95</v>
      </c>
      <c r="H17" s="8">
        <f t="shared" si="3"/>
        <v>11.4</v>
      </c>
      <c r="I17" s="8">
        <f t="shared" si="0"/>
        <v>12.258064516129032</v>
      </c>
      <c r="J17" s="16">
        <v>688</v>
      </c>
      <c r="K17" s="66">
        <f t="shared" si="6"/>
        <v>1.781695423855964E-2</v>
      </c>
    </row>
    <row r="18" spans="2:11" x14ac:dyDescent="0.35">
      <c r="B18" s="65" t="s">
        <v>20</v>
      </c>
      <c r="C18" s="9">
        <v>2.5</v>
      </c>
      <c r="D18" s="9">
        <f t="shared" si="4"/>
        <v>1.5360983102918586</v>
      </c>
      <c r="E18" s="8">
        <v>4.0999999999999996</v>
      </c>
      <c r="F18" s="8">
        <v>1.03</v>
      </c>
      <c r="G18" s="8">
        <f t="shared" si="2"/>
        <v>5.13</v>
      </c>
      <c r="H18" s="8">
        <f t="shared" si="3"/>
        <v>2.9314285714285715</v>
      </c>
      <c r="I18" s="8">
        <f t="shared" si="0"/>
        <v>3.1520737327188937</v>
      </c>
      <c r="J18" s="16">
        <v>1009</v>
      </c>
      <c r="K18" s="66">
        <f t="shared" si="6"/>
        <v>3.1239581097313117E-3</v>
      </c>
    </row>
    <row r="19" spans="2:11" x14ac:dyDescent="0.35">
      <c r="B19" s="65" t="s">
        <v>6</v>
      </c>
      <c r="C19" s="9">
        <v>3.5</v>
      </c>
      <c r="D19" s="9">
        <f t="shared" si="4"/>
        <v>2.150537634408602</v>
      </c>
      <c r="E19" s="8">
        <v>3.9</v>
      </c>
      <c r="F19" s="8">
        <v>0.49</v>
      </c>
      <c r="G19" s="8">
        <f t="shared" si="2"/>
        <v>4.3899999999999997</v>
      </c>
      <c r="H19" s="8">
        <f>G19/H$3</f>
        <v>2.5085714285714285</v>
      </c>
      <c r="I19" s="8">
        <f t="shared" si="0"/>
        <v>2.6973886328725034</v>
      </c>
      <c r="J19" s="16">
        <v>400</v>
      </c>
      <c r="K19" s="66">
        <f t="shared" si="6"/>
        <v>6.7434715821812589E-3</v>
      </c>
    </row>
    <row r="20" spans="2:11" x14ac:dyDescent="0.35">
      <c r="B20" s="65" t="s">
        <v>7</v>
      </c>
      <c r="C20" s="9">
        <v>1.9</v>
      </c>
      <c r="D20" s="9">
        <f t="shared" si="4"/>
        <v>1.1674347158218126</v>
      </c>
      <c r="E20" s="8">
        <v>2.8</v>
      </c>
      <c r="F20" s="8">
        <v>0.59</v>
      </c>
      <c r="G20" s="8">
        <f t="shared" si="2"/>
        <v>3.3899999999999997</v>
      </c>
      <c r="H20" s="8">
        <f t="shared" si="3"/>
        <v>1.9371428571428571</v>
      </c>
      <c r="I20" s="8">
        <f t="shared" si="0"/>
        <v>2.0829493087557602</v>
      </c>
      <c r="J20" s="16">
        <v>591</v>
      </c>
      <c r="K20" s="66">
        <f t="shared" si="6"/>
        <v>3.524448914984366E-3</v>
      </c>
    </row>
    <row r="21" spans="2:11" x14ac:dyDescent="0.35">
      <c r="B21" s="7" t="s">
        <v>14</v>
      </c>
      <c r="C21" s="9">
        <v>0</v>
      </c>
      <c r="D21" s="9">
        <f t="shared" si="4"/>
        <v>0</v>
      </c>
      <c r="E21" s="8">
        <v>2.2999999999999998</v>
      </c>
      <c r="F21" s="8">
        <v>1.5</v>
      </c>
      <c r="G21" s="8">
        <f t="shared" si="2"/>
        <v>3.8</v>
      </c>
      <c r="H21" s="8">
        <f t="shared" si="3"/>
        <v>2.1714285714285713</v>
      </c>
      <c r="I21" s="8">
        <f t="shared" si="0"/>
        <v>2.3348694316436247</v>
      </c>
      <c r="J21" s="16">
        <v>818</v>
      </c>
      <c r="K21" s="41">
        <f t="shared" si="6"/>
        <v>2.8543636083662892E-3</v>
      </c>
    </row>
    <row r="22" spans="2:11" x14ac:dyDescent="0.35">
      <c r="B22" s="7" t="s">
        <v>85</v>
      </c>
      <c r="C22" s="9">
        <v>0.5</v>
      </c>
      <c r="D22" s="9">
        <f t="shared" si="4"/>
        <v>0.3072196620583717</v>
      </c>
      <c r="E22" s="8">
        <v>1.71</v>
      </c>
      <c r="F22" s="8">
        <v>3.03</v>
      </c>
      <c r="G22" s="8">
        <f t="shared" si="2"/>
        <v>4.74</v>
      </c>
      <c r="H22" s="8">
        <f t="shared" si="3"/>
        <v>2.7085714285714286</v>
      </c>
      <c r="I22" s="8">
        <f t="shared" si="0"/>
        <v>2.9124423963133639</v>
      </c>
      <c r="J22" s="16">
        <v>2779</v>
      </c>
      <c r="K22" s="41">
        <f t="shared" si="6"/>
        <v>1.0480181346935458E-3</v>
      </c>
    </row>
    <row r="23" spans="2:11" x14ac:dyDescent="0.35">
      <c r="B23" s="65" t="s">
        <v>17</v>
      </c>
      <c r="C23" s="9">
        <v>1.4</v>
      </c>
      <c r="D23" s="9">
        <f t="shared" si="4"/>
        <v>0.86021505376344076</v>
      </c>
      <c r="E23" s="8">
        <v>1.66</v>
      </c>
      <c r="F23" s="8">
        <v>0.37</v>
      </c>
      <c r="G23" s="8">
        <f t="shared" si="2"/>
        <v>2.0299999999999998</v>
      </c>
      <c r="H23" s="8">
        <f t="shared" si="3"/>
        <v>1.1599999999999999</v>
      </c>
      <c r="I23" s="8">
        <f t="shared" si="0"/>
        <v>1.247311827956989</v>
      </c>
      <c r="J23" s="16">
        <v>283</v>
      </c>
      <c r="K23" s="66">
        <f t="shared" si="6"/>
        <v>4.4074622896006681E-3</v>
      </c>
    </row>
    <row r="24" spans="2:11" x14ac:dyDescent="0.35">
      <c r="B24" s="65" t="s">
        <v>18</v>
      </c>
      <c r="C24" s="9">
        <v>1.1000000000000001</v>
      </c>
      <c r="D24" s="9">
        <f t="shared" si="4"/>
        <v>0.67588325652841785</v>
      </c>
      <c r="E24" s="8">
        <v>1.49</v>
      </c>
      <c r="F24">
        <v>3.85</v>
      </c>
      <c r="G24" s="8">
        <f t="shared" si="2"/>
        <v>5.34</v>
      </c>
      <c r="H24" s="8">
        <f t="shared" si="3"/>
        <v>3.0514285714285712</v>
      </c>
      <c r="I24" s="8">
        <f t="shared" si="0"/>
        <v>3.2811059907834097</v>
      </c>
      <c r="J24" s="16">
        <v>291</v>
      </c>
      <c r="K24" s="66">
        <f t="shared" si="6"/>
        <v>1.1275278318843332E-2</v>
      </c>
    </row>
    <row r="25" spans="2:11" x14ac:dyDescent="0.35">
      <c r="B25" s="7" t="s">
        <v>19</v>
      </c>
      <c r="C25" s="9">
        <v>0.7</v>
      </c>
      <c r="D25" s="9">
        <f t="shared" si="4"/>
        <v>0.43010752688172038</v>
      </c>
      <c r="E25" s="8">
        <v>1.32</v>
      </c>
      <c r="F25" s="8">
        <v>1.5</v>
      </c>
      <c r="G25" s="8">
        <f t="shared" si="2"/>
        <v>2.8200000000000003</v>
      </c>
      <c r="H25" s="8">
        <f t="shared" si="3"/>
        <v>1.6114285714285717</v>
      </c>
      <c r="I25" s="8">
        <f t="shared" si="0"/>
        <v>1.7327188940092166</v>
      </c>
      <c r="J25" s="16">
        <v>2050</v>
      </c>
      <c r="K25" s="41">
        <f t="shared" si="6"/>
        <v>8.452287287849837E-4</v>
      </c>
    </row>
    <row r="26" spans="2:11" ht="15" thickBot="1" x14ac:dyDescent="0.4">
      <c r="B26" s="65" t="s">
        <v>82</v>
      </c>
      <c r="C26" s="73">
        <f>SUM(C7,C12:C14,C17:C20,C23:C24)</f>
        <v>40.700000000000003</v>
      </c>
      <c r="D26" s="73">
        <f t="shared" si="4"/>
        <v>25.007680491551461</v>
      </c>
      <c r="E26" s="73">
        <f>SUM(E7,E12:E14,E17:E20,E23:E24)</f>
        <v>144.75000000000003</v>
      </c>
      <c r="F26" s="73">
        <f>SUM(F7,F12:F14,F17:F20,F23:F24)</f>
        <v>37.650000000000006</v>
      </c>
      <c r="G26" s="73">
        <f>SUM(G7,G12:G14,G17:G20,G23:G24)</f>
        <v>182.39999999999998</v>
      </c>
      <c r="H26" s="74">
        <f t="shared" si="3"/>
        <v>104.22857142857141</v>
      </c>
      <c r="I26" s="75">
        <f t="shared" si="0"/>
        <v>112.07373271889399</v>
      </c>
      <c r="J26" s="73">
        <f>SUM(J7,J12:J14,J17:J20,J23:J24)-SUM(J12,J17,J19,J20,J23,J24)</f>
        <v>24027</v>
      </c>
      <c r="K26" s="76">
        <f t="shared" si="6"/>
        <v>4.6644913105628669E-3</v>
      </c>
    </row>
    <row r="27" spans="2:11" ht="15.5" thickTop="1" thickBot="1" x14ac:dyDescent="0.4">
      <c r="B27" s="21" t="s">
        <v>48</v>
      </c>
      <c r="C27" s="57"/>
      <c r="D27" s="57"/>
      <c r="E27" s="47" t="s">
        <v>36</v>
      </c>
      <c r="F27" s="47" t="s">
        <v>36</v>
      </c>
      <c r="G27" s="47" t="s">
        <v>36</v>
      </c>
      <c r="H27" s="56">
        <f>160*K3</f>
        <v>148.80000000000001</v>
      </c>
      <c r="I27" s="62">
        <f t="shared" si="0"/>
        <v>160</v>
      </c>
      <c r="J27" s="63">
        <v>2240</v>
      </c>
      <c r="K27" s="64">
        <f t="shared" si="6"/>
        <v>7.1428571428571425E-2</v>
      </c>
    </row>
    <row r="28" spans="2:11" ht="15" thickTop="1" x14ac:dyDescent="0.35">
      <c r="B28" s="15" t="s">
        <v>63</v>
      </c>
      <c r="C28" s="48" t="s">
        <v>36</v>
      </c>
      <c r="D28" s="48"/>
      <c r="E28" s="19"/>
      <c r="F28" s="19"/>
      <c r="G28" s="19"/>
      <c r="H28" s="49">
        <f>44*K3</f>
        <v>40.92</v>
      </c>
      <c r="I28" s="8">
        <f t="shared" si="0"/>
        <v>44</v>
      </c>
      <c r="J28" s="59">
        <v>161</v>
      </c>
      <c r="K28" s="41">
        <f t="shared" si="6"/>
        <v>0.27329192546583853</v>
      </c>
    </row>
    <row r="29" spans="2:11" x14ac:dyDescent="0.35">
      <c r="B29" s="7" t="s">
        <v>64</v>
      </c>
      <c r="C29" s="9">
        <f>C11</f>
        <v>87.9</v>
      </c>
      <c r="D29" s="9">
        <f t="shared" ref="D29" si="7">(C29*(1/K$3))/H$3</f>
        <v>54.009216589861751</v>
      </c>
      <c r="H29" s="9">
        <f>C29/H3</f>
        <v>50.228571428571435</v>
      </c>
      <c r="I29" s="8">
        <f t="shared" si="0"/>
        <v>54.009216589861758</v>
      </c>
      <c r="J29" s="51"/>
      <c r="K29" s="25"/>
    </row>
    <row r="30" spans="2:11" ht="15" thickBot="1" x14ac:dyDescent="0.4">
      <c r="B30" s="13" t="s">
        <v>65</v>
      </c>
      <c r="C30" s="14"/>
      <c r="D30" s="14"/>
      <c r="E30" s="14"/>
      <c r="F30" s="14"/>
      <c r="G30" s="14"/>
      <c r="H30" s="55">
        <f>SUM(H28:H29)</f>
        <v>91.148571428571444</v>
      </c>
      <c r="I30" s="61">
        <f t="shared" si="0"/>
        <v>98.009216589861765</v>
      </c>
      <c r="J30" s="17"/>
      <c r="K30" s="28"/>
    </row>
    <row r="31" spans="2:11" ht="15.5" thickTop="1" thickBot="1" x14ac:dyDescent="0.4">
      <c r="B31" s="21" t="s">
        <v>86</v>
      </c>
      <c r="C31" s="22"/>
      <c r="D31" s="22"/>
      <c r="E31" s="22"/>
      <c r="F31" s="22"/>
      <c r="G31" s="22"/>
      <c r="H31" s="22"/>
      <c r="I31" s="56">
        <f>I30-D10</f>
        <v>71.035330261136721</v>
      </c>
      <c r="J31" s="78"/>
      <c r="K31" s="77"/>
    </row>
    <row r="32" spans="2:11" ht="15" thickTop="1" x14ac:dyDescent="0.35"/>
    <row r="34" spans="2:11" ht="15" thickBot="1" x14ac:dyDescent="0.4">
      <c r="B34" s="3" t="s">
        <v>22</v>
      </c>
      <c r="C34" s="3"/>
      <c r="D34" s="3"/>
    </row>
    <row r="35" spans="2:11" ht="15" thickTop="1" x14ac:dyDescent="0.35">
      <c r="B35" s="5"/>
      <c r="C35" s="6" t="s">
        <v>23</v>
      </c>
      <c r="D35" s="6"/>
      <c r="E35" s="6" t="s">
        <v>58</v>
      </c>
      <c r="F35" s="6" t="s">
        <v>23</v>
      </c>
      <c r="G35" s="6" t="s">
        <v>60</v>
      </c>
      <c r="H35" s="6" t="s">
        <v>9</v>
      </c>
      <c r="I35" s="6" t="s">
        <v>9</v>
      </c>
      <c r="J35" s="15" t="s">
        <v>24</v>
      </c>
      <c r="K35" s="39" t="s">
        <v>34</v>
      </c>
    </row>
    <row r="36" spans="2:11" ht="15" thickBot="1" x14ac:dyDescent="0.4">
      <c r="B36" s="17"/>
      <c r="C36" s="18" t="s">
        <v>57</v>
      </c>
      <c r="D36" s="18"/>
      <c r="E36" s="18" t="s">
        <v>16</v>
      </c>
      <c r="F36" s="18" t="s">
        <v>59</v>
      </c>
      <c r="G36" s="18" t="s">
        <v>21</v>
      </c>
      <c r="H36" s="18" t="s">
        <v>73</v>
      </c>
      <c r="I36" s="18" t="s">
        <v>78</v>
      </c>
      <c r="J36" s="13" t="s">
        <v>61</v>
      </c>
      <c r="K36" s="40" t="s">
        <v>35</v>
      </c>
    </row>
    <row r="37" spans="2:11" ht="15" thickTop="1" x14ac:dyDescent="0.35">
      <c r="B37" s="72" t="s">
        <v>1</v>
      </c>
      <c r="C37" s="6"/>
      <c r="D37" s="6"/>
      <c r="E37" s="23" t="s">
        <v>26</v>
      </c>
      <c r="F37" s="23" t="s">
        <v>26</v>
      </c>
      <c r="G37" s="69" t="s">
        <v>25</v>
      </c>
      <c r="H37" s="69" t="s">
        <v>25</v>
      </c>
      <c r="I37" s="69" t="s">
        <v>25</v>
      </c>
      <c r="J37" s="29" t="s">
        <v>76</v>
      </c>
      <c r="K37" s="24" t="s">
        <v>37</v>
      </c>
    </row>
    <row r="38" spans="2:11" x14ac:dyDescent="0.35">
      <c r="B38" s="7" t="s">
        <v>10</v>
      </c>
      <c r="C38" s="70" t="s">
        <v>25</v>
      </c>
      <c r="D38" s="70"/>
      <c r="E38" s="70" t="s">
        <v>25</v>
      </c>
      <c r="F38" s="70" t="s">
        <v>25</v>
      </c>
      <c r="G38" s="70" t="s">
        <v>25</v>
      </c>
      <c r="H38" s="70" t="s">
        <v>25</v>
      </c>
      <c r="I38" s="70" t="s">
        <v>25</v>
      </c>
      <c r="J38" s="30" t="s">
        <v>37</v>
      </c>
      <c r="K38" s="25" t="s">
        <v>37</v>
      </c>
    </row>
    <row r="39" spans="2:11" x14ac:dyDescent="0.35">
      <c r="B39" s="10" t="s">
        <v>11</v>
      </c>
      <c r="C39" s="71" t="s">
        <v>25</v>
      </c>
      <c r="D39" s="71"/>
      <c r="E39" s="71" t="s">
        <v>25</v>
      </c>
      <c r="F39" s="71" t="s">
        <v>25</v>
      </c>
      <c r="G39" s="71" t="s">
        <v>25</v>
      </c>
      <c r="H39" s="71" t="s">
        <v>25</v>
      </c>
      <c r="I39" s="71" t="s">
        <v>25</v>
      </c>
      <c r="J39" s="35" t="s">
        <v>37</v>
      </c>
      <c r="K39" s="36" t="s">
        <v>37</v>
      </c>
    </row>
    <row r="40" spans="2:11" x14ac:dyDescent="0.35">
      <c r="B40" s="10" t="s">
        <v>8</v>
      </c>
      <c r="C40" s="34" t="s">
        <v>26</v>
      </c>
      <c r="D40" s="34"/>
      <c r="E40" s="37" t="s">
        <v>26</v>
      </c>
      <c r="F40" s="37" t="s">
        <v>26</v>
      </c>
      <c r="G40" s="71" t="s">
        <v>25</v>
      </c>
      <c r="H40" s="71" t="s">
        <v>25</v>
      </c>
      <c r="I40" s="71" t="s">
        <v>25</v>
      </c>
      <c r="J40" s="38" t="s">
        <v>38</v>
      </c>
      <c r="K40" s="36" t="s">
        <v>37</v>
      </c>
    </row>
    <row r="41" spans="2:11" x14ac:dyDescent="0.35">
      <c r="B41" s="65" t="s">
        <v>2</v>
      </c>
      <c r="C41" s="20" t="s">
        <v>26</v>
      </c>
      <c r="D41" s="20"/>
      <c r="E41" s="26" t="s">
        <v>26</v>
      </c>
      <c r="F41" s="26" t="s">
        <v>26</v>
      </c>
      <c r="G41" s="70" t="s">
        <v>25</v>
      </c>
      <c r="H41" s="70" t="s">
        <v>25</v>
      </c>
      <c r="I41" s="70" t="s">
        <v>25</v>
      </c>
      <c r="J41" s="31" t="s">
        <v>39</v>
      </c>
      <c r="K41" s="25" t="s">
        <v>37</v>
      </c>
    </row>
    <row r="42" spans="2:11" x14ac:dyDescent="0.35">
      <c r="B42" s="65" t="s">
        <v>3</v>
      </c>
      <c r="C42" s="20" t="s">
        <v>26</v>
      </c>
      <c r="D42" s="20"/>
      <c r="E42" s="26" t="s">
        <v>26</v>
      </c>
      <c r="F42" s="26" t="s">
        <v>26</v>
      </c>
      <c r="G42" s="70" t="s">
        <v>25</v>
      </c>
      <c r="H42" s="70" t="s">
        <v>25</v>
      </c>
      <c r="I42" s="70" t="s">
        <v>25</v>
      </c>
      <c r="J42" s="31" t="s">
        <v>40</v>
      </c>
      <c r="K42" s="25" t="s">
        <v>37</v>
      </c>
    </row>
    <row r="43" spans="2:11" x14ac:dyDescent="0.35">
      <c r="B43" s="65" t="s">
        <v>5</v>
      </c>
      <c r="C43" s="20" t="s">
        <v>26</v>
      </c>
      <c r="D43" s="20"/>
      <c r="E43" s="26" t="s">
        <v>26</v>
      </c>
      <c r="F43" s="26" t="s">
        <v>26</v>
      </c>
      <c r="G43" s="70" t="s">
        <v>25</v>
      </c>
      <c r="H43" s="70" t="s">
        <v>25</v>
      </c>
      <c r="I43" s="70" t="s">
        <v>25</v>
      </c>
      <c r="J43" s="31" t="s">
        <v>41</v>
      </c>
      <c r="K43" s="25" t="s">
        <v>37</v>
      </c>
    </row>
    <row r="44" spans="2:11" x14ac:dyDescent="0.35">
      <c r="B44" s="7" t="s">
        <v>12</v>
      </c>
      <c r="C44" s="20" t="s">
        <v>26</v>
      </c>
      <c r="D44" s="20"/>
      <c r="E44" s="26" t="s">
        <v>26</v>
      </c>
      <c r="F44" s="26" t="s">
        <v>26</v>
      </c>
      <c r="G44" s="70" t="s">
        <v>25</v>
      </c>
      <c r="H44" s="70" t="s">
        <v>25</v>
      </c>
      <c r="I44" s="70" t="s">
        <v>25</v>
      </c>
      <c r="J44" s="31" t="s">
        <v>42</v>
      </c>
      <c r="K44" s="25" t="s">
        <v>37</v>
      </c>
    </row>
    <row r="45" spans="2:11" x14ac:dyDescent="0.35">
      <c r="B45" s="7" t="s">
        <v>13</v>
      </c>
      <c r="C45" s="20" t="s">
        <v>26</v>
      </c>
      <c r="D45" s="20"/>
      <c r="E45" s="26" t="s">
        <v>26</v>
      </c>
      <c r="F45" s="26" t="s">
        <v>26</v>
      </c>
      <c r="G45" s="70" t="s">
        <v>25</v>
      </c>
      <c r="H45" s="70" t="s">
        <v>25</v>
      </c>
      <c r="I45" s="70" t="s">
        <v>25</v>
      </c>
      <c r="J45" s="31" t="s">
        <v>44</v>
      </c>
      <c r="K45" s="25" t="s">
        <v>37</v>
      </c>
    </row>
    <row r="46" spans="2:11" x14ac:dyDescent="0.35">
      <c r="B46" s="65" t="s">
        <v>4</v>
      </c>
      <c r="C46" s="20" t="s">
        <v>26</v>
      </c>
      <c r="D46" s="20"/>
      <c r="E46" s="26" t="s">
        <v>26</v>
      </c>
      <c r="F46" s="26" t="s">
        <v>26</v>
      </c>
      <c r="G46" s="70" t="s">
        <v>25</v>
      </c>
      <c r="H46" s="70" t="s">
        <v>25</v>
      </c>
      <c r="I46" s="70" t="s">
        <v>25</v>
      </c>
      <c r="J46" s="31" t="s">
        <v>45</v>
      </c>
      <c r="K46" s="25" t="s">
        <v>37</v>
      </c>
    </row>
    <row r="47" spans="2:11" x14ac:dyDescent="0.35">
      <c r="B47" s="65" t="s">
        <v>20</v>
      </c>
      <c r="C47" s="20" t="s">
        <v>26</v>
      </c>
      <c r="D47" s="20"/>
      <c r="E47" s="26" t="s">
        <v>26</v>
      </c>
      <c r="F47" s="26" t="s">
        <v>26</v>
      </c>
      <c r="G47" s="70" t="s">
        <v>25</v>
      </c>
      <c r="H47" s="70" t="s">
        <v>25</v>
      </c>
      <c r="I47" s="70" t="s">
        <v>25</v>
      </c>
      <c r="J47" s="31" t="s">
        <v>46</v>
      </c>
      <c r="K47" s="25" t="s">
        <v>37</v>
      </c>
    </row>
    <row r="48" spans="2:11" x14ac:dyDescent="0.35">
      <c r="B48" s="65" t="s">
        <v>6</v>
      </c>
      <c r="C48" s="20" t="s">
        <v>26</v>
      </c>
      <c r="D48" s="20"/>
      <c r="E48" s="26" t="s">
        <v>26</v>
      </c>
      <c r="F48" s="26" t="s">
        <v>26</v>
      </c>
      <c r="G48" s="70" t="s">
        <v>25</v>
      </c>
      <c r="H48" s="70" t="s">
        <v>25</v>
      </c>
      <c r="I48" s="70" t="s">
        <v>25</v>
      </c>
      <c r="J48" s="31" t="s">
        <v>47</v>
      </c>
      <c r="K48" s="25" t="s">
        <v>37</v>
      </c>
    </row>
    <row r="49" spans="2:11" x14ac:dyDescent="0.35">
      <c r="B49" s="7" t="s">
        <v>7</v>
      </c>
      <c r="C49" s="20" t="s">
        <v>26</v>
      </c>
      <c r="D49" s="20"/>
      <c r="E49" s="26" t="s">
        <v>26</v>
      </c>
      <c r="F49" s="26" t="s">
        <v>26</v>
      </c>
      <c r="G49" s="70" t="s">
        <v>25</v>
      </c>
      <c r="H49" s="70" t="s">
        <v>25</v>
      </c>
      <c r="I49" s="70" t="s">
        <v>25</v>
      </c>
      <c r="J49" s="31" t="s">
        <v>49</v>
      </c>
      <c r="K49" s="25" t="s">
        <v>37</v>
      </c>
    </row>
    <row r="50" spans="2:11" x14ac:dyDescent="0.35">
      <c r="B50" s="7" t="s">
        <v>14</v>
      </c>
      <c r="C50" s="20" t="s">
        <v>26</v>
      </c>
      <c r="D50" s="20"/>
      <c r="E50" s="26" t="s">
        <v>26</v>
      </c>
      <c r="F50" s="26" t="s">
        <v>26</v>
      </c>
      <c r="G50" s="70" t="s">
        <v>25</v>
      </c>
      <c r="H50" s="70" t="s">
        <v>25</v>
      </c>
      <c r="I50" s="70" t="s">
        <v>25</v>
      </c>
      <c r="J50" s="31" t="s">
        <v>50</v>
      </c>
      <c r="K50" s="25" t="s">
        <v>37</v>
      </c>
    </row>
    <row r="51" spans="2:11" x14ac:dyDescent="0.35">
      <c r="B51" s="7" t="s">
        <v>15</v>
      </c>
      <c r="C51" s="20" t="s">
        <v>26</v>
      </c>
      <c r="D51" s="20"/>
      <c r="E51" s="26" t="s">
        <v>26</v>
      </c>
      <c r="F51" s="26" t="s">
        <v>26</v>
      </c>
      <c r="G51" s="70" t="s">
        <v>25</v>
      </c>
      <c r="H51" s="70" t="s">
        <v>25</v>
      </c>
      <c r="I51" s="70" t="s">
        <v>25</v>
      </c>
      <c r="J51" s="31" t="s">
        <v>51</v>
      </c>
      <c r="K51" s="25" t="s">
        <v>37</v>
      </c>
    </row>
    <row r="52" spans="2:11" x14ac:dyDescent="0.35">
      <c r="B52" s="7" t="s">
        <v>17</v>
      </c>
      <c r="C52" s="20" t="s">
        <v>26</v>
      </c>
      <c r="D52" s="20"/>
      <c r="E52" s="26" t="s">
        <v>26</v>
      </c>
      <c r="F52" s="26" t="s">
        <v>26</v>
      </c>
      <c r="G52" s="70" t="s">
        <v>25</v>
      </c>
      <c r="H52" s="70" t="s">
        <v>25</v>
      </c>
      <c r="I52" s="70" t="s">
        <v>25</v>
      </c>
      <c r="J52" s="31" t="s">
        <v>52</v>
      </c>
      <c r="K52" s="25" t="s">
        <v>37</v>
      </c>
    </row>
    <row r="53" spans="2:11" x14ac:dyDescent="0.35">
      <c r="B53" s="7" t="s">
        <v>18</v>
      </c>
      <c r="C53" s="20" t="s">
        <v>26</v>
      </c>
      <c r="D53" s="20"/>
      <c r="E53" s="26" t="s">
        <v>26</v>
      </c>
      <c r="F53" s="26" t="s">
        <v>26</v>
      </c>
      <c r="G53" s="70" t="s">
        <v>25</v>
      </c>
      <c r="H53" s="70" t="s">
        <v>25</v>
      </c>
      <c r="I53" s="70" t="s">
        <v>25</v>
      </c>
      <c r="J53" s="31" t="s">
        <v>53</v>
      </c>
      <c r="K53" s="25" t="s">
        <v>37</v>
      </c>
    </row>
    <row r="54" spans="2:11" ht="15" thickBot="1" x14ac:dyDescent="0.4">
      <c r="B54" s="13" t="s">
        <v>19</v>
      </c>
      <c r="C54" s="20" t="s">
        <v>26</v>
      </c>
      <c r="D54" s="20"/>
      <c r="E54" s="27" t="s">
        <v>26</v>
      </c>
      <c r="F54" s="27" t="s">
        <v>26</v>
      </c>
      <c r="G54" s="68" t="s">
        <v>25</v>
      </c>
      <c r="H54" s="68" t="s">
        <v>25</v>
      </c>
      <c r="I54" s="68" t="s">
        <v>25</v>
      </c>
      <c r="J54" s="32" t="s">
        <v>54</v>
      </c>
      <c r="K54" s="28" t="s">
        <v>37</v>
      </c>
    </row>
    <row r="55" spans="2:11" ht="15.5" thickTop="1" thickBot="1" x14ac:dyDescent="0.4">
      <c r="B55" s="65" t="s">
        <v>82</v>
      </c>
      <c r="C55" s="68" t="s">
        <v>25</v>
      </c>
      <c r="D55" s="68" t="s">
        <v>25</v>
      </c>
      <c r="E55" s="68" t="s">
        <v>25</v>
      </c>
      <c r="F55" s="68" t="s">
        <v>25</v>
      </c>
      <c r="G55" s="68" t="s">
        <v>25</v>
      </c>
      <c r="H55" s="68" t="s">
        <v>25</v>
      </c>
      <c r="I55" s="68" t="s">
        <v>25</v>
      </c>
      <c r="J55" s="67" t="s">
        <v>37</v>
      </c>
      <c r="K55" s="28" t="s">
        <v>37</v>
      </c>
    </row>
    <row r="56" spans="2:11" ht="15.5" thickTop="1" thickBot="1" x14ac:dyDescent="0.4">
      <c r="B56" s="21" t="s">
        <v>48</v>
      </c>
      <c r="C56" s="33" t="s">
        <v>55</v>
      </c>
      <c r="D56" s="33"/>
      <c r="E56" s="22" t="s">
        <v>36</v>
      </c>
      <c r="F56" s="22"/>
      <c r="G56" s="22"/>
      <c r="H56" s="54" t="s">
        <v>68</v>
      </c>
      <c r="I56" s="54"/>
      <c r="J56" s="60" t="s">
        <v>56</v>
      </c>
      <c r="K56" s="28" t="s">
        <v>37</v>
      </c>
    </row>
    <row r="57" spans="2:11" ht="15" thickTop="1" x14ac:dyDescent="0.35">
      <c r="B57" s="15" t="s">
        <v>63</v>
      </c>
      <c r="C57" s="48"/>
      <c r="D57" s="48"/>
      <c r="E57" s="19"/>
      <c r="F57" s="19"/>
      <c r="G57" s="19"/>
      <c r="H57" s="52" t="s">
        <v>66</v>
      </c>
      <c r="I57" s="52"/>
      <c r="J57" s="29" t="s">
        <v>74</v>
      </c>
      <c r="K57" s="24" t="s">
        <v>37</v>
      </c>
    </row>
    <row r="58" spans="2:11" x14ac:dyDescent="0.35">
      <c r="B58" s="7" t="s">
        <v>64</v>
      </c>
      <c r="C58" s="58" t="s">
        <v>67</v>
      </c>
      <c r="D58" s="58" t="s">
        <v>37</v>
      </c>
      <c r="H58" s="53" t="s">
        <v>37</v>
      </c>
      <c r="I58" s="53"/>
      <c r="J58" s="51" t="s">
        <v>36</v>
      </c>
      <c r="K58" s="25"/>
    </row>
    <row r="59" spans="2:11" ht="15" thickBot="1" x14ac:dyDescent="0.4">
      <c r="B59" s="13" t="s">
        <v>65</v>
      </c>
      <c r="C59" s="14"/>
      <c r="D59" s="14"/>
      <c r="E59" s="14"/>
      <c r="F59" s="14"/>
      <c r="G59" s="14"/>
      <c r="H59" s="50" t="s">
        <v>37</v>
      </c>
      <c r="I59" s="50"/>
      <c r="J59" s="17"/>
      <c r="K59" s="28"/>
    </row>
    <row r="60" spans="2:11" ht="15" thickTop="1" x14ac:dyDescent="0.35"/>
  </sheetData>
  <hyperlinks>
    <hyperlink ref="E37" r:id="rId1" xr:uid="{C53CBA6F-AB57-4D46-B843-83F696AA224C}"/>
    <hyperlink ref="F37" r:id="rId2" xr:uid="{381463F3-93AF-4B73-BAC4-B3DF9AB19950}"/>
    <hyperlink ref="E40" r:id="rId3" xr:uid="{43B80D13-A428-494F-B1AC-1CBFA419E2AB}"/>
    <hyperlink ref="F40" r:id="rId4" xr:uid="{1BA59BEA-87F1-4147-9BDF-89A118EB2C50}"/>
    <hyperlink ref="E41:E54" r:id="rId5" display="https://www.ifw-kiel.de/topics/war-against-ukraine/ukraine-support-tracker/" xr:uid="{CF121361-B350-4C1C-8D2D-AD7066942F6D}"/>
    <hyperlink ref="F41:F54" r:id="rId6" display="https://www.ifw-kiel.de/topics/war-against-ukraine/ukraine-support-tracker/" xr:uid="{6DF7C0F7-C4E5-499D-8DD6-B598BB4799E7}"/>
    <hyperlink ref="F54" r:id="rId7" xr:uid="{2FF52A1B-D3F6-42F3-A4AF-C2960EC559B9}"/>
    <hyperlink ref="M2" r:id="rId8" xr:uid="{380927E2-0A4B-4A00-ABDD-75D91CF6FD06}"/>
    <hyperlink ref="J40" r:id="rId9" xr:uid="{1699FD11-969B-482F-A97D-565F240DA15E}"/>
    <hyperlink ref="J41" r:id="rId10" xr:uid="{71B1E3F3-47D1-4852-8143-FF2C86C07E25}"/>
    <hyperlink ref="J42" r:id="rId11" xr:uid="{EB9E93D5-C319-4E8F-9DA1-530523589AB3}"/>
    <hyperlink ref="J43" r:id="rId12" xr:uid="{5C35BDDB-4E45-4A78-9273-5737121F3F8F}"/>
    <hyperlink ref="J44" r:id="rId13" xr:uid="{72331938-4162-4E7C-B055-6296F78166C9}"/>
    <hyperlink ref="J45" r:id="rId14" xr:uid="{C0519665-F6E4-4C2C-BC2F-4549FCAE1A2F}"/>
    <hyperlink ref="J46" r:id="rId15" xr:uid="{BAE2FAFF-8A15-40D4-BF5A-AC4B2161A512}"/>
    <hyperlink ref="J47" r:id="rId16" xr:uid="{A5EAD438-7758-4367-9FE8-CFF9A33C3018}"/>
    <hyperlink ref="J48" r:id="rId17" xr:uid="{D53E14E4-C9C8-4952-AE1C-A299EA028C6F}"/>
    <hyperlink ref="J49" r:id="rId18" xr:uid="{4B888A37-6862-46F6-B62D-E93879C0DE6E}"/>
    <hyperlink ref="J50" r:id="rId19" xr:uid="{6A33CF34-2919-4255-A2D2-9BAD3B69479A}"/>
    <hyperlink ref="J51" r:id="rId20" xr:uid="{10B604DE-3216-4585-BA77-5723760DA247}"/>
    <hyperlink ref="J52" r:id="rId21" xr:uid="{2897ECC8-5919-4293-9806-85B2810CCDE4}"/>
    <hyperlink ref="J53" r:id="rId22" xr:uid="{877FB08D-61EE-4E83-8553-337637574B99}"/>
    <hyperlink ref="J54" r:id="rId23" xr:uid="{B2D7AB37-7C5C-4F59-9BA6-39A0927CBA24}"/>
    <hyperlink ref="C56" r:id="rId24" xr:uid="{BB5D330E-33EA-4014-A325-DEA59228906C}"/>
    <hyperlink ref="C40" r:id="rId25" xr:uid="{1F85E3F6-6C41-4CC6-A0B6-7EA44DC18307}"/>
    <hyperlink ref="C41:C54" r:id="rId26" display="https://www.ifw-kiel.de/topics/war-against-ukraine/ukraine-support-tracker/" xr:uid="{EC12049E-19F5-492D-8733-0A1DA52CF1B5}"/>
    <hyperlink ref="H57" r:id="rId27" xr:uid="{61FB4EEB-9570-4464-BF6E-731D4B35D860}"/>
    <hyperlink ref="H56" r:id="rId28" xr:uid="{9F1067ED-92FA-4B61-BC6E-50A8D6713DF6}"/>
    <hyperlink ref="J56" r:id="rId29" xr:uid="{3D721CB3-C3A6-4722-8652-2E0D66EBA2DE}"/>
    <hyperlink ref="J57" r:id="rId30" xr:uid="{FEC595D5-0C7E-4F07-9503-11A521888282}"/>
    <hyperlink ref="J37" r:id="rId31" xr:uid="{5D0F0A0F-B341-440B-9DC2-F2C4D7F77320}"/>
  </hyperlinks>
  <pageMargins left="0.7" right="0.7" top="0.75" bottom="0.75" header="0.3" footer="0.3"/>
  <pageSetup paperSize="9" orientation="portrait" horizontalDpi="0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FFB5E-CF0C-422E-AA40-D05BC4CCEDC8}">
  <dimension ref="A1:V77"/>
  <sheetViews>
    <sheetView tabSelected="1" topLeftCell="A4" zoomScale="154" zoomScaleNormal="154" workbookViewId="0">
      <selection activeCell="Q30" sqref="Q30"/>
    </sheetView>
  </sheetViews>
  <sheetFormatPr defaultRowHeight="14.5" x14ac:dyDescent="0.35"/>
  <cols>
    <col min="1" max="1" width="1" customWidth="1"/>
    <col min="2" max="2" width="26.453125" customWidth="1"/>
    <col min="3" max="3" width="19.36328125" customWidth="1"/>
    <col min="4" max="4" width="17.36328125" customWidth="1"/>
    <col min="5" max="5" width="10.453125" customWidth="1"/>
    <col min="6" max="6" width="11.7265625" customWidth="1"/>
    <col min="7" max="7" width="12" customWidth="1"/>
    <col min="8" max="8" width="9.81640625" customWidth="1"/>
    <col min="9" max="9" width="10" customWidth="1"/>
    <col min="10" max="13" width="8.36328125" customWidth="1"/>
    <col min="14" max="14" width="8.7265625" customWidth="1"/>
    <col min="15" max="16" width="7.54296875" customWidth="1"/>
    <col min="17" max="17" width="100.7265625" customWidth="1"/>
    <col min="18" max="18" width="28.1796875" customWidth="1"/>
    <col min="19" max="21" width="12.54296875" customWidth="1"/>
  </cols>
  <sheetData>
    <row r="1" spans="1:21" ht="28.5" x14ac:dyDescent="0.65">
      <c r="A1" s="1" t="s">
        <v>174</v>
      </c>
    </row>
    <row r="2" spans="1:21" x14ac:dyDescent="0.35">
      <c r="F2" t="s">
        <v>27</v>
      </c>
      <c r="G2" t="s">
        <v>28</v>
      </c>
      <c r="M2" t="s">
        <v>31</v>
      </c>
      <c r="O2" s="4" t="s">
        <v>32</v>
      </c>
      <c r="P2" s="4"/>
      <c r="Q2" s="4"/>
    </row>
    <row r="3" spans="1:21" x14ac:dyDescent="0.35">
      <c r="F3">
        <f>(11+12+0.5)/12</f>
        <v>1.9583333333333333</v>
      </c>
      <c r="G3" t="s">
        <v>29</v>
      </c>
      <c r="J3">
        <v>0.93</v>
      </c>
      <c r="M3" t="s">
        <v>30</v>
      </c>
      <c r="O3" t="s">
        <v>33</v>
      </c>
    </row>
    <row r="4" spans="1:21" ht="24" thickBot="1" x14ac:dyDescent="0.6">
      <c r="B4" s="2" t="s">
        <v>176</v>
      </c>
      <c r="C4" s="2"/>
      <c r="E4" s="2"/>
      <c r="R4" s="2" t="str">
        <f>B4</f>
        <v>Top 15 donar countries plus EU supporting Ukraine</v>
      </c>
      <c r="S4" s="2"/>
      <c r="T4" s="2"/>
    </row>
    <row r="5" spans="1:21" ht="15" thickTop="1" x14ac:dyDescent="0.35">
      <c r="B5" s="5"/>
      <c r="C5" s="245" t="s">
        <v>170</v>
      </c>
      <c r="D5" s="246"/>
      <c r="E5" s="15" t="s">
        <v>9</v>
      </c>
      <c r="F5" s="6" t="s">
        <v>9</v>
      </c>
      <c r="G5" s="15" t="s">
        <v>24</v>
      </c>
      <c r="H5" s="6" t="s">
        <v>259</v>
      </c>
      <c r="I5" s="15" t="s">
        <v>167</v>
      </c>
      <c r="J5" s="39" t="s">
        <v>167</v>
      </c>
      <c r="K5" s="247" t="s">
        <v>97</v>
      </c>
      <c r="L5" s="247"/>
      <c r="M5" s="245"/>
      <c r="N5" s="248"/>
      <c r="O5" s="163" t="s">
        <v>251</v>
      </c>
      <c r="P5" s="103"/>
      <c r="Q5" s="146"/>
      <c r="R5" s="137"/>
      <c r="S5" s="6" t="str">
        <f>C5</f>
        <v>Jan. 24, 2022 to Jan. 15 2024 in billion EUR</v>
      </c>
      <c r="T5" s="6"/>
      <c r="U5" s="39"/>
    </row>
    <row r="6" spans="1:21" x14ac:dyDescent="0.35">
      <c r="B6" s="51"/>
      <c r="C6" s="7" t="s">
        <v>162</v>
      </c>
      <c r="D6" s="3" t="s">
        <v>168</v>
      </c>
      <c r="E6" s="7" t="s">
        <v>162</v>
      </c>
      <c r="F6" s="3" t="s">
        <v>165</v>
      </c>
      <c r="G6" s="7" t="s">
        <v>166</v>
      </c>
      <c r="H6" s="235" t="s">
        <v>266</v>
      </c>
      <c r="I6" s="7" t="s">
        <v>172</v>
      </c>
      <c r="J6" s="140" t="s">
        <v>171</v>
      </c>
      <c r="K6" s="7"/>
      <c r="L6" s="3"/>
      <c r="M6" s="3"/>
      <c r="N6" s="140" t="s">
        <v>173</v>
      </c>
      <c r="O6" s="165" t="s">
        <v>175</v>
      </c>
      <c r="P6" s="141"/>
      <c r="Q6" s="146"/>
      <c r="R6" s="123"/>
      <c r="S6" s="3"/>
      <c r="T6" s="3"/>
      <c r="U6" s="140"/>
    </row>
    <row r="7" spans="1:21" ht="15" thickBot="1" x14ac:dyDescent="0.4">
      <c r="B7" s="17"/>
      <c r="C7" s="13"/>
      <c r="D7" s="18" t="s">
        <v>169</v>
      </c>
      <c r="E7" s="13" t="s">
        <v>163</v>
      </c>
      <c r="F7" s="18" t="s">
        <v>163</v>
      </c>
      <c r="G7" s="13" t="s">
        <v>163</v>
      </c>
      <c r="H7" s="18" t="s">
        <v>260</v>
      </c>
      <c r="I7" s="13" t="s">
        <v>35</v>
      </c>
      <c r="J7" s="40" t="s">
        <v>35</v>
      </c>
      <c r="K7" s="13">
        <v>2021</v>
      </c>
      <c r="L7" s="18">
        <v>2022</v>
      </c>
      <c r="M7" s="18">
        <v>2023</v>
      </c>
      <c r="N7" s="40">
        <v>2024</v>
      </c>
      <c r="O7" s="13">
        <v>2023</v>
      </c>
      <c r="P7" s="40">
        <v>2024</v>
      </c>
      <c r="Q7" s="140"/>
      <c r="R7" s="112"/>
      <c r="S7" s="18" t="s">
        <v>88</v>
      </c>
      <c r="T7" s="18" t="s">
        <v>89</v>
      </c>
      <c r="U7" s="40" t="s">
        <v>164</v>
      </c>
    </row>
    <row r="8" spans="1:21" ht="15" thickTop="1" x14ac:dyDescent="0.35">
      <c r="B8" s="7" t="s">
        <v>43</v>
      </c>
      <c r="C8" s="150">
        <v>5.6</v>
      </c>
      <c r="D8" s="9">
        <f t="shared" ref="D8:D23" si="0">C8+S8+T8</f>
        <v>85.009999999999991</v>
      </c>
      <c r="E8" s="16">
        <f t="shared" ref="E8:E23" si="1">(C8*(1/J$3))/F$3</f>
        <v>3.0748112560054905</v>
      </c>
      <c r="F8" s="8">
        <f t="shared" ref="F8:F23" si="2">(D8/F$3)*(1/J$3)</f>
        <v>46.676733013040483</v>
      </c>
      <c r="G8" s="99">
        <v>19350</v>
      </c>
      <c r="H8" s="238">
        <v>448.4</v>
      </c>
      <c r="I8" s="94">
        <f>E8/G8</f>
        <v>1.5890497447056798E-4</v>
      </c>
      <c r="J8" s="41">
        <f>F8/G8</f>
        <v>2.412234264239818E-3</v>
      </c>
      <c r="K8" s="124" t="s">
        <v>36</v>
      </c>
      <c r="L8" s="125" t="s">
        <v>36</v>
      </c>
      <c r="M8" s="126" t="s">
        <v>36</v>
      </c>
      <c r="N8" s="164" t="s">
        <v>36</v>
      </c>
      <c r="O8" s="170">
        <f>E8</f>
        <v>3.0748112560054905</v>
      </c>
      <c r="P8" s="166">
        <f>E8</f>
        <v>3.0748112560054905</v>
      </c>
      <c r="Q8" s="166"/>
      <c r="R8" s="138" t="s">
        <v>43</v>
      </c>
      <c r="S8" s="58">
        <v>77.2</v>
      </c>
      <c r="T8" s="58">
        <v>2.21</v>
      </c>
      <c r="U8" s="142">
        <v>0</v>
      </c>
    </row>
    <row r="9" spans="1:21" x14ac:dyDescent="0.35">
      <c r="B9" s="7" t="s">
        <v>131</v>
      </c>
      <c r="C9" s="16">
        <v>42.2</v>
      </c>
      <c r="D9" s="8">
        <f t="shared" si="0"/>
        <v>67.650000000000006</v>
      </c>
      <c r="E9" s="44">
        <f t="shared" si="1"/>
        <v>23.170899107755663</v>
      </c>
      <c r="F9" s="8">
        <f t="shared" si="2"/>
        <v>37.144818119423469</v>
      </c>
      <c r="G9" s="99">
        <v>25440</v>
      </c>
      <c r="H9" s="238">
        <v>335</v>
      </c>
      <c r="I9" s="94">
        <f t="shared" ref="I9:I26" si="3">E9/G9</f>
        <v>9.1080578253756534E-4</v>
      </c>
      <c r="J9" s="41">
        <f t="shared" ref="J9:J23" si="4">F9/G9</f>
        <v>1.46009505186413E-3</v>
      </c>
      <c r="K9" s="94">
        <v>3.4599999999999999E-2</v>
      </c>
      <c r="L9" s="96">
        <v>3.4599999999999999E-2</v>
      </c>
      <c r="M9" s="96">
        <v>3.49E-2</v>
      </c>
      <c r="N9" s="41">
        <v>3.5000000000000003E-2</v>
      </c>
      <c r="O9" s="99">
        <f>G9*M9</f>
        <v>887.85599999999999</v>
      </c>
      <c r="P9" s="167">
        <f>N9*G9</f>
        <v>890.40000000000009</v>
      </c>
      <c r="Q9" s="167"/>
      <c r="R9" s="104" t="s">
        <v>131</v>
      </c>
      <c r="S9" s="9">
        <v>24</v>
      </c>
      <c r="T9" s="9">
        <v>1.45</v>
      </c>
      <c r="U9" s="142">
        <v>0</v>
      </c>
    </row>
    <row r="10" spans="1:21" x14ac:dyDescent="0.35">
      <c r="B10" s="65" t="s">
        <v>140</v>
      </c>
      <c r="C10" s="16">
        <v>17.7</v>
      </c>
      <c r="D10" s="9">
        <f t="shared" si="0"/>
        <v>22.06</v>
      </c>
      <c r="E10" s="16">
        <f t="shared" si="1"/>
        <v>9.7185998627316401</v>
      </c>
      <c r="F10" s="8">
        <f t="shared" si="2"/>
        <v>12.112560054907343</v>
      </c>
      <c r="G10" s="99">
        <v>4082</v>
      </c>
      <c r="H10" s="238">
        <v>84.8</v>
      </c>
      <c r="I10" s="94">
        <f t="shared" si="3"/>
        <v>2.3808426905271044E-3</v>
      </c>
      <c r="J10" s="66">
        <f t="shared" si="4"/>
        <v>2.9673101555383005E-3</v>
      </c>
      <c r="K10" s="94">
        <v>1.3299999999999999E-2</v>
      </c>
      <c r="L10" s="96">
        <v>1.3899999999999999E-2</v>
      </c>
      <c r="M10" s="96">
        <v>1.5699999999999999E-2</v>
      </c>
      <c r="N10" s="41">
        <v>1.77E-2</v>
      </c>
      <c r="O10" s="99">
        <f>G10*M10</f>
        <v>64.087399999999988</v>
      </c>
      <c r="P10" s="167">
        <f t="shared" ref="P10:P23" si="5">N10*G10</f>
        <v>72.251400000000004</v>
      </c>
      <c r="Q10" s="167"/>
      <c r="R10" s="138" t="s">
        <v>140</v>
      </c>
      <c r="S10" s="9">
        <v>1.41</v>
      </c>
      <c r="T10" s="9">
        <v>2.95</v>
      </c>
      <c r="U10" s="142">
        <v>21.44</v>
      </c>
    </row>
    <row r="11" spans="1:21" x14ac:dyDescent="0.35">
      <c r="B11" s="65" t="s">
        <v>112</v>
      </c>
      <c r="C11" s="16">
        <v>9.1</v>
      </c>
      <c r="D11" s="9">
        <f t="shared" si="0"/>
        <v>15.7</v>
      </c>
      <c r="E11" s="16">
        <f t="shared" si="1"/>
        <v>4.9965682910089217</v>
      </c>
      <c r="F11" s="8">
        <f t="shared" si="2"/>
        <v>8.620452985586823</v>
      </c>
      <c r="G11" s="99">
        <v>3089</v>
      </c>
      <c r="H11" s="238">
        <v>68.11</v>
      </c>
      <c r="I11" s="94">
        <f t="shared" si="3"/>
        <v>1.6175358663026616E-3</v>
      </c>
      <c r="J11" s="66">
        <f t="shared" si="4"/>
        <v>2.79069374735734E-3</v>
      </c>
      <c r="K11" s="94">
        <v>2.1600000000000001E-2</v>
      </c>
      <c r="L11" s="96">
        <v>2.23E-2</v>
      </c>
      <c r="M11" s="96">
        <v>2.07E-2</v>
      </c>
      <c r="N11" s="41">
        <v>2.1000000000000001E-2</v>
      </c>
      <c r="O11" s="99">
        <f>G11*M11</f>
        <v>63.942299999999996</v>
      </c>
      <c r="P11" s="167">
        <f t="shared" si="5"/>
        <v>64.869</v>
      </c>
      <c r="Q11" s="167"/>
      <c r="R11" s="138" t="s">
        <v>112</v>
      </c>
      <c r="S11" s="9">
        <v>6</v>
      </c>
      <c r="T11" s="9">
        <v>0.6</v>
      </c>
      <c r="U11" s="142">
        <v>1.9</v>
      </c>
    </row>
    <row r="12" spans="1:21" x14ac:dyDescent="0.35">
      <c r="B12" s="65" t="s">
        <v>136</v>
      </c>
      <c r="C12" s="16">
        <v>8.4</v>
      </c>
      <c r="D12" s="9">
        <f>C12+S12+T12</f>
        <v>8.6300000000000008</v>
      </c>
      <c r="E12" s="16">
        <f>(C12*(1/J$3))/F$3</f>
        <v>4.6122168840082356</v>
      </c>
      <c r="F12" s="8">
        <f>(D12/F$3)*(1/J$3)</f>
        <v>4.7385037748798906</v>
      </c>
      <c r="G12" s="99">
        <v>400</v>
      </c>
      <c r="H12" s="238">
        <v>5.9</v>
      </c>
      <c r="I12" s="94">
        <f>E12/G12</f>
        <v>1.1530542210020589E-2</v>
      </c>
      <c r="J12" s="66">
        <f>F12/G12</f>
        <v>1.1846259437199726E-2</v>
      </c>
      <c r="K12" s="94">
        <v>1.32E-2</v>
      </c>
      <c r="L12" s="96">
        <v>1.4200000000000001E-2</v>
      </c>
      <c r="M12" s="96">
        <v>1.6500000000000001E-2</v>
      </c>
      <c r="N12" s="41">
        <v>2.1000000000000001E-2</v>
      </c>
      <c r="O12" s="99">
        <f>G12*M12</f>
        <v>6.6000000000000005</v>
      </c>
      <c r="P12" s="167">
        <f>N12*G12</f>
        <v>8.4</v>
      </c>
      <c r="Q12" s="167"/>
      <c r="R12" s="138" t="s">
        <v>136</v>
      </c>
      <c r="S12" s="9">
        <v>0</v>
      </c>
      <c r="T12" s="9">
        <v>0.23</v>
      </c>
      <c r="U12" s="142">
        <v>0.72</v>
      </c>
    </row>
    <row r="13" spans="1:21" x14ac:dyDescent="0.35">
      <c r="B13" s="65" t="s">
        <v>138</v>
      </c>
      <c r="C13" s="16">
        <v>3.8</v>
      </c>
      <c r="D13" s="9">
        <f t="shared" si="0"/>
        <v>7.5699999999999994</v>
      </c>
      <c r="E13" s="16">
        <f t="shared" si="1"/>
        <v>2.0864790665751545</v>
      </c>
      <c r="F13" s="8">
        <f t="shared" si="2"/>
        <v>4.1564859299931358</v>
      </c>
      <c r="G13" s="99">
        <v>579</v>
      </c>
      <c r="H13" s="238">
        <v>5.5</v>
      </c>
      <c r="I13" s="94">
        <f t="shared" si="3"/>
        <v>3.6035907885581253E-3</v>
      </c>
      <c r="J13" s="66">
        <f t="shared" si="4"/>
        <v>7.1787321761539475E-3</v>
      </c>
      <c r="K13" s="94">
        <v>1.72E-2</v>
      </c>
      <c r="L13" s="96">
        <v>1.6400000000000001E-2</v>
      </c>
      <c r="M13" s="96">
        <v>1.67E-2</v>
      </c>
      <c r="N13" s="41">
        <v>0.02</v>
      </c>
      <c r="O13" s="99">
        <f>G13*M13</f>
        <v>9.6692999999999998</v>
      </c>
      <c r="P13" s="167">
        <f t="shared" si="5"/>
        <v>11.58</v>
      </c>
      <c r="Q13" s="167"/>
      <c r="R13" s="138" t="s">
        <v>138</v>
      </c>
      <c r="S13" s="9">
        <v>3.42</v>
      </c>
      <c r="T13" s="9">
        <v>0.35</v>
      </c>
      <c r="U13" s="142">
        <v>1.39</v>
      </c>
    </row>
    <row r="14" spans="1:21" x14ac:dyDescent="0.35">
      <c r="B14" s="7" t="s">
        <v>12</v>
      </c>
      <c r="C14" s="16">
        <v>0</v>
      </c>
      <c r="D14" s="9">
        <f t="shared" si="0"/>
        <v>7.46</v>
      </c>
      <c r="E14" s="16">
        <f t="shared" si="1"/>
        <v>0</v>
      </c>
      <c r="F14" s="8">
        <f t="shared" si="2"/>
        <v>4.0960878517501715</v>
      </c>
      <c r="G14" s="99">
        <v>4232</v>
      </c>
      <c r="H14" s="238">
        <v>124</v>
      </c>
      <c r="I14" s="94">
        <f t="shared" si="3"/>
        <v>0</v>
      </c>
      <c r="J14" s="41">
        <f t="shared" si="4"/>
        <v>9.6788465306005939E-4</v>
      </c>
      <c r="K14" s="94">
        <v>1.0200000000000001E-2</v>
      </c>
      <c r="L14" s="96">
        <v>1.0800000000000001E-2</v>
      </c>
      <c r="M14" s="126" t="s">
        <v>36</v>
      </c>
      <c r="N14" s="92">
        <v>1.2999999999999999E-2</v>
      </c>
      <c r="O14" s="99">
        <f>G14*L14</f>
        <v>45.705600000000004</v>
      </c>
      <c r="P14" s="167">
        <f t="shared" si="5"/>
        <v>55.015999999999998</v>
      </c>
      <c r="Q14" s="167"/>
      <c r="R14" s="104" t="s">
        <v>12</v>
      </c>
      <c r="S14" s="9">
        <v>5.55</v>
      </c>
      <c r="T14" s="9">
        <v>1.91</v>
      </c>
      <c r="U14" s="142">
        <v>0</v>
      </c>
    </row>
    <row r="15" spans="1:21" x14ac:dyDescent="0.35">
      <c r="B15" s="7" t="s">
        <v>139</v>
      </c>
      <c r="C15" s="16">
        <v>2.1</v>
      </c>
      <c r="D15" s="9">
        <f t="shared" si="0"/>
        <v>5.8000000000000007</v>
      </c>
      <c r="E15" s="16">
        <f t="shared" si="1"/>
        <v>1.1530542210020589</v>
      </c>
      <c r="F15" s="8">
        <f t="shared" si="2"/>
        <v>3.1846259437199724</v>
      </c>
      <c r="G15" s="99">
        <v>2138</v>
      </c>
      <c r="H15" s="238">
        <v>39.799999999999997</v>
      </c>
      <c r="I15" s="94">
        <f t="shared" si="3"/>
        <v>5.3931441581013041E-4</v>
      </c>
      <c r="J15" s="41">
        <f t="shared" si="4"/>
        <v>1.4895350531898843E-3</v>
      </c>
      <c r="K15" s="94">
        <v>1.2699999999999999E-2</v>
      </c>
      <c r="L15" s="96">
        <v>1.24E-2</v>
      </c>
      <c r="M15" s="96">
        <v>1.38E-2</v>
      </c>
      <c r="N15" s="41">
        <v>1.4999999999999999E-2</v>
      </c>
      <c r="O15" s="99">
        <f>G15*M15</f>
        <v>29.5044</v>
      </c>
      <c r="P15" s="167">
        <f t="shared" si="5"/>
        <v>32.07</v>
      </c>
      <c r="Q15" s="167"/>
      <c r="R15" s="104" t="s">
        <v>139</v>
      </c>
      <c r="S15" s="9">
        <v>3.43</v>
      </c>
      <c r="T15" s="9">
        <v>0.27</v>
      </c>
      <c r="U15" s="142">
        <v>0</v>
      </c>
    </row>
    <row r="16" spans="1:21" x14ac:dyDescent="0.35">
      <c r="B16" s="65" t="s">
        <v>141</v>
      </c>
      <c r="C16" s="16">
        <v>3</v>
      </c>
      <c r="D16" s="9">
        <f t="shared" si="0"/>
        <v>4.3</v>
      </c>
      <c r="E16" s="16">
        <f t="shared" si="1"/>
        <v>1.6472203157172272</v>
      </c>
      <c r="F16" s="8">
        <f t="shared" si="2"/>
        <v>2.3610157858613587</v>
      </c>
      <c r="G16" s="99">
        <v>688</v>
      </c>
      <c r="H16" s="238">
        <v>36.799999999999997</v>
      </c>
      <c r="I16" s="94">
        <f t="shared" si="3"/>
        <v>2.3942155751703882E-3</v>
      </c>
      <c r="J16" s="66">
        <f t="shared" si="4"/>
        <v>3.4317089910775563E-3</v>
      </c>
      <c r="K16" s="94">
        <v>2.2200000000000001E-2</v>
      </c>
      <c r="L16" s="96">
        <v>2.3900000000000001E-2</v>
      </c>
      <c r="M16" s="96">
        <v>3.9E-2</v>
      </c>
      <c r="N16" s="41">
        <v>4.2000000000000003E-2</v>
      </c>
      <c r="O16" s="99">
        <f>G16*M16</f>
        <v>26.832000000000001</v>
      </c>
      <c r="P16" s="167">
        <f t="shared" si="5"/>
        <v>28.896000000000001</v>
      </c>
      <c r="Q16" s="167"/>
      <c r="R16" s="138" t="s">
        <v>141</v>
      </c>
      <c r="S16" s="9">
        <v>0.92</v>
      </c>
      <c r="T16" s="9">
        <v>0.38</v>
      </c>
      <c r="U16" s="142">
        <v>20.73</v>
      </c>
    </row>
    <row r="17" spans="2:21" x14ac:dyDescent="0.35">
      <c r="B17" s="65" t="s">
        <v>137</v>
      </c>
      <c r="C17" s="16">
        <v>4.4000000000000004</v>
      </c>
      <c r="D17" s="9">
        <f t="shared" si="0"/>
        <v>6.17</v>
      </c>
      <c r="E17" s="16">
        <f t="shared" si="1"/>
        <v>2.4159231297186001</v>
      </c>
      <c r="F17" s="8">
        <f t="shared" si="2"/>
        <v>3.3877831159917635</v>
      </c>
      <c r="G17" s="99">
        <v>1009</v>
      </c>
      <c r="H17" s="238">
        <v>17.8</v>
      </c>
      <c r="I17" s="94">
        <f t="shared" si="3"/>
        <v>2.3943737658261646E-3</v>
      </c>
      <c r="J17" s="66">
        <f t="shared" si="4"/>
        <v>3.3575650307153255E-3</v>
      </c>
      <c r="K17" s="94">
        <v>1.38E-2</v>
      </c>
      <c r="L17" s="96">
        <v>1.5800000000000002E-2</v>
      </c>
      <c r="M17" s="96">
        <v>1.7000000000000001E-2</v>
      </c>
      <c r="N17" s="41">
        <v>2.1000000000000001E-2</v>
      </c>
      <c r="O17" s="99">
        <f>G17*M17</f>
        <v>17.153000000000002</v>
      </c>
      <c r="P17" s="167">
        <f t="shared" si="5"/>
        <v>21.189</v>
      </c>
      <c r="Q17" s="167"/>
      <c r="R17" s="138" t="s">
        <v>137</v>
      </c>
      <c r="S17" s="9">
        <v>1.05</v>
      </c>
      <c r="T17" s="9">
        <v>0.72</v>
      </c>
      <c r="U17" s="142">
        <v>2.42</v>
      </c>
    </row>
    <row r="18" spans="2:21" x14ac:dyDescent="0.35">
      <c r="B18" s="65" t="s">
        <v>135</v>
      </c>
      <c r="C18" s="16">
        <v>2</v>
      </c>
      <c r="D18" s="9">
        <f t="shared" si="0"/>
        <v>2.95</v>
      </c>
      <c r="E18" s="16">
        <f t="shared" si="1"/>
        <v>1.0981468771448182</v>
      </c>
      <c r="F18" s="8">
        <f t="shared" si="2"/>
        <v>1.6197666437886069</v>
      </c>
      <c r="G18" s="99">
        <v>591</v>
      </c>
      <c r="H18" s="238">
        <v>10.5</v>
      </c>
      <c r="I18" s="94">
        <f t="shared" si="3"/>
        <v>1.8581165433922474E-3</v>
      </c>
      <c r="J18" s="66">
        <f t="shared" si="4"/>
        <v>2.7407219015035652E-3</v>
      </c>
      <c r="K18" s="94">
        <v>1.2E-2</v>
      </c>
      <c r="L18" s="96">
        <v>1.2999999999999999E-2</v>
      </c>
      <c r="M18" s="126" t="s">
        <v>36</v>
      </c>
      <c r="N18" s="92">
        <v>2.1000000000000001E-2</v>
      </c>
      <c r="O18" s="99">
        <f>G18*L18</f>
        <v>7.6829999999999998</v>
      </c>
      <c r="P18" s="167">
        <f t="shared" si="5"/>
        <v>12.411000000000001</v>
      </c>
      <c r="Q18" s="167"/>
      <c r="R18" s="138" t="s">
        <v>135</v>
      </c>
      <c r="S18" s="9">
        <v>0.31</v>
      </c>
      <c r="T18" s="9">
        <v>0.64</v>
      </c>
      <c r="U18" s="142">
        <v>0.84</v>
      </c>
    </row>
    <row r="19" spans="2:21" x14ac:dyDescent="0.35">
      <c r="B19" s="7" t="s">
        <v>14</v>
      </c>
      <c r="C19" s="16">
        <v>0</v>
      </c>
      <c r="D19" s="9">
        <f t="shared" si="0"/>
        <v>2.2799999999999998</v>
      </c>
      <c r="E19" s="16">
        <f t="shared" si="1"/>
        <v>0</v>
      </c>
      <c r="F19" s="8">
        <f t="shared" si="2"/>
        <v>1.2518874399450926</v>
      </c>
      <c r="G19" s="99">
        <v>818</v>
      </c>
      <c r="H19" s="238">
        <v>8.8000000000000007</v>
      </c>
      <c r="I19" s="94">
        <f t="shared" si="3"/>
        <v>0</v>
      </c>
      <c r="J19" s="41">
        <f t="shared" si="4"/>
        <v>1.5304247432091596E-3</v>
      </c>
      <c r="K19" s="94">
        <v>7.7999999999999996E-3</v>
      </c>
      <c r="L19" s="96">
        <v>7.7000000000000002E-3</v>
      </c>
      <c r="M19" s="126" t="s">
        <v>36</v>
      </c>
      <c r="N19" s="92">
        <v>8.0000000000000002E-3</v>
      </c>
      <c r="O19" s="99">
        <f>G19*L19</f>
        <v>6.2986000000000004</v>
      </c>
      <c r="P19" s="167">
        <f t="shared" si="5"/>
        <v>6.5440000000000005</v>
      </c>
      <c r="Q19" s="167"/>
      <c r="R19" s="104" t="s">
        <v>14</v>
      </c>
      <c r="S19" s="9">
        <v>0</v>
      </c>
      <c r="T19" s="9">
        <v>2.2799999999999998</v>
      </c>
      <c r="U19" s="142">
        <v>2.2200000000000002</v>
      </c>
    </row>
    <row r="20" spans="2:21" x14ac:dyDescent="0.35">
      <c r="B20" s="7" t="s">
        <v>119</v>
      </c>
      <c r="C20" s="16">
        <v>0.64</v>
      </c>
      <c r="D20" s="9">
        <f t="shared" si="0"/>
        <v>1.7999999999999998</v>
      </c>
      <c r="E20" s="16">
        <f t="shared" si="1"/>
        <v>0.35140700068634179</v>
      </c>
      <c r="F20" s="8">
        <f t="shared" si="2"/>
        <v>0.98833218943033629</v>
      </c>
      <c r="G20" s="99">
        <v>2779</v>
      </c>
      <c r="H20" s="238">
        <v>68.099999999999994</v>
      </c>
      <c r="I20" s="94">
        <f t="shared" si="3"/>
        <v>1.2645088185906506E-4</v>
      </c>
      <c r="J20" s="41">
        <f t="shared" si="4"/>
        <v>3.5564310522862046E-4</v>
      </c>
      <c r="K20" s="94">
        <v>1.9199999999999998E-2</v>
      </c>
      <c r="L20" s="96">
        <v>1.9400000000000001E-2</v>
      </c>
      <c r="M20" s="96">
        <v>1.9E-2</v>
      </c>
      <c r="N20" s="41">
        <v>2.1000000000000001E-2</v>
      </c>
      <c r="O20" s="99">
        <f>G20*M20</f>
        <v>52.801000000000002</v>
      </c>
      <c r="P20" s="167">
        <f t="shared" si="5"/>
        <v>58.359000000000002</v>
      </c>
      <c r="Q20" s="167"/>
      <c r="R20" s="104" t="s">
        <v>119</v>
      </c>
      <c r="S20" s="9">
        <v>0.8</v>
      </c>
      <c r="T20" s="9">
        <v>0.36</v>
      </c>
      <c r="U20" s="142">
        <v>6.14</v>
      </c>
    </row>
    <row r="21" spans="2:21" x14ac:dyDescent="0.35">
      <c r="B21" s="65" t="s">
        <v>134</v>
      </c>
      <c r="C21" s="16">
        <v>1.64</v>
      </c>
      <c r="D21" s="9">
        <f t="shared" si="0"/>
        <v>1.91</v>
      </c>
      <c r="E21" s="16">
        <f t="shared" si="1"/>
        <v>0.90048043925875076</v>
      </c>
      <c r="F21" s="8">
        <f t="shared" si="2"/>
        <v>1.0487302676733012</v>
      </c>
      <c r="G21" s="99">
        <v>283</v>
      </c>
      <c r="H21" s="238">
        <v>5.6</v>
      </c>
      <c r="I21" s="94">
        <f t="shared" si="3"/>
        <v>3.1819096793595431E-3</v>
      </c>
      <c r="J21" s="66">
        <f t="shared" si="4"/>
        <v>3.7057606631565416E-3</v>
      </c>
      <c r="K21" s="94">
        <v>1.26E-2</v>
      </c>
      <c r="L21" s="96">
        <v>1.72E-2</v>
      </c>
      <c r="M21" s="96">
        <v>2.4500000000000001E-2</v>
      </c>
      <c r="N21" s="41">
        <v>0.03</v>
      </c>
      <c r="O21" s="99">
        <f>G21*M21</f>
        <v>6.9335000000000004</v>
      </c>
      <c r="P21" s="167">
        <f t="shared" si="5"/>
        <v>8.49</v>
      </c>
      <c r="Q21" s="167"/>
      <c r="R21" s="138" t="s">
        <v>134</v>
      </c>
      <c r="S21" s="9">
        <v>0.09</v>
      </c>
      <c r="T21" s="9">
        <v>0.18</v>
      </c>
      <c r="U21" s="142">
        <v>0.65</v>
      </c>
    </row>
    <row r="22" spans="2:21" x14ac:dyDescent="0.35">
      <c r="B22" s="65" t="s">
        <v>132</v>
      </c>
      <c r="C22" s="16">
        <v>1.26</v>
      </c>
      <c r="D22" s="9">
        <f t="shared" si="0"/>
        <v>1.33</v>
      </c>
      <c r="E22" s="16">
        <f t="shared" si="1"/>
        <v>0.69183253260123534</v>
      </c>
      <c r="F22" s="8">
        <f t="shared" si="2"/>
        <v>0.73026767330130415</v>
      </c>
      <c r="G22" s="99">
        <v>291</v>
      </c>
      <c r="H22" s="238">
        <v>10.4</v>
      </c>
      <c r="I22" s="94">
        <f t="shared" si="3"/>
        <v>2.3774313835093997E-3</v>
      </c>
      <c r="J22" s="66">
        <f t="shared" si="4"/>
        <v>2.5095109048154781E-3</v>
      </c>
      <c r="K22" s="94">
        <v>1.4E-2</v>
      </c>
      <c r="L22" s="96">
        <v>1.3599999999999999E-2</v>
      </c>
      <c r="M22" s="96">
        <v>1.4999999999999999E-2</v>
      </c>
      <c r="N22" s="41">
        <v>1.7000000000000001E-2</v>
      </c>
      <c r="O22" s="99">
        <f>G22*M22</f>
        <v>4.3650000000000002</v>
      </c>
      <c r="P22" s="167">
        <f t="shared" si="5"/>
        <v>4.9470000000000001</v>
      </c>
      <c r="Q22" s="167"/>
      <c r="R22" s="138" t="s">
        <v>132</v>
      </c>
      <c r="S22" s="9">
        <v>0</v>
      </c>
      <c r="T22" s="9">
        <v>7.0000000000000007E-2</v>
      </c>
      <c r="U22" s="25">
        <v>5.35</v>
      </c>
    </row>
    <row r="23" spans="2:21" ht="15" thickBot="1" x14ac:dyDescent="0.4">
      <c r="B23" s="7" t="s">
        <v>133</v>
      </c>
      <c r="C23" s="16">
        <v>0.67</v>
      </c>
      <c r="D23" s="9">
        <f t="shared" si="0"/>
        <v>1.3</v>
      </c>
      <c r="E23" s="16">
        <f t="shared" si="1"/>
        <v>0.36787920384351408</v>
      </c>
      <c r="F23" s="8">
        <f t="shared" si="2"/>
        <v>0.71379547014413181</v>
      </c>
      <c r="G23" s="99">
        <v>2050</v>
      </c>
      <c r="H23" s="238">
        <v>59</v>
      </c>
      <c r="I23" s="94">
        <f t="shared" si="3"/>
        <v>1.7945327016756783E-4</v>
      </c>
      <c r="J23" s="41">
        <f t="shared" si="4"/>
        <v>3.4819291226543012E-4</v>
      </c>
      <c r="K23" s="94">
        <v>1.72E-2</v>
      </c>
      <c r="L23" s="96">
        <v>1.6799999999999999E-2</v>
      </c>
      <c r="M23" s="96">
        <v>1.46E-2</v>
      </c>
      <c r="N23" s="41">
        <v>1.7000000000000001E-2</v>
      </c>
      <c r="O23" s="99">
        <f>G23*M23</f>
        <v>29.93</v>
      </c>
      <c r="P23" s="167">
        <f t="shared" si="5"/>
        <v>34.85</v>
      </c>
      <c r="Q23" s="167"/>
      <c r="R23" s="104" t="s">
        <v>133</v>
      </c>
      <c r="S23" s="9">
        <v>0.41</v>
      </c>
      <c r="T23" s="9">
        <v>0.22</v>
      </c>
      <c r="U23" s="142">
        <v>2.25</v>
      </c>
    </row>
    <row r="24" spans="2:21" ht="15" thickTop="1" x14ac:dyDescent="0.35">
      <c r="B24" s="207" t="s">
        <v>252</v>
      </c>
      <c r="C24" s="208">
        <f>SUM(C10:C13,C16:C18,C21:C22)</f>
        <v>51.29999999999999</v>
      </c>
      <c r="D24" s="209">
        <f>SUM(D10:D13,D16:D18,D21:D22)</f>
        <v>70.61999999999999</v>
      </c>
      <c r="E24" s="210">
        <f>SUM(E10:E13,E16:E18,E21:E22)</f>
        <v>28.167467398764582</v>
      </c>
      <c r="F24" s="211">
        <f>SUM(F10:F13,F16:F18,F21:F22)</f>
        <v>38.775566231983525</v>
      </c>
      <c r="G24" s="212">
        <f>G11+G13+G10+G16+G17+G12+G18+G21+G22</f>
        <v>11012</v>
      </c>
      <c r="H24" s="212">
        <f>H11+H13+H10+H16+H17+H12+H18+H21+H22</f>
        <v>245.41</v>
      </c>
      <c r="I24" s="244">
        <f>E24/G24</f>
        <v>2.5578884306905725E-3</v>
      </c>
      <c r="J24" s="213">
        <f>F24/G24</f>
        <v>3.5212101554652673E-3</v>
      </c>
      <c r="K24" s="214" t="s">
        <v>36</v>
      </c>
      <c r="L24" s="215" t="s">
        <v>36</v>
      </c>
      <c r="M24" s="215">
        <f>O24/G24</f>
        <v>1.8821785325099889E-2</v>
      </c>
      <c r="N24" s="216">
        <f>P24/G24</f>
        <v>2.1161768979295319E-2</v>
      </c>
      <c r="O24" s="217">
        <f>SUM(,O10:O13,O16:O18,O21:O22)</f>
        <v>207.26549999999997</v>
      </c>
      <c r="P24" s="218">
        <f>SUM(P10:P13,P16:P18,P21:P22)</f>
        <v>233.03340000000006</v>
      </c>
      <c r="Q24" s="168"/>
      <c r="R24" s="139" t="s">
        <v>91</v>
      </c>
      <c r="S24" s="82">
        <f>SUM(S8,S10:S13,S16:S18,S21:S22)</f>
        <v>90.4</v>
      </c>
      <c r="T24" s="82">
        <f>SUM(T8,T10:T13,T16:T18,T21:T22)</f>
        <v>8.33</v>
      </c>
      <c r="U24" s="83">
        <f>SUM(U8,U10:U13,U16:U18,U21:U22)</f>
        <v>55.440000000000005</v>
      </c>
    </row>
    <row r="25" spans="2:21" x14ac:dyDescent="0.35">
      <c r="B25" s="7" t="s">
        <v>92</v>
      </c>
      <c r="C25" s="16">
        <f>SUM(C8:C23)-C9</f>
        <v>60.31</v>
      </c>
      <c r="D25" s="9">
        <f>SUM(D8:D23)-D9</f>
        <v>174.27</v>
      </c>
      <c r="E25" s="44">
        <f>SUM(E8:E23)-E9</f>
        <v>33.114619080301978</v>
      </c>
      <c r="F25" s="81">
        <f>SUM(F8:F23)-F9</f>
        <v>95.687028140013723</v>
      </c>
      <c r="G25" s="100">
        <f>G8+G11+G13+G14+G15+G19</f>
        <v>30206</v>
      </c>
      <c r="H25" s="237">
        <f>H8+H11+H13+H14+H15+H19</f>
        <v>694.6099999999999</v>
      </c>
      <c r="I25" s="206">
        <f t="shared" si="3"/>
        <v>1.0962927590644897E-3</v>
      </c>
      <c r="J25" s="45">
        <f>F25/G25</f>
        <v>3.1678152731249992E-3</v>
      </c>
      <c r="K25" s="127" t="s">
        <v>36</v>
      </c>
      <c r="L25" s="128" t="s">
        <v>36</v>
      </c>
      <c r="M25" s="128">
        <f>O25/G25</f>
        <v>1.2400844575779843E-2</v>
      </c>
      <c r="N25" s="98">
        <f>P25/G25</f>
        <v>1.4002092672184514E-2</v>
      </c>
      <c r="O25" s="100">
        <f>SUM(O8:O23)-O9</f>
        <v>374.57991125600597</v>
      </c>
      <c r="P25" s="168">
        <f>SUM(P8:P23)-P9</f>
        <v>422.9472112560054</v>
      </c>
      <c r="Q25" s="167"/>
      <c r="R25" s="104" t="s">
        <v>92</v>
      </c>
      <c r="S25" s="9">
        <f>SUM(S8:S23)-S9</f>
        <v>100.59</v>
      </c>
      <c r="T25" s="9">
        <f>SUM(T8:T23)-T9</f>
        <v>13.370000000000001</v>
      </c>
      <c r="U25" s="143">
        <f>SUM(U8:U23)-U9</f>
        <v>66.050000000000011</v>
      </c>
    </row>
    <row r="26" spans="2:21" ht="15" thickBot="1" x14ac:dyDescent="0.4">
      <c r="B26" s="7" t="s">
        <v>93</v>
      </c>
      <c r="C26" s="16">
        <f>SUM(C8:C23)</f>
        <v>102.51</v>
      </c>
      <c r="D26" s="9">
        <f>SUM(D8:D23)</f>
        <v>241.92000000000002</v>
      </c>
      <c r="E26" s="16">
        <f>SUM(E8:E23)</f>
        <v>56.285518188057644</v>
      </c>
      <c r="F26" s="9">
        <f>SUM(F8:F23)</f>
        <v>132.83184625943719</v>
      </c>
      <c r="G26" s="99">
        <f>G25+G9</f>
        <v>55646</v>
      </c>
      <c r="H26" s="160">
        <f>H25+H9</f>
        <v>1029.6099999999999</v>
      </c>
      <c r="I26" s="94">
        <f t="shared" si="3"/>
        <v>1.0114926174039039E-3</v>
      </c>
      <c r="J26" s="41">
        <f>F26/G26</f>
        <v>2.3870870549444196E-3</v>
      </c>
      <c r="K26" s="204" t="s">
        <v>36</v>
      </c>
      <c r="L26" s="126" t="s">
        <v>36</v>
      </c>
      <c r="M26" s="126">
        <f>O26/G26</f>
        <v>2.2686912109693525E-2</v>
      </c>
      <c r="N26" s="135">
        <f>P26/G26</f>
        <v>2.3601826029831532E-2</v>
      </c>
      <c r="O26" s="129">
        <f>SUM(O8:O23)</f>
        <v>1262.435911256006</v>
      </c>
      <c r="P26" s="169">
        <f>SUM(P8:P23)</f>
        <v>1313.3472112560055</v>
      </c>
      <c r="Q26" s="168"/>
      <c r="R26" s="104" t="s">
        <v>93</v>
      </c>
      <c r="S26" s="81">
        <f>SUM(S8:S23)</f>
        <v>124.59</v>
      </c>
      <c r="T26" s="81">
        <f>SUM(T8:T23)</f>
        <v>14.82</v>
      </c>
      <c r="U26" s="144">
        <f>SUM(U8:U23)</f>
        <v>66.050000000000011</v>
      </c>
    </row>
    <row r="27" spans="2:21" ht="15" thickTop="1" x14ac:dyDescent="0.35">
      <c r="B27" s="15" t="s">
        <v>123</v>
      </c>
      <c r="C27" s="151" t="s">
        <v>36</v>
      </c>
      <c r="D27" s="79" t="s">
        <v>36</v>
      </c>
      <c r="E27" s="151" t="s">
        <v>36</v>
      </c>
      <c r="F27" s="113" t="s">
        <v>36</v>
      </c>
      <c r="G27" s="101">
        <v>2240</v>
      </c>
      <c r="H27" s="240">
        <v>144.6</v>
      </c>
      <c r="I27" s="151" t="s">
        <v>36</v>
      </c>
      <c r="J27" s="114" t="s">
        <v>36</v>
      </c>
      <c r="K27" s="115">
        <v>3.7199999999999997E-2</v>
      </c>
      <c r="L27" s="116">
        <v>4.0599999999999997E-2</v>
      </c>
      <c r="M27" s="116">
        <f>O27/G27</f>
        <v>7.1428571428571425E-2</v>
      </c>
      <c r="N27" s="45">
        <v>0.107</v>
      </c>
      <c r="O27" s="100">
        <v>160</v>
      </c>
      <c r="P27" s="168">
        <f>G27*N27</f>
        <v>239.68</v>
      </c>
      <c r="Q27" s="168"/>
      <c r="R27" s="80" t="s">
        <v>123</v>
      </c>
      <c r="S27" s="91" t="s">
        <v>36</v>
      </c>
      <c r="T27" s="91" t="s">
        <v>36</v>
      </c>
      <c r="U27" s="145" t="s">
        <v>36</v>
      </c>
    </row>
    <row r="28" spans="2:21" x14ac:dyDescent="0.35">
      <c r="B28" s="7" t="s">
        <v>124</v>
      </c>
      <c r="C28" s="152" t="s">
        <v>36</v>
      </c>
      <c r="D28" s="119" t="s">
        <v>36</v>
      </c>
      <c r="E28" s="205" t="s">
        <v>36</v>
      </c>
      <c r="F28" s="118" t="s">
        <v>36</v>
      </c>
      <c r="G28" s="100">
        <v>161</v>
      </c>
      <c r="H28" s="239">
        <v>41</v>
      </c>
      <c r="I28" s="205" t="s">
        <v>36</v>
      </c>
      <c r="J28" s="98" t="s">
        <v>36</v>
      </c>
      <c r="K28" s="206">
        <v>3.2300000000000002E-2</v>
      </c>
      <c r="L28" s="95">
        <v>0.33550000000000002</v>
      </c>
      <c r="M28" s="95">
        <v>0.26600000000000001</v>
      </c>
      <c r="N28" s="45">
        <v>0.31</v>
      </c>
      <c r="O28" s="100">
        <f>M28*G28</f>
        <v>42.826000000000001</v>
      </c>
      <c r="P28" s="168">
        <f>G28*N28</f>
        <v>49.91</v>
      </c>
      <c r="Q28" s="168"/>
      <c r="R28" s="104" t="s">
        <v>124</v>
      </c>
      <c r="S28" s="119" t="s">
        <v>36</v>
      </c>
      <c r="T28" s="119" t="s">
        <v>36</v>
      </c>
      <c r="U28" s="146" t="s">
        <v>36</v>
      </c>
    </row>
    <row r="29" spans="2:21" x14ac:dyDescent="0.35">
      <c r="B29" s="7" t="s">
        <v>254</v>
      </c>
      <c r="C29" s="152" t="s">
        <v>36</v>
      </c>
      <c r="D29" s="119" t="s">
        <v>36</v>
      </c>
      <c r="E29" s="205" t="s">
        <v>36</v>
      </c>
      <c r="F29" s="118" t="s">
        <v>36</v>
      </c>
      <c r="G29" s="227" t="s">
        <v>36</v>
      </c>
      <c r="H29" s="241" t="s">
        <v>36</v>
      </c>
      <c r="I29" s="205" t="s">
        <v>36</v>
      </c>
      <c r="J29" s="229" t="s">
        <v>36</v>
      </c>
      <c r="K29" s="227" t="s">
        <v>36</v>
      </c>
      <c r="L29" s="228" t="s">
        <v>36</v>
      </c>
      <c r="M29" s="228" t="s">
        <v>36</v>
      </c>
      <c r="N29" s="229" t="s">
        <v>36</v>
      </c>
      <c r="O29" s="100">
        <f>O28+E26</f>
        <v>99.111518188057644</v>
      </c>
      <c r="P29" s="168">
        <f>P28+E25</f>
        <v>83.024619080301974</v>
      </c>
      <c r="Q29" s="168"/>
      <c r="R29" s="104"/>
      <c r="S29" s="119"/>
      <c r="T29" s="119"/>
      <c r="U29" s="146"/>
    </row>
    <row r="30" spans="2:21" ht="15" thickBot="1" x14ac:dyDescent="0.4">
      <c r="B30" s="13" t="s">
        <v>253</v>
      </c>
      <c r="C30" s="157" t="s">
        <v>36</v>
      </c>
      <c r="D30" s="109" t="s">
        <v>36</v>
      </c>
      <c r="E30" s="158" t="s">
        <v>36</v>
      </c>
      <c r="F30" s="107" t="s">
        <v>36</v>
      </c>
      <c r="G30" s="230" t="s">
        <v>36</v>
      </c>
      <c r="H30" s="242" t="s">
        <v>36</v>
      </c>
      <c r="I30" s="158" t="s">
        <v>36</v>
      </c>
      <c r="J30" s="232" t="s">
        <v>36</v>
      </c>
      <c r="K30" s="230" t="s">
        <v>36</v>
      </c>
      <c r="L30" s="231" t="s">
        <v>36</v>
      </c>
      <c r="M30" s="231" t="s">
        <v>36</v>
      </c>
      <c r="N30" s="232" t="s">
        <v>36</v>
      </c>
      <c r="O30" s="233">
        <f>O29/O27</f>
        <v>0.6194469886753603</v>
      </c>
      <c r="P30" s="234">
        <f>P29/P27</f>
        <v>0.34639777653664039</v>
      </c>
      <c r="Q30" s="168"/>
      <c r="R30" s="104"/>
      <c r="S30" s="119"/>
      <c r="T30" s="119"/>
      <c r="U30" s="146"/>
    </row>
    <row r="31" spans="2:21" ht="15" thickTop="1" x14ac:dyDescent="0.35">
      <c r="B31" s="7" t="s">
        <v>125</v>
      </c>
      <c r="C31" s="150" t="s">
        <v>36</v>
      </c>
      <c r="D31" s="42" t="s">
        <v>36</v>
      </c>
      <c r="E31" s="155" t="s">
        <v>36</v>
      </c>
      <c r="F31" s="70" t="s">
        <v>36</v>
      </c>
      <c r="G31" s="99">
        <v>525</v>
      </c>
      <c r="H31" s="238"/>
      <c r="I31" s="155" t="s">
        <v>36</v>
      </c>
      <c r="J31" s="92" t="s">
        <v>36</v>
      </c>
      <c r="K31" s="94">
        <v>4.9799999999999997E-2</v>
      </c>
      <c r="L31" s="96">
        <v>4.5100000000000001E-2</v>
      </c>
      <c r="M31" s="96" t="s">
        <v>36</v>
      </c>
      <c r="N31" s="41">
        <v>5.5E-2</v>
      </c>
      <c r="O31" s="99">
        <f>G31*L31</f>
        <v>23.677500000000002</v>
      </c>
      <c r="P31" s="167">
        <f>G31*N31</f>
        <v>28.875</v>
      </c>
      <c r="Q31" s="167"/>
      <c r="R31" s="104" t="s">
        <v>125</v>
      </c>
      <c r="S31" s="42" t="s">
        <v>36</v>
      </c>
      <c r="T31" s="42" t="s">
        <v>36</v>
      </c>
      <c r="U31" s="147" t="s">
        <v>36</v>
      </c>
    </row>
    <row r="32" spans="2:21" x14ac:dyDescent="0.35">
      <c r="B32" s="7" t="s">
        <v>261</v>
      </c>
      <c r="C32" s="150" t="s">
        <v>36</v>
      </c>
      <c r="D32" s="42" t="s">
        <v>36</v>
      </c>
      <c r="E32" s="155" t="s">
        <v>36</v>
      </c>
      <c r="F32" s="70" t="s">
        <v>36</v>
      </c>
      <c r="G32" s="99">
        <v>413</v>
      </c>
      <c r="H32" s="238"/>
      <c r="I32" s="155" t="s">
        <v>36</v>
      </c>
      <c r="J32" s="92" t="s">
        <v>36</v>
      </c>
      <c r="K32" s="94">
        <v>2.1899999999999999E-2</v>
      </c>
      <c r="L32" s="96">
        <v>2.5899999999999999E-2</v>
      </c>
      <c r="M32" s="96" t="s">
        <v>36</v>
      </c>
      <c r="N32" s="41">
        <v>0.03</v>
      </c>
      <c r="O32" s="99">
        <f t="shared" ref="O32:O38" si="6">G32*L32</f>
        <v>10.6967</v>
      </c>
      <c r="P32" s="167">
        <f t="shared" ref="P32:P38" si="7">G32*N32</f>
        <v>12.389999999999999</v>
      </c>
      <c r="Q32" s="167"/>
      <c r="R32" s="104" t="s">
        <v>130</v>
      </c>
      <c r="S32" s="42" t="s">
        <v>36</v>
      </c>
      <c r="T32" s="42" t="s">
        <v>36</v>
      </c>
      <c r="U32" s="147" t="s">
        <v>36</v>
      </c>
    </row>
    <row r="33" spans="2:22" x14ac:dyDescent="0.35">
      <c r="B33" s="7" t="s">
        <v>126</v>
      </c>
      <c r="C33" s="150" t="s">
        <v>36</v>
      </c>
      <c r="D33" s="42" t="s">
        <v>36</v>
      </c>
      <c r="E33" s="155" t="s">
        <v>36</v>
      </c>
      <c r="F33" s="70" t="s">
        <v>36</v>
      </c>
      <c r="G33" s="99">
        <v>20</v>
      </c>
      <c r="H33" s="238"/>
      <c r="I33" s="155" t="s">
        <v>36</v>
      </c>
      <c r="J33" s="92" t="s">
        <v>36</v>
      </c>
      <c r="K33" s="94">
        <v>0.24</v>
      </c>
      <c r="L33" s="96">
        <v>0.33400000000000002</v>
      </c>
      <c r="M33" s="96" t="s">
        <v>36</v>
      </c>
      <c r="N33" s="41">
        <v>0.33300000000000002</v>
      </c>
      <c r="O33" s="99">
        <f t="shared" si="6"/>
        <v>6.6800000000000006</v>
      </c>
      <c r="P33" s="167">
        <f t="shared" si="7"/>
        <v>6.66</v>
      </c>
      <c r="Q33" s="167"/>
      <c r="R33" s="104" t="s">
        <v>126</v>
      </c>
      <c r="S33" s="42" t="s">
        <v>36</v>
      </c>
      <c r="T33" s="42" t="s">
        <v>36</v>
      </c>
      <c r="U33" s="147" t="s">
        <v>36</v>
      </c>
    </row>
    <row r="34" spans="2:22" x14ac:dyDescent="0.35">
      <c r="B34" s="7" t="s">
        <v>129</v>
      </c>
      <c r="C34" s="150" t="s">
        <v>36</v>
      </c>
      <c r="D34" s="42" t="s">
        <v>36</v>
      </c>
      <c r="E34" s="155" t="s">
        <v>36</v>
      </c>
      <c r="F34" s="70" t="s">
        <v>36</v>
      </c>
      <c r="G34" s="99">
        <v>375</v>
      </c>
      <c r="H34" s="238"/>
      <c r="I34" s="155" t="s">
        <v>36</v>
      </c>
      <c r="J34" s="92" t="s">
        <v>36</v>
      </c>
      <c r="K34" s="94">
        <v>2.87E-2</v>
      </c>
      <c r="L34" s="96">
        <v>2.63E-2</v>
      </c>
      <c r="M34" s="96" t="s">
        <v>36</v>
      </c>
      <c r="N34" s="41">
        <v>2.63E-2</v>
      </c>
      <c r="O34" s="99">
        <f t="shared" si="6"/>
        <v>9.8625000000000007</v>
      </c>
      <c r="P34" s="167">
        <f t="shared" si="7"/>
        <v>9.8625000000000007</v>
      </c>
      <c r="Q34" s="167"/>
      <c r="R34" s="104" t="s">
        <v>129</v>
      </c>
      <c r="S34" s="42" t="s">
        <v>36</v>
      </c>
      <c r="T34" s="42" t="s">
        <v>36</v>
      </c>
      <c r="U34" s="147" t="s">
        <v>36</v>
      </c>
    </row>
    <row r="35" spans="2:22" x14ac:dyDescent="0.35">
      <c r="B35" s="7" t="s">
        <v>127</v>
      </c>
      <c r="C35" s="150" t="s">
        <v>36</v>
      </c>
      <c r="D35" s="42" t="s">
        <v>36</v>
      </c>
      <c r="E35" s="155" t="s">
        <v>36</v>
      </c>
      <c r="F35" s="70" t="s">
        <v>36</v>
      </c>
      <c r="G35" s="99">
        <v>3417</v>
      </c>
      <c r="H35" s="238"/>
      <c r="I35" s="155" t="s">
        <v>36</v>
      </c>
      <c r="J35" s="92" t="s">
        <v>36</v>
      </c>
      <c r="K35" s="94">
        <v>2.47E-2</v>
      </c>
      <c r="L35" s="96">
        <v>2.4299999999999999E-2</v>
      </c>
      <c r="M35" s="96" t="s">
        <v>36</v>
      </c>
      <c r="N35" s="41">
        <f>L35</f>
        <v>2.4299999999999999E-2</v>
      </c>
      <c r="O35" s="99">
        <f t="shared" si="6"/>
        <v>83.03309999999999</v>
      </c>
      <c r="P35" s="167">
        <f>G35*N35</f>
        <v>83.03309999999999</v>
      </c>
      <c r="Q35" s="167"/>
      <c r="R35" s="104" t="s">
        <v>127</v>
      </c>
      <c r="S35" s="42" t="s">
        <v>36</v>
      </c>
      <c r="T35" s="42" t="s">
        <v>36</v>
      </c>
      <c r="U35" s="147" t="s">
        <v>36</v>
      </c>
    </row>
    <row r="36" spans="2:22" x14ac:dyDescent="0.35">
      <c r="B36" s="7" t="s">
        <v>258</v>
      </c>
      <c r="C36" s="150" t="s">
        <v>36</v>
      </c>
      <c r="D36" s="42" t="s">
        <v>36</v>
      </c>
      <c r="E36" s="155" t="s">
        <v>36</v>
      </c>
      <c r="F36" s="70" t="s">
        <v>36</v>
      </c>
      <c r="G36" s="99">
        <v>907</v>
      </c>
      <c r="H36" s="238"/>
      <c r="I36" s="155" t="s">
        <v>36</v>
      </c>
      <c r="J36" s="92" t="s">
        <v>36</v>
      </c>
      <c r="K36" s="94">
        <v>1.9E-2</v>
      </c>
      <c r="L36" s="96">
        <v>1.23E-2</v>
      </c>
      <c r="M36" s="96">
        <v>1.3100000000000001E-2</v>
      </c>
      <c r="N36" s="41">
        <v>1.3100000000000001E-2</v>
      </c>
      <c r="O36" s="99">
        <f>G36*M36</f>
        <v>11.8817</v>
      </c>
      <c r="P36" s="167">
        <f>G36*N36</f>
        <v>11.8817</v>
      </c>
      <c r="Q36" s="167"/>
      <c r="R36" s="104"/>
      <c r="S36" s="42"/>
      <c r="T36" s="42"/>
      <c r="U36" s="147"/>
    </row>
    <row r="37" spans="2:22" x14ac:dyDescent="0.35">
      <c r="B37" s="7" t="s">
        <v>154</v>
      </c>
      <c r="C37" s="150" t="s">
        <v>36</v>
      </c>
      <c r="D37" s="42" t="s">
        <v>36</v>
      </c>
      <c r="E37" s="155" t="s">
        <v>36</v>
      </c>
      <c r="F37" s="70" t="s">
        <v>36</v>
      </c>
      <c r="G37" s="99">
        <v>775</v>
      </c>
      <c r="H37" s="238"/>
      <c r="I37" s="155" t="s">
        <v>36</v>
      </c>
      <c r="J37" s="92" t="s">
        <v>36</v>
      </c>
      <c r="K37" s="94">
        <v>1.7100000000000001E-2</v>
      </c>
      <c r="L37" s="96">
        <v>1.6E-2</v>
      </c>
      <c r="M37" s="96" t="s">
        <v>36</v>
      </c>
      <c r="N37" s="41">
        <v>0.02</v>
      </c>
      <c r="O37" s="99">
        <f t="shared" si="6"/>
        <v>12.4</v>
      </c>
      <c r="P37" s="167">
        <f t="shared" si="7"/>
        <v>15.5</v>
      </c>
      <c r="Q37" s="167"/>
      <c r="R37" s="104" t="s">
        <v>154</v>
      </c>
      <c r="S37" s="42" t="s">
        <v>36</v>
      </c>
      <c r="T37" s="42" t="s">
        <v>36</v>
      </c>
      <c r="U37" s="147" t="s">
        <v>36</v>
      </c>
    </row>
    <row r="38" spans="2:22" ht="15" thickBot="1" x14ac:dyDescent="0.4">
      <c r="B38" s="13" t="s">
        <v>128</v>
      </c>
      <c r="C38" s="153" t="s">
        <v>36</v>
      </c>
      <c r="D38" s="108" t="s">
        <v>36</v>
      </c>
      <c r="E38" s="156" t="s">
        <v>36</v>
      </c>
      <c r="F38" s="68" t="s">
        <v>36</v>
      </c>
      <c r="G38" s="129">
        <v>17963</v>
      </c>
      <c r="H38" s="243"/>
      <c r="I38" s="156" t="s">
        <v>36</v>
      </c>
      <c r="J38" s="135" t="s">
        <v>36</v>
      </c>
      <c r="K38" s="130">
        <v>1.61E-2</v>
      </c>
      <c r="L38" s="131">
        <v>1.6E-2</v>
      </c>
      <c r="M38" s="131" t="s">
        <v>36</v>
      </c>
      <c r="N38" s="132">
        <v>1.7500000000000002E-2</v>
      </c>
      <c r="O38" s="129">
        <f t="shared" si="6"/>
        <v>287.40800000000002</v>
      </c>
      <c r="P38" s="169">
        <f t="shared" si="7"/>
        <v>314.35250000000002</v>
      </c>
      <c r="Q38" s="167"/>
      <c r="R38" s="106" t="s">
        <v>128</v>
      </c>
      <c r="S38" s="108" t="s">
        <v>36</v>
      </c>
      <c r="T38" s="108" t="s">
        <v>36</v>
      </c>
      <c r="U38" s="148" t="s">
        <v>36</v>
      </c>
    </row>
    <row r="39" spans="2:22" ht="15" thickTop="1" x14ac:dyDescent="0.35">
      <c r="B39" s="3"/>
      <c r="C39" s="117"/>
      <c r="D39" s="119"/>
      <c r="E39" s="118"/>
      <c r="F39" s="118"/>
      <c r="G39" s="133"/>
      <c r="H39" s="133"/>
      <c r="I39" s="133"/>
      <c r="J39" s="128"/>
      <c r="K39" s="95"/>
      <c r="L39" s="95"/>
      <c r="M39" s="95"/>
      <c r="N39" s="95"/>
      <c r="O39" s="133"/>
      <c r="P39" s="133"/>
      <c r="Q39" s="133"/>
      <c r="S39" s="119"/>
      <c r="T39" s="119"/>
      <c r="U39" s="119"/>
    </row>
    <row r="42" spans="2:22" ht="15" thickBot="1" x14ac:dyDescent="0.4">
      <c r="B42" s="3" t="s">
        <v>22</v>
      </c>
      <c r="C42" s="3"/>
      <c r="E42" s="3"/>
      <c r="S42" s="3"/>
      <c r="T42" s="3"/>
    </row>
    <row r="43" spans="2:22" ht="15" thickTop="1" x14ac:dyDescent="0.35">
      <c r="B43" s="5"/>
      <c r="C43" s="15" t="s">
        <v>170</v>
      </c>
      <c r="D43" s="6"/>
      <c r="E43" s="15" t="s">
        <v>9</v>
      </c>
      <c r="F43" s="6" t="s">
        <v>9</v>
      </c>
      <c r="G43" s="15" t="s">
        <v>24</v>
      </c>
      <c r="H43" s="6" t="s">
        <v>259</v>
      </c>
      <c r="I43" s="15" t="s">
        <v>167</v>
      </c>
      <c r="J43" s="39" t="s">
        <v>167</v>
      </c>
      <c r="K43" s="80" t="s">
        <v>97</v>
      </c>
      <c r="L43" s="80"/>
      <c r="M43" s="15"/>
      <c r="N43" s="39"/>
      <c r="O43" s="163" t="s">
        <v>251</v>
      </c>
      <c r="P43" s="103"/>
      <c r="Q43" s="141"/>
      <c r="R43" s="137"/>
      <c r="S43" s="6" t="s">
        <v>87</v>
      </c>
      <c r="T43" s="6"/>
      <c r="U43" s="6"/>
    </row>
    <row r="44" spans="2:22" x14ac:dyDescent="0.35">
      <c r="B44" s="51"/>
      <c r="C44" s="7" t="s">
        <v>162</v>
      </c>
      <c r="D44" s="3" t="s">
        <v>168</v>
      </c>
      <c r="E44" s="7" t="s">
        <v>162</v>
      </c>
      <c r="F44" s="3" t="s">
        <v>165</v>
      </c>
      <c r="G44" s="7" t="s">
        <v>166</v>
      </c>
      <c r="H44" s="235" t="s">
        <v>266</v>
      </c>
      <c r="I44" s="7" t="s">
        <v>172</v>
      </c>
      <c r="J44" s="140" t="s">
        <v>171</v>
      </c>
      <c r="K44" s="7"/>
      <c r="L44" s="3"/>
      <c r="M44" s="3"/>
      <c r="N44" s="140" t="s">
        <v>173</v>
      </c>
      <c r="O44" s="165" t="s">
        <v>175</v>
      </c>
      <c r="P44" s="141"/>
      <c r="Q44" s="141"/>
      <c r="R44" s="123"/>
      <c r="S44" s="3"/>
      <c r="T44" s="3"/>
      <c r="U44" s="3"/>
    </row>
    <row r="45" spans="2:22" ht="15" thickBot="1" x14ac:dyDescent="0.4">
      <c r="B45" s="17"/>
      <c r="C45" s="13"/>
      <c r="D45" s="18" t="s">
        <v>169</v>
      </c>
      <c r="E45" s="13" t="s">
        <v>163</v>
      </c>
      <c r="F45" s="18" t="s">
        <v>163</v>
      </c>
      <c r="G45" s="13" t="s">
        <v>163</v>
      </c>
      <c r="H45" s="18" t="s">
        <v>260</v>
      </c>
      <c r="I45" s="13" t="s">
        <v>35</v>
      </c>
      <c r="J45" s="40" t="s">
        <v>35</v>
      </c>
      <c r="K45" s="13">
        <v>2021</v>
      </c>
      <c r="L45" s="18">
        <v>2022</v>
      </c>
      <c r="M45" s="18">
        <v>2023</v>
      </c>
      <c r="N45" s="40">
        <v>2024</v>
      </c>
      <c r="O45" s="13">
        <v>2023</v>
      </c>
      <c r="P45" s="40">
        <v>2024</v>
      </c>
      <c r="Q45" s="104"/>
      <c r="R45" s="112"/>
      <c r="S45" s="18" t="s">
        <v>88</v>
      </c>
      <c r="T45" s="18" t="s">
        <v>89</v>
      </c>
      <c r="U45" s="18" t="s">
        <v>90</v>
      </c>
      <c r="V45" s="3" t="s">
        <v>36</v>
      </c>
    </row>
    <row r="46" spans="2:22" ht="15" thickTop="1" x14ac:dyDescent="0.35">
      <c r="B46" s="65" t="s">
        <v>43</v>
      </c>
      <c r="C46" s="15"/>
      <c r="D46" s="23" t="s">
        <v>26</v>
      </c>
      <c r="E46" s="6"/>
      <c r="F46" s="69" t="s">
        <v>25</v>
      </c>
      <c r="G46" s="29" t="s">
        <v>76</v>
      </c>
      <c r="H46" s="161" t="s">
        <v>263</v>
      </c>
      <c r="I46" s="5" t="s">
        <v>37</v>
      </c>
      <c r="J46" s="24" t="s">
        <v>37</v>
      </c>
      <c r="K46" s="124" t="s">
        <v>36</v>
      </c>
      <c r="L46" s="125" t="s">
        <v>36</v>
      </c>
      <c r="M46" s="126" t="s">
        <v>36</v>
      </c>
      <c r="N46" s="164" t="s">
        <v>36</v>
      </c>
      <c r="O46" s="105" t="s">
        <v>94</v>
      </c>
      <c r="P46" s="105" t="s">
        <v>94</v>
      </c>
      <c r="Q46" s="105"/>
      <c r="R46" s="138" t="s">
        <v>43</v>
      </c>
      <c r="S46" t="s">
        <v>26</v>
      </c>
      <c r="T46" t="s">
        <v>26</v>
      </c>
      <c r="U46" t="s">
        <v>26</v>
      </c>
      <c r="V46" s="3" t="s">
        <v>36</v>
      </c>
    </row>
    <row r="47" spans="2:22" x14ac:dyDescent="0.35">
      <c r="B47" s="7" t="s">
        <v>111</v>
      </c>
      <c r="C47" s="85" t="s">
        <v>26</v>
      </c>
      <c r="D47" s="84" t="s">
        <v>26</v>
      </c>
      <c r="E47" s="20"/>
      <c r="F47" s="70" t="s">
        <v>25</v>
      </c>
      <c r="G47" s="85" t="s">
        <v>38</v>
      </c>
      <c r="H47" s="20" t="s">
        <v>262</v>
      </c>
      <c r="I47" s="51" t="s">
        <v>37</v>
      </c>
      <c r="J47" s="25" t="s">
        <v>37</v>
      </c>
      <c r="K47" s="51" t="s">
        <v>99</v>
      </c>
      <c r="L47" t="s">
        <v>99</v>
      </c>
      <c r="M47" s="224" t="s">
        <v>96</v>
      </c>
      <c r="N47" s="41" t="s">
        <v>173</v>
      </c>
      <c r="O47" s="105" t="s">
        <v>37</v>
      </c>
      <c r="P47" s="105" t="s">
        <v>37</v>
      </c>
      <c r="Q47" s="105"/>
      <c r="R47" s="104" t="s">
        <v>131</v>
      </c>
      <c r="S47" t="s">
        <v>26</v>
      </c>
      <c r="T47" t="s">
        <v>26</v>
      </c>
      <c r="U47" t="s">
        <v>26</v>
      </c>
      <c r="V47" s="3" t="s">
        <v>36</v>
      </c>
    </row>
    <row r="48" spans="2:22" x14ac:dyDescent="0.35">
      <c r="B48" s="65" t="s">
        <v>110</v>
      </c>
      <c r="C48" s="85" t="s">
        <v>26</v>
      </c>
      <c r="D48" s="26" t="s">
        <v>26</v>
      </c>
      <c r="E48" s="20"/>
      <c r="F48" s="70" t="s">
        <v>25</v>
      </c>
      <c r="G48" s="31" t="s">
        <v>39</v>
      </c>
      <c r="H48" s="97" t="s">
        <v>264</v>
      </c>
      <c r="I48" s="51" t="s">
        <v>37</v>
      </c>
      <c r="J48" s="25" t="s">
        <v>37</v>
      </c>
      <c r="K48" s="51" t="s">
        <v>100</v>
      </c>
      <c r="L48" t="s">
        <v>100</v>
      </c>
      <c r="M48" s="224" t="s">
        <v>96</v>
      </c>
      <c r="N48" s="41" t="s">
        <v>173</v>
      </c>
      <c r="O48" s="105" t="s">
        <v>37</v>
      </c>
      <c r="P48" s="105" t="s">
        <v>37</v>
      </c>
      <c r="Q48" s="105"/>
      <c r="R48" s="138" t="s">
        <v>140</v>
      </c>
      <c r="S48" t="s">
        <v>26</v>
      </c>
      <c r="T48" t="s">
        <v>26</v>
      </c>
      <c r="U48" t="s">
        <v>26</v>
      </c>
      <c r="V48" s="3" t="s">
        <v>36</v>
      </c>
    </row>
    <row r="49" spans="2:22" x14ac:dyDescent="0.35">
      <c r="B49" s="65" t="s">
        <v>112</v>
      </c>
      <c r="C49" s="85" t="s">
        <v>26</v>
      </c>
      <c r="D49" s="26" t="s">
        <v>26</v>
      </c>
      <c r="E49" s="20"/>
      <c r="F49" s="70" t="s">
        <v>25</v>
      </c>
      <c r="G49" s="31" t="s">
        <v>40</v>
      </c>
      <c r="H49" s="97" t="s">
        <v>265</v>
      </c>
      <c r="I49" s="51" t="s">
        <v>37</v>
      </c>
      <c r="J49" s="25" t="s">
        <v>37</v>
      </c>
      <c r="K49" s="31" t="s">
        <v>104</v>
      </c>
      <c r="L49" s="97" t="s">
        <v>104</v>
      </c>
      <c r="M49" s="224" t="s">
        <v>96</v>
      </c>
      <c r="N49" s="41" t="s">
        <v>173</v>
      </c>
      <c r="O49" s="105" t="s">
        <v>37</v>
      </c>
      <c r="P49" s="105" t="s">
        <v>37</v>
      </c>
      <c r="Q49" s="105"/>
      <c r="R49" s="138" t="s">
        <v>112</v>
      </c>
      <c r="S49" t="s">
        <v>26</v>
      </c>
      <c r="T49" t="s">
        <v>26</v>
      </c>
      <c r="U49" t="s">
        <v>26</v>
      </c>
      <c r="V49" s="3" t="s">
        <v>36</v>
      </c>
    </row>
    <row r="50" spans="2:22" x14ac:dyDescent="0.35">
      <c r="B50" s="65" t="s">
        <v>117</v>
      </c>
      <c r="C50" s="85" t="s">
        <v>26</v>
      </c>
      <c r="D50" s="26" t="s">
        <v>26</v>
      </c>
      <c r="E50" s="20"/>
      <c r="F50" s="70" t="s">
        <v>25</v>
      </c>
      <c r="G50" s="31" t="s">
        <v>47</v>
      </c>
      <c r="H50" s="97" t="s">
        <v>267</v>
      </c>
      <c r="I50" s="51" t="s">
        <v>37</v>
      </c>
      <c r="J50" s="25" t="s">
        <v>37</v>
      </c>
      <c r="K50" s="51" t="s">
        <v>109</v>
      </c>
      <c r="L50" t="s">
        <v>109</v>
      </c>
      <c r="M50" s="224" t="s">
        <v>96</v>
      </c>
      <c r="N50" s="41" t="s">
        <v>173</v>
      </c>
      <c r="O50" s="105" t="s">
        <v>37</v>
      </c>
      <c r="P50" s="105" t="s">
        <v>37</v>
      </c>
      <c r="Q50" s="105"/>
      <c r="R50" s="138" t="s">
        <v>136</v>
      </c>
      <c r="S50" t="s">
        <v>26</v>
      </c>
      <c r="T50" t="s">
        <v>26</v>
      </c>
      <c r="U50" t="s">
        <v>26</v>
      </c>
      <c r="V50" s="3" t="s">
        <v>36</v>
      </c>
    </row>
    <row r="51" spans="2:22" x14ac:dyDescent="0.35">
      <c r="B51" s="65" t="s">
        <v>113</v>
      </c>
      <c r="C51" s="85" t="s">
        <v>26</v>
      </c>
      <c r="D51" s="26" t="s">
        <v>26</v>
      </c>
      <c r="E51" s="20"/>
      <c r="F51" s="70" t="s">
        <v>25</v>
      </c>
      <c r="G51" s="31" t="s">
        <v>41</v>
      </c>
      <c r="H51" s="97" t="s">
        <v>268</v>
      </c>
      <c r="I51" s="51" t="s">
        <v>37</v>
      </c>
      <c r="J51" s="25" t="s">
        <v>37</v>
      </c>
      <c r="K51" s="51" t="s">
        <v>105</v>
      </c>
      <c r="L51" t="s">
        <v>105</v>
      </c>
      <c r="M51" s="224" t="s">
        <v>96</v>
      </c>
      <c r="N51" s="41" t="s">
        <v>173</v>
      </c>
      <c r="O51" s="105" t="s">
        <v>37</v>
      </c>
      <c r="P51" s="105" t="s">
        <v>37</v>
      </c>
      <c r="Q51" s="105"/>
      <c r="R51" s="138" t="s">
        <v>138</v>
      </c>
      <c r="S51" t="s">
        <v>26</v>
      </c>
      <c r="T51" t="s">
        <v>26</v>
      </c>
      <c r="U51" t="s">
        <v>26</v>
      </c>
      <c r="V51" s="3" t="s">
        <v>36</v>
      </c>
    </row>
    <row r="52" spans="2:22" x14ac:dyDescent="0.35">
      <c r="B52" s="7" t="s">
        <v>12</v>
      </c>
      <c r="C52" s="85" t="s">
        <v>26</v>
      </c>
      <c r="D52" s="26" t="s">
        <v>26</v>
      </c>
      <c r="E52" s="20"/>
      <c r="F52" s="70" t="s">
        <v>25</v>
      </c>
      <c r="G52" s="31" t="s">
        <v>42</v>
      </c>
      <c r="H52" s="97" t="s">
        <v>269</v>
      </c>
      <c r="I52" s="51" t="s">
        <v>37</v>
      </c>
      <c r="J52" s="25" t="s">
        <v>37</v>
      </c>
      <c r="K52" s="51" t="s">
        <v>95</v>
      </c>
      <c r="L52" t="s">
        <v>95</v>
      </c>
      <c r="M52" t="s">
        <v>36</v>
      </c>
      <c r="N52" s="41" t="s">
        <v>173</v>
      </c>
      <c r="O52" s="105" t="s">
        <v>37</v>
      </c>
      <c r="P52" s="105" t="s">
        <v>37</v>
      </c>
      <c r="Q52" s="105"/>
      <c r="R52" s="104" t="s">
        <v>12</v>
      </c>
      <c r="S52" t="s">
        <v>26</v>
      </c>
      <c r="T52" t="s">
        <v>26</v>
      </c>
      <c r="U52" t="s">
        <v>26</v>
      </c>
      <c r="V52" s="3" t="s">
        <v>36</v>
      </c>
    </row>
    <row r="53" spans="2:22" x14ac:dyDescent="0.35">
      <c r="B53" s="7" t="s">
        <v>114</v>
      </c>
      <c r="C53" s="85" t="s">
        <v>26</v>
      </c>
      <c r="D53" s="26" t="s">
        <v>26</v>
      </c>
      <c r="E53" s="20"/>
      <c r="F53" s="70" t="s">
        <v>25</v>
      </c>
      <c r="G53" s="31" t="s">
        <v>44</v>
      </c>
      <c r="H53" s="97" t="s">
        <v>270</v>
      </c>
      <c r="I53" s="51" t="s">
        <v>37</v>
      </c>
      <c r="J53" s="25" t="s">
        <v>37</v>
      </c>
      <c r="K53" s="51" t="s">
        <v>106</v>
      </c>
      <c r="L53" t="s">
        <v>106</v>
      </c>
      <c r="M53" s="224" t="s">
        <v>96</v>
      </c>
      <c r="N53" s="41" t="s">
        <v>173</v>
      </c>
      <c r="O53" s="105" t="s">
        <v>37</v>
      </c>
      <c r="P53" s="105" t="s">
        <v>37</v>
      </c>
      <c r="Q53" s="105"/>
      <c r="R53" s="104" t="s">
        <v>139</v>
      </c>
      <c r="S53" t="s">
        <v>26</v>
      </c>
      <c r="T53" t="s">
        <v>26</v>
      </c>
      <c r="U53" t="s">
        <v>26</v>
      </c>
      <c r="V53" s="3" t="s">
        <v>36</v>
      </c>
    </row>
    <row r="54" spans="2:22" x14ac:dyDescent="0.35">
      <c r="B54" s="65" t="s">
        <v>115</v>
      </c>
      <c r="C54" s="85" t="s">
        <v>26</v>
      </c>
      <c r="D54" s="26" t="s">
        <v>26</v>
      </c>
      <c r="E54" s="20"/>
      <c r="F54" s="70" t="s">
        <v>25</v>
      </c>
      <c r="G54" s="31" t="s">
        <v>45</v>
      </c>
      <c r="H54" s="97" t="s">
        <v>271</v>
      </c>
      <c r="I54" s="51" t="s">
        <v>37</v>
      </c>
      <c r="J54" s="25" t="s">
        <v>37</v>
      </c>
      <c r="K54" s="51" t="s">
        <v>107</v>
      </c>
      <c r="L54" t="s">
        <v>107</v>
      </c>
      <c r="M54" s="224" t="s">
        <v>96</v>
      </c>
      <c r="N54" s="41" t="s">
        <v>173</v>
      </c>
      <c r="O54" s="105" t="s">
        <v>37</v>
      </c>
      <c r="P54" s="105" t="s">
        <v>37</v>
      </c>
      <c r="Q54" s="105"/>
      <c r="R54" s="138" t="s">
        <v>141</v>
      </c>
      <c r="S54" t="s">
        <v>26</v>
      </c>
      <c r="T54" t="s">
        <v>26</v>
      </c>
      <c r="U54" t="s">
        <v>26</v>
      </c>
      <c r="V54" s="3" t="s">
        <v>36</v>
      </c>
    </row>
    <row r="55" spans="2:22" x14ac:dyDescent="0.35">
      <c r="B55" s="65" t="s">
        <v>116</v>
      </c>
      <c r="C55" s="85" t="s">
        <v>26</v>
      </c>
      <c r="D55" s="26" t="s">
        <v>26</v>
      </c>
      <c r="E55" s="20"/>
      <c r="F55" s="70" t="s">
        <v>25</v>
      </c>
      <c r="G55" s="31" t="s">
        <v>46</v>
      </c>
      <c r="H55" s="97" t="s">
        <v>272</v>
      </c>
      <c r="I55" s="51" t="s">
        <v>37</v>
      </c>
      <c r="J55" s="25" t="s">
        <v>37</v>
      </c>
      <c r="K55" s="51" t="s">
        <v>108</v>
      </c>
      <c r="L55" t="s">
        <v>108</v>
      </c>
      <c r="M55" s="224" t="s">
        <v>96</v>
      </c>
      <c r="N55" s="41" t="s">
        <v>173</v>
      </c>
      <c r="O55" s="105" t="s">
        <v>37</v>
      </c>
      <c r="P55" s="105" t="s">
        <v>37</v>
      </c>
      <c r="Q55" s="105"/>
      <c r="R55" s="138" t="s">
        <v>137</v>
      </c>
      <c r="S55" t="s">
        <v>26</v>
      </c>
      <c r="T55" t="s">
        <v>26</v>
      </c>
      <c r="U55" t="s">
        <v>26</v>
      </c>
      <c r="V55" s="3" t="s">
        <v>36</v>
      </c>
    </row>
    <row r="56" spans="2:22" x14ac:dyDescent="0.35">
      <c r="B56" s="65" t="s">
        <v>118</v>
      </c>
      <c r="C56" s="85" t="s">
        <v>26</v>
      </c>
      <c r="D56" s="26" t="s">
        <v>26</v>
      </c>
      <c r="E56" s="20"/>
      <c r="F56" s="70" t="s">
        <v>25</v>
      </c>
      <c r="G56" s="31" t="s">
        <v>49</v>
      </c>
      <c r="H56" s="97" t="s">
        <v>273</v>
      </c>
      <c r="I56" s="51" t="s">
        <v>37</v>
      </c>
      <c r="J56" s="25" t="s">
        <v>37</v>
      </c>
      <c r="K56" s="31" t="s">
        <v>98</v>
      </c>
      <c r="L56" s="97" t="s">
        <v>98</v>
      </c>
      <c r="M56" s="225" t="s">
        <v>36</v>
      </c>
      <c r="N56" s="41" t="s">
        <v>173</v>
      </c>
      <c r="O56" s="105" t="s">
        <v>37</v>
      </c>
      <c r="P56" s="105" t="s">
        <v>37</v>
      </c>
      <c r="Q56" s="105"/>
      <c r="R56" s="138" t="s">
        <v>135</v>
      </c>
      <c r="S56" t="s">
        <v>26</v>
      </c>
      <c r="T56" t="s">
        <v>26</v>
      </c>
      <c r="U56" t="s">
        <v>26</v>
      </c>
      <c r="V56" s="3" t="s">
        <v>36</v>
      </c>
    </row>
    <row r="57" spans="2:22" x14ac:dyDescent="0.35">
      <c r="B57" s="7" t="s">
        <v>14</v>
      </c>
      <c r="C57" s="85" t="s">
        <v>26</v>
      </c>
      <c r="D57" s="26" t="s">
        <v>26</v>
      </c>
      <c r="E57" s="20"/>
      <c r="F57" s="70" t="s">
        <v>25</v>
      </c>
      <c r="G57" s="31" t="s">
        <v>50</v>
      </c>
      <c r="H57" s="97" t="s">
        <v>274</v>
      </c>
      <c r="I57" s="51" t="s">
        <v>37</v>
      </c>
      <c r="J57" s="25" t="s">
        <v>37</v>
      </c>
      <c r="K57" s="51" t="s">
        <v>142</v>
      </c>
      <c r="L57" t="s">
        <v>142</v>
      </c>
      <c r="M57" s="225" t="s">
        <v>36</v>
      </c>
      <c r="N57" s="41" t="s">
        <v>173</v>
      </c>
      <c r="O57" s="105" t="s">
        <v>37</v>
      </c>
      <c r="P57" s="105" t="s">
        <v>37</v>
      </c>
      <c r="Q57" s="105"/>
      <c r="R57" s="104" t="s">
        <v>14</v>
      </c>
      <c r="S57" t="s">
        <v>26</v>
      </c>
      <c r="T57" t="s">
        <v>26</v>
      </c>
      <c r="U57" t="s">
        <v>26</v>
      </c>
      <c r="V57" s="3" t="s">
        <v>36</v>
      </c>
    </row>
    <row r="58" spans="2:22" x14ac:dyDescent="0.35">
      <c r="B58" s="7" t="s">
        <v>119</v>
      </c>
      <c r="C58" s="85" t="s">
        <v>26</v>
      </c>
      <c r="D58" s="26" t="s">
        <v>26</v>
      </c>
      <c r="E58" s="20"/>
      <c r="F58" s="70" t="s">
        <v>25</v>
      </c>
      <c r="G58" s="31" t="s">
        <v>51</v>
      </c>
      <c r="H58" s="97" t="s">
        <v>275</v>
      </c>
      <c r="I58" s="51" t="s">
        <v>37</v>
      </c>
      <c r="J58" s="25" t="s">
        <v>37</v>
      </c>
      <c r="K58" s="51" t="s">
        <v>143</v>
      </c>
      <c r="L58" t="s">
        <v>143</v>
      </c>
      <c r="M58" s="224" t="s">
        <v>96</v>
      </c>
      <c r="N58" s="41" t="s">
        <v>173</v>
      </c>
      <c r="O58" s="105" t="s">
        <v>37</v>
      </c>
      <c r="P58" s="105" t="s">
        <v>37</v>
      </c>
      <c r="Q58" s="105"/>
      <c r="R58" s="104" t="s">
        <v>119</v>
      </c>
      <c r="S58" t="s">
        <v>26</v>
      </c>
      <c r="T58" t="s">
        <v>26</v>
      </c>
      <c r="U58" t="s">
        <v>26</v>
      </c>
      <c r="V58" s="3" t="s">
        <v>36</v>
      </c>
    </row>
    <row r="59" spans="2:22" x14ac:dyDescent="0.35">
      <c r="B59" s="65" t="s">
        <v>120</v>
      </c>
      <c r="C59" s="85" t="s">
        <v>26</v>
      </c>
      <c r="D59" s="26" t="s">
        <v>26</v>
      </c>
      <c r="E59" s="20"/>
      <c r="F59" s="70" t="s">
        <v>25</v>
      </c>
      <c r="G59" s="31" t="s">
        <v>52</v>
      </c>
      <c r="H59" s="97" t="s">
        <v>276</v>
      </c>
      <c r="I59" s="51" t="s">
        <v>37</v>
      </c>
      <c r="J59" s="25" t="s">
        <v>37</v>
      </c>
      <c r="K59" s="51" t="s">
        <v>144</v>
      </c>
      <c r="L59" t="s">
        <v>144</v>
      </c>
      <c r="M59" s="224" t="s">
        <v>96</v>
      </c>
      <c r="N59" s="41" t="s">
        <v>173</v>
      </c>
      <c r="O59" s="105" t="s">
        <v>37</v>
      </c>
      <c r="P59" s="105" t="s">
        <v>37</v>
      </c>
      <c r="Q59" s="105"/>
      <c r="R59" s="138" t="s">
        <v>134</v>
      </c>
      <c r="S59" t="s">
        <v>26</v>
      </c>
      <c r="T59" t="s">
        <v>26</v>
      </c>
      <c r="U59" t="s">
        <v>26</v>
      </c>
      <c r="V59" s="3" t="s">
        <v>36</v>
      </c>
    </row>
    <row r="60" spans="2:22" x14ac:dyDescent="0.35">
      <c r="B60" s="65" t="s">
        <v>121</v>
      </c>
      <c r="C60" s="85" t="s">
        <v>26</v>
      </c>
      <c r="D60" s="26" t="s">
        <v>26</v>
      </c>
      <c r="E60" s="20"/>
      <c r="F60" s="70" t="s">
        <v>25</v>
      </c>
      <c r="G60" s="31" t="s">
        <v>53</v>
      </c>
      <c r="H60" s="97" t="s">
        <v>277</v>
      </c>
      <c r="I60" s="51" t="s">
        <v>37</v>
      </c>
      <c r="J60" s="25" t="s">
        <v>37</v>
      </c>
      <c r="K60" s="31" t="s">
        <v>145</v>
      </c>
      <c r="L60" t="s">
        <v>145</v>
      </c>
      <c r="M60" s="224" t="s">
        <v>96</v>
      </c>
      <c r="N60" s="41" t="s">
        <v>173</v>
      </c>
      <c r="O60" s="105" t="s">
        <v>37</v>
      </c>
      <c r="P60" s="105" t="s">
        <v>37</v>
      </c>
      <c r="Q60" s="105"/>
      <c r="R60" s="138" t="s">
        <v>132</v>
      </c>
      <c r="S60" t="s">
        <v>26</v>
      </c>
      <c r="T60" t="s">
        <v>26</v>
      </c>
      <c r="U60" t="s">
        <v>26</v>
      </c>
      <c r="V60" s="3" t="s">
        <v>36</v>
      </c>
    </row>
    <row r="61" spans="2:22" ht="15" thickBot="1" x14ac:dyDescent="0.4">
      <c r="B61" s="7" t="s">
        <v>122</v>
      </c>
      <c r="C61" s="85" t="s">
        <v>26</v>
      </c>
      <c r="D61" s="26" t="s">
        <v>26</v>
      </c>
      <c r="E61" s="20"/>
      <c r="F61" s="70" t="s">
        <v>25</v>
      </c>
      <c r="G61" s="31" t="s">
        <v>54</v>
      </c>
      <c r="H61" s="97" t="s">
        <v>278</v>
      </c>
      <c r="I61" s="51" t="s">
        <v>37</v>
      </c>
      <c r="J61" s="25" t="s">
        <v>37</v>
      </c>
      <c r="K61" s="17" t="s">
        <v>146</v>
      </c>
      <c r="L61" s="14" t="s">
        <v>146</v>
      </c>
      <c r="M61" s="226" t="s">
        <v>96</v>
      </c>
      <c r="N61" s="132" t="s">
        <v>173</v>
      </c>
      <c r="O61" s="105" t="s">
        <v>37</v>
      </c>
      <c r="P61" s="105" t="s">
        <v>37</v>
      </c>
      <c r="Q61" s="105"/>
      <c r="R61" s="104" t="s">
        <v>133</v>
      </c>
      <c r="S61" t="s">
        <v>26</v>
      </c>
      <c r="T61" t="s">
        <v>26</v>
      </c>
      <c r="U61" t="s">
        <v>26</v>
      </c>
      <c r="V61" s="3" t="s">
        <v>36</v>
      </c>
    </row>
    <row r="62" spans="2:22" ht="15" thickTop="1" x14ac:dyDescent="0.35">
      <c r="B62" s="72" t="s">
        <v>91</v>
      </c>
      <c r="C62" s="154" t="s">
        <v>25</v>
      </c>
      <c r="D62" s="69" t="s">
        <v>25</v>
      </c>
      <c r="E62" s="69" t="s">
        <v>25</v>
      </c>
      <c r="F62" s="86" t="s">
        <v>25</v>
      </c>
      <c r="G62" s="89" t="s">
        <v>37</v>
      </c>
      <c r="H62" s="19" t="s">
        <v>37</v>
      </c>
      <c r="I62" s="5" t="s">
        <v>37</v>
      </c>
      <c r="J62" s="24" t="s">
        <v>37</v>
      </c>
      <c r="K62" s="134" t="s">
        <v>36</v>
      </c>
      <c r="L62" s="79" t="s">
        <v>36</v>
      </c>
      <c r="M62" s="113" t="s">
        <v>36</v>
      </c>
      <c r="N62" s="113"/>
      <c r="O62" s="110" t="s">
        <v>37</v>
      </c>
      <c r="P62" s="110" t="s">
        <v>37</v>
      </c>
      <c r="Q62" s="105"/>
      <c r="R62" s="139" t="s">
        <v>91</v>
      </c>
      <c r="S62" s="69" t="s">
        <v>25</v>
      </c>
      <c r="T62" s="69" t="s">
        <v>25</v>
      </c>
      <c r="U62" s="69" t="s">
        <v>25</v>
      </c>
      <c r="V62" s="3" t="s">
        <v>36</v>
      </c>
    </row>
    <row r="63" spans="2:22" x14ac:dyDescent="0.35">
      <c r="B63" s="7" t="s">
        <v>92</v>
      </c>
      <c r="C63" s="155" t="s">
        <v>25</v>
      </c>
      <c r="D63" s="70" t="s">
        <v>25</v>
      </c>
      <c r="E63" s="70" t="s">
        <v>25</v>
      </c>
      <c r="F63" s="87" t="s">
        <v>25</v>
      </c>
      <c r="G63" s="90" t="s">
        <v>37</v>
      </c>
      <c r="H63" s="249" t="s">
        <v>37</v>
      </c>
      <c r="I63" s="51" t="s">
        <v>37</v>
      </c>
      <c r="J63" s="25" t="s">
        <v>37</v>
      </c>
      <c r="K63" s="119" t="s">
        <v>36</v>
      </c>
      <c r="L63" s="119" t="s">
        <v>36</v>
      </c>
      <c r="M63" s="118" t="s">
        <v>36</v>
      </c>
      <c r="N63" s="222"/>
      <c r="O63" s="105" t="s">
        <v>37</v>
      </c>
      <c r="P63" s="105" t="s">
        <v>37</v>
      </c>
      <c r="Q63" s="105"/>
      <c r="R63" s="104" t="s">
        <v>92</v>
      </c>
      <c r="S63" s="70" t="s">
        <v>25</v>
      </c>
      <c r="T63" s="70" t="s">
        <v>25</v>
      </c>
      <c r="U63" s="70" t="s">
        <v>25</v>
      </c>
      <c r="V63" s="3" t="s">
        <v>36</v>
      </c>
    </row>
    <row r="64" spans="2:22" ht="15" thickBot="1" x14ac:dyDescent="0.4">
      <c r="B64" s="7" t="s">
        <v>93</v>
      </c>
      <c r="C64" s="156" t="s">
        <v>25</v>
      </c>
      <c r="D64" s="68" t="s">
        <v>25</v>
      </c>
      <c r="E64" s="68" t="s">
        <v>25</v>
      </c>
      <c r="F64" s="88" t="s">
        <v>25</v>
      </c>
      <c r="G64" s="67" t="s">
        <v>37</v>
      </c>
      <c r="H64" s="14" t="s">
        <v>37</v>
      </c>
      <c r="I64" s="17" t="s">
        <v>37</v>
      </c>
      <c r="J64" s="28" t="s">
        <v>37</v>
      </c>
      <c r="K64" s="119" t="s">
        <v>36</v>
      </c>
      <c r="L64" s="119" t="s">
        <v>36</v>
      </c>
      <c r="M64" s="118" t="s">
        <v>36</v>
      </c>
      <c r="N64" s="223"/>
      <c r="O64" s="105" t="s">
        <v>37</v>
      </c>
      <c r="P64" s="105" t="s">
        <v>37</v>
      </c>
      <c r="Q64" s="105"/>
      <c r="R64" s="104" t="s">
        <v>93</v>
      </c>
      <c r="S64" s="68" t="s">
        <v>25</v>
      </c>
      <c r="T64" s="68" t="s">
        <v>25</v>
      </c>
      <c r="U64" s="68" t="s">
        <v>25</v>
      </c>
    </row>
    <row r="65" spans="2:21" ht="15" thickTop="1" x14ac:dyDescent="0.35">
      <c r="B65" s="15" t="s">
        <v>123</v>
      </c>
      <c r="C65" s="154" t="s">
        <v>36</v>
      </c>
      <c r="D65" s="19" t="s">
        <v>36</v>
      </c>
      <c r="E65" s="120" t="s">
        <v>68</v>
      </c>
      <c r="F65" s="19"/>
      <c r="G65" s="29" t="s">
        <v>56</v>
      </c>
      <c r="H65" s="161" t="s">
        <v>279</v>
      </c>
      <c r="I65" s="5" t="s">
        <v>37</v>
      </c>
      <c r="J65" s="24" t="s">
        <v>37</v>
      </c>
      <c r="K65" s="5" t="s">
        <v>102</v>
      </c>
      <c r="L65" s="19" t="s">
        <v>102</v>
      </c>
      <c r="M65" s="121" t="s">
        <v>37</v>
      </c>
      <c r="N65" s="121"/>
      <c r="O65" s="111" t="s">
        <v>68</v>
      </c>
      <c r="P65" s="111" t="s">
        <v>68</v>
      </c>
      <c r="Q65" s="149" t="s">
        <v>36</v>
      </c>
      <c r="R65" s="80" t="s">
        <v>123</v>
      </c>
      <c r="S65" s="119" t="s">
        <v>36</v>
      </c>
      <c r="T65" s="119" t="s">
        <v>36</v>
      </c>
      <c r="U65" s="119" t="s">
        <v>36</v>
      </c>
    </row>
    <row r="66" spans="2:21" x14ac:dyDescent="0.35">
      <c r="B66" s="7" t="s">
        <v>124</v>
      </c>
      <c r="C66" s="155" t="s">
        <v>36</v>
      </c>
      <c r="E66" s="122" t="s">
        <v>66</v>
      </c>
      <c r="F66" s="122"/>
      <c r="G66" s="31" t="s">
        <v>74</v>
      </c>
      <c r="H66" s="97" t="s">
        <v>280</v>
      </c>
      <c r="I66" s="51" t="s">
        <v>37</v>
      </c>
      <c r="J66" s="25" t="s">
        <v>37</v>
      </c>
      <c r="K66" s="31" t="s">
        <v>101</v>
      </c>
      <c r="L66" s="97" t="s">
        <v>101</v>
      </c>
      <c r="M66" s="93" t="s">
        <v>103</v>
      </c>
      <c r="N66" s="93"/>
      <c r="O66" s="123" t="s">
        <v>37</v>
      </c>
      <c r="P66" s="123" t="s">
        <v>37</v>
      </c>
      <c r="Q66" s="123"/>
      <c r="R66" s="104" t="s">
        <v>124</v>
      </c>
      <c r="S66" s="119" t="s">
        <v>36</v>
      </c>
      <c r="T66" s="119" t="s">
        <v>36</v>
      </c>
      <c r="U66" s="119" t="s">
        <v>36</v>
      </c>
    </row>
    <row r="67" spans="2:21" x14ac:dyDescent="0.35">
      <c r="B67" s="7" t="s">
        <v>254</v>
      </c>
      <c r="C67" s="155"/>
      <c r="E67" s="122"/>
      <c r="F67" s="122"/>
      <c r="G67" s="31"/>
      <c r="H67" s="97"/>
      <c r="I67" s="227" t="s">
        <v>36</v>
      </c>
      <c r="J67" s="229" t="s">
        <v>36</v>
      </c>
      <c r="K67" s="31"/>
      <c r="L67" s="97"/>
      <c r="M67" s="93"/>
      <c r="N67" s="93"/>
      <c r="O67" s="123"/>
      <c r="P67" s="123"/>
      <c r="Q67" s="123"/>
      <c r="R67" s="104"/>
      <c r="S67" s="119"/>
      <c r="T67" s="119"/>
      <c r="U67" s="119"/>
    </row>
    <row r="68" spans="2:21" ht="15" thickBot="1" x14ac:dyDescent="0.4">
      <c r="B68" s="13" t="s">
        <v>253</v>
      </c>
      <c r="C68" s="156"/>
      <c r="D68" s="14"/>
      <c r="E68" s="219"/>
      <c r="F68" s="219"/>
      <c r="G68" s="32"/>
      <c r="H68" s="220"/>
      <c r="I68" s="230" t="s">
        <v>36</v>
      </c>
      <c r="J68" s="232" t="s">
        <v>36</v>
      </c>
      <c r="K68" s="32"/>
      <c r="L68" s="220"/>
      <c r="M68" s="221"/>
      <c r="N68" s="221"/>
      <c r="O68" s="112"/>
      <c r="P68" s="112"/>
      <c r="Q68" s="123"/>
      <c r="R68" s="104"/>
      <c r="S68" s="119"/>
      <c r="T68" s="119"/>
      <c r="U68" s="119"/>
    </row>
    <row r="69" spans="2:21" ht="15" thickTop="1" x14ac:dyDescent="0.35">
      <c r="B69" s="7" t="s">
        <v>125</v>
      </c>
      <c r="C69" s="152" t="s">
        <v>36</v>
      </c>
      <c r="D69" s="119" t="s">
        <v>36</v>
      </c>
      <c r="E69" s="118" t="s">
        <v>36</v>
      </c>
      <c r="F69" s="118" t="s">
        <v>36</v>
      </c>
      <c r="G69" s="99" t="s">
        <v>152</v>
      </c>
      <c r="H69" s="236"/>
      <c r="I69" s="99"/>
      <c r="J69" s="98" t="s">
        <v>36</v>
      </c>
      <c r="K69" s="94" t="s">
        <v>153</v>
      </c>
      <c r="L69" s="94" t="s">
        <v>153</v>
      </c>
      <c r="M69" s="41" t="s">
        <v>36</v>
      </c>
      <c r="N69" s="41" t="s">
        <v>173</v>
      </c>
      <c r="O69" s="123" t="s">
        <v>37</v>
      </c>
      <c r="P69" s="123" t="s">
        <v>37</v>
      </c>
      <c r="Q69" s="123"/>
      <c r="R69" s="104" t="s">
        <v>125</v>
      </c>
      <c r="S69" s="119" t="s">
        <v>36</v>
      </c>
      <c r="T69" s="119" t="s">
        <v>36</v>
      </c>
      <c r="U69" s="119" t="s">
        <v>36</v>
      </c>
    </row>
    <row r="70" spans="2:21" x14ac:dyDescent="0.35">
      <c r="B70" s="7" t="s">
        <v>130</v>
      </c>
      <c r="C70" s="152" t="s">
        <v>36</v>
      </c>
      <c r="D70" s="119" t="s">
        <v>36</v>
      </c>
      <c r="E70" s="118" t="s">
        <v>36</v>
      </c>
      <c r="F70" s="118" t="s">
        <v>36</v>
      </c>
      <c r="G70" s="99" t="s">
        <v>151</v>
      </c>
      <c r="H70" s="236"/>
      <c r="I70" s="99"/>
      <c r="J70" s="98" t="s">
        <v>36</v>
      </c>
      <c r="K70" s="94" t="s">
        <v>160</v>
      </c>
      <c r="L70" s="94" t="s">
        <v>160</v>
      </c>
      <c r="M70" s="41" t="s">
        <v>36</v>
      </c>
      <c r="N70" s="41" t="s">
        <v>173</v>
      </c>
      <c r="O70" s="123" t="s">
        <v>37</v>
      </c>
      <c r="P70" s="123" t="s">
        <v>37</v>
      </c>
      <c r="Q70" s="123"/>
      <c r="R70" s="104" t="s">
        <v>130</v>
      </c>
      <c r="S70" s="119" t="s">
        <v>36</v>
      </c>
      <c r="T70" s="119" t="s">
        <v>36</v>
      </c>
      <c r="U70" s="119" t="s">
        <v>36</v>
      </c>
    </row>
    <row r="71" spans="2:21" x14ac:dyDescent="0.35">
      <c r="B71" s="7" t="s">
        <v>126</v>
      </c>
      <c r="C71" s="152" t="s">
        <v>36</v>
      </c>
      <c r="D71" s="119" t="s">
        <v>36</v>
      </c>
      <c r="E71" s="118" t="s">
        <v>36</v>
      </c>
      <c r="F71" s="118" t="s">
        <v>36</v>
      </c>
      <c r="G71" s="99" t="s">
        <v>150</v>
      </c>
      <c r="H71" s="236"/>
      <c r="I71" s="99"/>
      <c r="J71" s="98" t="s">
        <v>36</v>
      </c>
      <c r="K71" s="94" t="s">
        <v>159</v>
      </c>
      <c r="L71" s="94" t="s">
        <v>159</v>
      </c>
      <c r="M71" s="41" t="s">
        <v>36</v>
      </c>
      <c r="N71" s="41" t="s">
        <v>173</v>
      </c>
      <c r="O71" s="123" t="s">
        <v>37</v>
      </c>
      <c r="P71" s="123" t="s">
        <v>37</v>
      </c>
      <c r="Q71" s="123"/>
      <c r="R71" s="104" t="s">
        <v>126</v>
      </c>
      <c r="S71" s="119" t="s">
        <v>36</v>
      </c>
      <c r="T71" s="119" t="s">
        <v>36</v>
      </c>
      <c r="U71" s="119" t="s">
        <v>36</v>
      </c>
    </row>
    <row r="72" spans="2:21" x14ac:dyDescent="0.35">
      <c r="B72" s="7" t="s">
        <v>129</v>
      </c>
      <c r="C72" s="152" t="s">
        <v>36</v>
      </c>
      <c r="D72" s="119" t="s">
        <v>36</v>
      </c>
      <c r="E72" s="118" t="s">
        <v>36</v>
      </c>
      <c r="F72" s="118" t="s">
        <v>36</v>
      </c>
      <c r="G72" s="99" t="s">
        <v>149</v>
      </c>
      <c r="H72" s="236"/>
      <c r="I72" s="99"/>
      <c r="J72" s="98" t="s">
        <v>36</v>
      </c>
      <c r="K72" s="94" t="s">
        <v>161</v>
      </c>
      <c r="L72" s="94" t="s">
        <v>161</v>
      </c>
      <c r="M72" s="41" t="s">
        <v>36</v>
      </c>
      <c r="N72" s="41" t="s">
        <v>173</v>
      </c>
      <c r="O72" s="123" t="s">
        <v>37</v>
      </c>
      <c r="P72" s="123" t="s">
        <v>37</v>
      </c>
      <c r="Q72" s="123"/>
      <c r="R72" s="104" t="s">
        <v>129</v>
      </c>
      <c r="S72" s="119" t="s">
        <v>36</v>
      </c>
      <c r="T72" s="119" t="s">
        <v>36</v>
      </c>
      <c r="U72" s="119" t="s">
        <v>36</v>
      </c>
    </row>
    <row r="73" spans="2:21" x14ac:dyDescent="0.35">
      <c r="B73" s="7" t="s">
        <v>127</v>
      </c>
      <c r="C73" s="152" t="s">
        <v>36</v>
      </c>
      <c r="D73" s="119" t="s">
        <v>36</v>
      </c>
      <c r="E73" s="118" t="s">
        <v>36</v>
      </c>
      <c r="F73" s="118" t="s">
        <v>36</v>
      </c>
      <c r="G73" s="99" t="s">
        <v>148</v>
      </c>
      <c r="H73" s="236"/>
      <c r="I73" s="99"/>
      <c r="J73" s="98" t="s">
        <v>36</v>
      </c>
      <c r="K73" s="94"/>
      <c r="L73" s="96"/>
      <c r="M73" s="41" t="s">
        <v>36</v>
      </c>
      <c r="N73" s="41" t="s">
        <v>173</v>
      </c>
      <c r="O73" s="123" t="s">
        <v>37</v>
      </c>
      <c r="P73" s="123" t="s">
        <v>37</v>
      </c>
      <c r="Q73" s="123"/>
      <c r="R73" s="104" t="s">
        <v>127</v>
      </c>
      <c r="S73" s="119" t="s">
        <v>36</v>
      </c>
      <c r="T73" s="119" t="s">
        <v>36</v>
      </c>
      <c r="U73" s="119" t="s">
        <v>36</v>
      </c>
    </row>
    <row r="74" spans="2:21" x14ac:dyDescent="0.35">
      <c r="B74" s="7" t="s">
        <v>255</v>
      </c>
      <c r="C74" s="152" t="s">
        <v>36</v>
      </c>
      <c r="D74" s="119" t="s">
        <v>36</v>
      </c>
      <c r="E74" s="118" t="s">
        <v>36</v>
      </c>
      <c r="F74" s="118" t="s">
        <v>36</v>
      </c>
      <c r="G74" s="99" t="s">
        <v>256</v>
      </c>
      <c r="H74" s="236"/>
      <c r="I74" s="99"/>
      <c r="J74" s="98" t="s">
        <v>36</v>
      </c>
      <c r="K74" s="94" t="s">
        <v>257</v>
      </c>
      <c r="L74" s="94" t="s">
        <v>257</v>
      </c>
      <c r="M74" s="41" t="s">
        <v>96</v>
      </c>
      <c r="N74" s="41" t="s">
        <v>173</v>
      </c>
      <c r="O74" s="123"/>
      <c r="P74" s="123"/>
      <c r="Q74" s="123"/>
      <c r="R74" s="104"/>
      <c r="S74" s="119"/>
      <c r="T74" s="119"/>
      <c r="U74" s="119"/>
    </row>
    <row r="75" spans="2:21" x14ac:dyDescent="0.35">
      <c r="B75" s="7" t="s">
        <v>154</v>
      </c>
      <c r="C75" s="152" t="s">
        <v>36</v>
      </c>
      <c r="D75" s="119" t="s">
        <v>36</v>
      </c>
      <c r="E75" s="118" t="s">
        <v>36</v>
      </c>
      <c r="F75" s="118" t="s">
        <v>36</v>
      </c>
      <c r="G75" s="99" t="s">
        <v>156</v>
      </c>
      <c r="H75" s="236"/>
      <c r="I75" s="99"/>
      <c r="J75" s="98" t="s">
        <v>36</v>
      </c>
      <c r="K75" s="94" t="s">
        <v>158</v>
      </c>
      <c r="L75" s="96" t="s">
        <v>157</v>
      </c>
      <c r="M75" s="41" t="s">
        <v>36</v>
      </c>
      <c r="N75" s="41" t="s">
        <v>173</v>
      </c>
      <c r="O75" s="123" t="s">
        <v>37</v>
      </c>
      <c r="P75" s="123" t="s">
        <v>37</v>
      </c>
      <c r="Q75" s="123"/>
      <c r="R75" s="104" t="s">
        <v>154</v>
      </c>
      <c r="S75" s="119" t="s">
        <v>36</v>
      </c>
      <c r="T75" s="119" t="s">
        <v>36</v>
      </c>
      <c r="U75" s="119" t="s">
        <v>36</v>
      </c>
    </row>
    <row r="76" spans="2:21" ht="15" thickBot="1" x14ac:dyDescent="0.4">
      <c r="B76" s="13" t="s">
        <v>128</v>
      </c>
      <c r="C76" s="157" t="s">
        <v>36</v>
      </c>
      <c r="D76" s="109" t="s">
        <v>36</v>
      </c>
      <c r="E76" s="107" t="s">
        <v>36</v>
      </c>
      <c r="F76" s="107" t="s">
        <v>36</v>
      </c>
      <c r="G76" s="136" t="s">
        <v>147</v>
      </c>
      <c r="H76" s="162"/>
      <c r="I76" s="136"/>
      <c r="J76" s="102" t="s">
        <v>36</v>
      </c>
      <c r="K76" s="130" t="s">
        <v>155</v>
      </c>
      <c r="L76" s="130" t="s">
        <v>155</v>
      </c>
      <c r="M76" s="132" t="s">
        <v>36</v>
      </c>
      <c r="N76" s="41" t="s">
        <v>173</v>
      </c>
      <c r="O76" s="112" t="s">
        <v>37</v>
      </c>
      <c r="P76" s="112" t="s">
        <v>37</v>
      </c>
      <c r="Q76" s="123"/>
      <c r="R76" s="106" t="s">
        <v>128</v>
      </c>
      <c r="S76" s="109" t="s">
        <v>36</v>
      </c>
      <c r="T76" s="109" t="s">
        <v>36</v>
      </c>
      <c r="U76" s="109" t="s">
        <v>36</v>
      </c>
    </row>
    <row r="77" spans="2:21" ht="15" thickTop="1" x14ac:dyDescent="0.35"/>
  </sheetData>
  <hyperlinks>
    <hyperlink ref="D46" r:id="rId1" xr:uid="{09B61D78-E6F4-45EC-8D5A-01751812A475}"/>
    <hyperlink ref="D47" r:id="rId2" xr:uid="{FFA7E841-8770-44C2-B14F-EA02F5B521BE}"/>
    <hyperlink ref="D48:D61" r:id="rId3" display="https://www.ifw-kiel.de/topics/war-against-ukraine/ukraine-support-tracker/" xr:uid="{4EE26EDE-AF42-4569-8D2E-16BFD54E15C8}"/>
    <hyperlink ref="O2" r:id="rId4" xr:uid="{110B3970-665C-4EF5-B445-B74CCC4ABC43}"/>
    <hyperlink ref="G47" r:id="rId5" xr:uid="{EFD0E4DE-E60F-449A-99A3-D7AB22FEBBDA}"/>
    <hyperlink ref="G48" r:id="rId6" xr:uid="{45E18567-C090-4683-B09F-8BA8BCA0E3CF}"/>
    <hyperlink ref="G49" r:id="rId7" xr:uid="{EABA4BDF-D2BA-4AA3-AE6B-B496ACFFF652}"/>
    <hyperlink ref="G51" r:id="rId8" xr:uid="{A26AEB83-20CB-46D2-BCED-E4F8BB39190C}"/>
    <hyperlink ref="G52" r:id="rId9" xr:uid="{330FDA09-237B-4953-8D28-E3FF32861CD6}"/>
    <hyperlink ref="G53" r:id="rId10" xr:uid="{79E5F399-4492-4804-8B60-AD2F2DE6F1B0}"/>
    <hyperlink ref="G54" r:id="rId11" xr:uid="{A83D143F-B8D7-4ACE-839B-F9957C0F633C}"/>
    <hyperlink ref="G55" r:id="rId12" xr:uid="{B972EFE1-6669-4EE9-9981-7315A9C8173E}"/>
    <hyperlink ref="G56" r:id="rId13" xr:uid="{DD9504AD-DC8B-44FA-A7BE-FA628D44746D}"/>
    <hyperlink ref="G57" r:id="rId14" xr:uid="{9E71863C-E53A-4E58-A8BC-DFA7A41C142F}"/>
    <hyperlink ref="G58" r:id="rId15" xr:uid="{1F85F79B-62B1-4388-8350-308B2B8BD4D1}"/>
    <hyperlink ref="G59" r:id="rId16" xr:uid="{43E13AA0-C6DB-4B01-BAAA-F3E224C0BFAB}"/>
    <hyperlink ref="G60" r:id="rId17" xr:uid="{77AB0328-75B2-44E8-9034-01B960502841}"/>
    <hyperlink ref="G61" r:id="rId18" xr:uid="{8533E750-018E-4A33-A2F6-5FF038B29555}"/>
    <hyperlink ref="C47" r:id="rId19" xr:uid="{F93BD4DF-197A-4E5C-A329-45297EEEE404}"/>
    <hyperlink ref="C48:C61" r:id="rId20" display="https://www.ifw-kiel.de/topics/war-against-ukraine/ukraine-support-tracker/" xr:uid="{BF6A9036-0CE4-428E-ABEA-179EB655C999}"/>
    <hyperlink ref="E66" r:id="rId21" xr:uid="{2C936C81-4DB5-4301-9804-E55504D99933}"/>
    <hyperlink ref="G65" r:id="rId22" xr:uid="{A2C89CCC-F843-4D56-8ACA-38FF73B3243A}"/>
    <hyperlink ref="G66" r:id="rId23" xr:uid="{3335C8AB-225B-47D8-A841-048698B3FDB3}"/>
    <hyperlink ref="G46" r:id="rId24" xr:uid="{6FA5BA77-C318-4AA4-A303-BA2B80F4ECC0}"/>
    <hyperlink ref="M47:M51" r:id="rId25" display="https://www.statista.com/chart/14636/defense-expenditures-of-nato-countries/" xr:uid="{841282AB-D607-441B-B8C9-629088F2D803}"/>
    <hyperlink ref="M53" r:id="rId26" xr:uid="{283AFAC4-AD53-4936-B263-0E0B6B3D41AB}"/>
    <hyperlink ref="K56" r:id="rId27" xr:uid="{9492C511-F8FE-4F3A-BA35-D9182742F69D}"/>
    <hyperlink ref="L56" r:id="rId28" xr:uid="{A29420C0-E450-4BC9-AC0C-DAC377437597}"/>
    <hyperlink ref="K66" r:id="rId29" xr:uid="{11EFB640-C67F-4714-BEC1-3D0A457933F1}"/>
    <hyperlink ref="L66" r:id="rId30" xr:uid="{5376078E-823B-4F38-8BCC-55C4E04F3DCA}"/>
    <hyperlink ref="M66" r:id="rId31" xr:uid="{BC999C8F-2358-4038-AD2C-3F167EAA0015}"/>
    <hyperlink ref="K49" r:id="rId32" xr:uid="{7C3273D8-005A-45A5-8B64-33960B4CFD9B}"/>
    <hyperlink ref="L49" r:id="rId33" xr:uid="{4CAC94FC-8AF5-4EF3-A6AB-1732885087AF}"/>
    <hyperlink ref="E65" r:id="rId34" xr:uid="{945B1202-1D46-41D6-9B86-5420EAF6AD03}"/>
    <hyperlink ref="O65" r:id="rId35" xr:uid="{E5DB81C0-8D83-44B9-84C9-85741DF5510D}"/>
    <hyperlink ref="K60" r:id="rId36" xr:uid="{92702A21-CE0C-488E-8308-615D6C78066E}"/>
    <hyperlink ref="G76" r:id="rId37" xr:uid="{C0008743-17AC-4200-88F0-804E4A4B2FCC}"/>
    <hyperlink ref="P65" r:id="rId38" xr:uid="{0FB33387-AE37-49E5-9EFF-C9BF74CCEA46}"/>
    <hyperlink ref="D50" r:id="rId39" xr:uid="{FA03CC7E-7DEF-4F53-B27B-DBBA23C3615E}"/>
    <hyperlink ref="G50" r:id="rId40" xr:uid="{EBFA9269-ABD6-4F0D-9883-A5F22DEA135A}"/>
    <hyperlink ref="C50" r:id="rId41" xr:uid="{A45C17F4-52A7-4FA9-BC48-6B404AE2358B}"/>
    <hyperlink ref="H58" r:id="rId42" xr:uid="{BFB205A5-6D75-40F7-92E2-3BD2FB60A6CD}"/>
  </hyperlinks>
  <pageMargins left="0.7" right="0.7" top="0.75" bottom="0.75" header="0.3" footer="0.3"/>
  <pageSetup paperSize="9" orientation="portrait" verticalDpi="0" r:id="rId4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297EB-0137-4A20-A6E3-7D0F6C8CCA9A}">
  <dimension ref="A1:M65"/>
  <sheetViews>
    <sheetView zoomScale="140" zoomScaleNormal="140" workbookViewId="0">
      <selection activeCell="N6" sqref="N6"/>
    </sheetView>
  </sheetViews>
  <sheetFormatPr defaultRowHeight="14.5" x14ac:dyDescent="0.35"/>
  <cols>
    <col min="1" max="1" width="3.6328125" customWidth="1"/>
    <col min="2" max="2" width="27.36328125" customWidth="1"/>
    <col min="3" max="3" width="16.08984375" customWidth="1"/>
    <col min="4" max="9" width="12.453125" customWidth="1"/>
    <col min="11" max="11" width="8.81640625" customWidth="1"/>
  </cols>
  <sheetData>
    <row r="1" spans="1:12" ht="28.5" x14ac:dyDescent="0.65">
      <c r="A1" s="1" t="str">
        <f>Data24Jan2022To15Jan2024!A1</f>
        <v>Ukraine versus Russia’s spending on war – How much aid is needed for Ukraine to win? #40/64</v>
      </c>
    </row>
    <row r="2" spans="1:12" x14ac:dyDescent="0.35">
      <c r="E2" s="159">
        <v>1000000</v>
      </c>
      <c r="F2" s="159"/>
      <c r="G2" s="159"/>
      <c r="H2" s="180">
        <v>1000000000</v>
      </c>
      <c r="I2" s="159"/>
    </row>
    <row r="4" spans="1:12" ht="24" thickBot="1" x14ac:dyDescent="0.6">
      <c r="B4" s="2" t="s">
        <v>216</v>
      </c>
      <c r="C4" s="2"/>
      <c r="D4" s="2"/>
    </row>
    <row r="5" spans="1:12" ht="15" thickTop="1" x14ac:dyDescent="0.35">
      <c r="B5" s="5"/>
      <c r="C5" s="15" t="s">
        <v>177</v>
      </c>
      <c r="D5" s="6" t="s">
        <v>187</v>
      </c>
      <c r="E5" s="6" t="s">
        <v>179</v>
      </c>
      <c r="F5" s="6" t="s">
        <v>179</v>
      </c>
      <c r="G5" s="6" t="s">
        <v>179</v>
      </c>
      <c r="H5" s="6" t="s">
        <v>179</v>
      </c>
      <c r="I5" s="39" t="s">
        <v>187</v>
      </c>
      <c r="J5" s="80" t="s">
        <v>198</v>
      </c>
      <c r="K5" s="80" t="s">
        <v>212</v>
      </c>
      <c r="L5" s="3" t="s">
        <v>230</v>
      </c>
    </row>
    <row r="6" spans="1:12" x14ac:dyDescent="0.35">
      <c r="B6" s="51"/>
      <c r="C6" s="7"/>
      <c r="D6" s="3">
        <v>100</v>
      </c>
      <c r="E6" s="133">
        <v>1000</v>
      </c>
      <c r="F6" s="133">
        <v>10000</v>
      </c>
      <c r="G6" s="133">
        <v>100000</v>
      </c>
      <c r="H6" s="133">
        <v>1000000</v>
      </c>
      <c r="I6" s="168">
        <v>10000000</v>
      </c>
      <c r="J6" s="123" t="s">
        <v>199</v>
      </c>
      <c r="K6" s="123" t="s">
        <v>213</v>
      </c>
    </row>
    <row r="7" spans="1:12" ht="15" thickBot="1" x14ac:dyDescent="0.4">
      <c r="B7" s="17"/>
      <c r="C7" s="13"/>
      <c r="D7" s="18" t="s">
        <v>184</v>
      </c>
      <c r="E7" s="18" t="s">
        <v>184</v>
      </c>
      <c r="F7" s="18" t="s">
        <v>184</v>
      </c>
      <c r="G7" s="18" t="s">
        <v>184</v>
      </c>
      <c r="H7" s="18" t="s">
        <v>175</v>
      </c>
      <c r="I7" s="40" t="s">
        <v>175</v>
      </c>
      <c r="J7" s="112"/>
      <c r="K7" s="112" t="s">
        <v>229</v>
      </c>
    </row>
    <row r="8" spans="1:12" ht="15" thickTop="1" x14ac:dyDescent="0.35">
      <c r="A8">
        <v>1</v>
      </c>
      <c r="B8" s="187" t="s">
        <v>178</v>
      </c>
      <c r="C8" s="188"/>
      <c r="D8" s="189"/>
      <c r="E8" s="190"/>
      <c r="F8" s="190"/>
      <c r="G8" s="190"/>
      <c r="H8" s="190"/>
      <c r="I8" s="191"/>
      <c r="J8" s="192"/>
      <c r="K8" s="192"/>
    </row>
    <row r="9" spans="1:12" x14ac:dyDescent="0.35">
      <c r="A9">
        <v>2</v>
      </c>
      <c r="B9" s="51" t="s">
        <v>182</v>
      </c>
      <c r="C9" s="99">
        <v>273000</v>
      </c>
      <c r="D9" s="176">
        <f>C9*D$6/E$2</f>
        <v>27.3</v>
      </c>
      <c r="E9" s="176">
        <f>C9*E$6/E$2</f>
        <v>273</v>
      </c>
      <c r="F9" s="58" t="s">
        <v>36</v>
      </c>
      <c r="G9" s="58" t="s">
        <v>36</v>
      </c>
      <c r="H9" s="175" t="s">
        <v>36</v>
      </c>
      <c r="I9" s="179" t="s">
        <v>36</v>
      </c>
      <c r="J9" s="123">
        <v>800</v>
      </c>
      <c r="K9" s="123">
        <v>200</v>
      </c>
    </row>
    <row r="10" spans="1:12" x14ac:dyDescent="0.35">
      <c r="A10">
        <v>3</v>
      </c>
      <c r="B10" s="51" t="s">
        <v>189</v>
      </c>
      <c r="C10" s="99">
        <f>C11</f>
        <v>1200000</v>
      </c>
      <c r="D10" s="176">
        <f>C10*D$6/E$2</f>
        <v>120</v>
      </c>
      <c r="E10" s="176">
        <f t="shared" ref="E10:E11" si="0">C10*E$6/E$2</f>
        <v>1200</v>
      </c>
      <c r="F10" s="58" t="s">
        <v>36</v>
      </c>
      <c r="G10" s="58" t="s">
        <v>36</v>
      </c>
      <c r="H10" s="175" t="s">
        <v>36</v>
      </c>
      <c r="I10" s="179" t="s">
        <v>36</v>
      </c>
      <c r="J10" s="123">
        <v>300</v>
      </c>
      <c r="K10" s="123">
        <v>150</v>
      </c>
    </row>
    <row r="11" spans="1:12" x14ac:dyDescent="0.35">
      <c r="A11">
        <v>4</v>
      </c>
      <c r="B11" s="51" t="s">
        <v>191</v>
      </c>
      <c r="C11" s="99">
        <v>1200000</v>
      </c>
      <c r="D11" s="176">
        <f>C11*D$6/E$2</f>
        <v>120</v>
      </c>
      <c r="E11" s="176">
        <f t="shared" si="0"/>
        <v>1200</v>
      </c>
      <c r="F11" s="58" t="s">
        <v>36</v>
      </c>
      <c r="G11" s="58" t="s">
        <v>36</v>
      </c>
      <c r="H11" s="175" t="s">
        <v>36</v>
      </c>
      <c r="I11" s="179" t="s">
        <v>36</v>
      </c>
      <c r="J11" s="123">
        <v>139</v>
      </c>
      <c r="K11" s="123">
        <v>221</v>
      </c>
    </row>
    <row r="12" spans="1:12" x14ac:dyDescent="0.35">
      <c r="A12">
        <v>5</v>
      </c>
      <c r="B12" s="187" t="s">
        <v>180</v>
      </c>
      <c r="C12" s="193"/>
      <c r="D12" s="194"/>
      <c r="E12" s="195"/>
      <c r="F12" s="195"/>
      <c r="G12" s="195"/>
      <c r="H12" s="190"/>
      <c r="I12" s="191"/>
      <c r="J12" s="192"/>
      <c r="K12" s="192"/>
    </row>
    <row r="13" spans="1:12" x14ac:dyDescent="0.35">
      <c r="A13">
        <v>6</v>
      </c>
      <c r="B13" s="123" t="s">
        <v>186</v>
      </c>
      <c r="C13" s="159">
        <v>500</v>
      </c>
      <c r="D13" s="177" t="s">
        <v>36</v>
      </c>
      <c r="E13" s="177" t="s">
        <v>36</v>
      </c>
      <c r="F13" s="177" t="s">
        <v>36</v>
      </c>
      <c r="G13" s="9">
        <f>C13*G$6/E$2</f>
        <v>50</v>
      </c>
      <c r="H13" s="8">
        <f>C13*H$6/H$2</f>
        <v>0.5</v>
      </c>
      <c r="I13" s="142">
        <f>C13*I$6/H$2</f>
        <v>5</v>
      </c>
      <c r="J13" s="178" t="s">
        <v>36</v>
      </c>
      <c r="K13" s="123">
        <v>10.3</v>
      </c>
    </row>
    <row r="14" spans="1:12" x14ac:dyDescent="0.35">
      <c r="A14">
        <v>7</v>
      </c>
      <c r="B14" s="123" t="s">
        <v>188</v>
      </c>
      <c r="C14" s="159">
        <v>40</v>
      </c>
      <c r="D14" s="177" t="s">
        <v>36</v>
      </c>
      <c r="E14" s="177" t="s">
        <v>36</v>
      </c>
      <c r="F14" s="177" t="s">
        <v>36</v>
      </c>
      <c r="G14" s="9">
        <f t="shared" ref="G14:G15" si="1">C14*G$6/E$2</f>
        <v>4</v>
      </c>
      <c r="H14" s="8">
        <f>C14*H$6/H$2</f>
        <v>0.04</v>
      </c>
      <c r="I14" s="142">
        <f>C14*I$6/H$2</f>
        <v>0.4</v>
      </c>
      <c r="J14" s="178" t="s">
        <v>36</v>
      </c>
      <c r="K14" s="178" t="s">
        <v>226</v>
      </c>
    </row>
    <row r="15" spans="1:12" x14ac:dyDescent="0.35">
      <c r="A15">
        <v>8</v>
      </c>
      <c r="B15" s="123" t="s">
        <v>224</v>
      </c>
      <c r="C15" s="159">
        <v>4000</v>
      </c>
      <c r="D15" s="177" t="s">
        <v>36</v>
      </c>
      <c r="E15" s="177" t="s">
        <v>36</v>
      </c>
      <c r="F15" s="177" t="s">
        <v>36</v>
      </c>
      <c r="G15" s="9">
        <f t="shared" si="1"/>
        <v>400</v>
      </c>
      <c r="H15" s="8">
        <f>C15*H$6/H$2</f>
        <v>4</v>
      </c>
      <c r="I15" s="142">
        <f>C15*I$6/H$2</f>
        <v>40</v>
      </c>
      <c r="J15" s="178" t="s">
        <v>248</v>
      </c>
      <c r="K15" s="178" t="s">
        <v>249</v>
      </c>
      <c r="L15" t="s">
        <v>237</v>
      </c>
    </row>
    <row r="16" spans="1:12" x14ac:dyDescent="0.35">
      <c r="A16">
        <v>9</v>
      </c>
      <c r="B16" s="123" t="s">
        <v>238</v>
      </c>
      <c r="C16" s="159">
        <v>8000</v>
      </c>
      <c r="D16" s="177" t="s">
        <v>36</v>
      </c>
      <c r="E16" s="177" t="s">
        <v>36</v>
      </c>
      <c r="F16" s="177" t="s">
        <v>36</v>
      </c>
      <c r="G16" s="9">
        <f t="shared" ref="G16:G17" si="2">C16*G$6/E$2</f>
        <v>800</v>
      </c>
      <c r="H16" s="8">
        <f t="shared" ref="H16:H17" si="3">C16*H$6/H$2</f>
        <v>8</v>
      </c>
      <c r="I16" s="87" t="s">
        <v>36</v>
      </c>
      <c r="J16" s="123">
        <v>40</v>
      </c>
      <c r="K16" s="178"/>
      <c r="L16" t="s">
        <v>242</v>
      </c>
    </row>
    <row r="17" spans="1:12" x14ac:dyDescent="0.35">
      <c r="A17">
        <v>10</v>
      </c>
      <c r="B17" s="123" t="s">
        <v>239</v>
      </c>
      <c r="C17" s="159">
        <v>12000</v>
      </c>
      <c r="D17" s="177" t="s">
        <v>36</v>
      </c>
      <c r="E17" s="177" t="s">
        <v>36</v>
      </c>
      <c r="F17" s="176">
        <f>C17*F$6/E$2</f>
        <v>120</v>
      </c>
      <c r="G17" s="9">
        <f t="shared" si="2"/>
        <v>1200</v>
      </c>
      <c r="H17" s="8">
        <f t="shared" si="3"/>
        <v>12</v>
      </c>
      <c r="I17" s="87" t="s">
        <v>36</v>
      </c>
      <c r="J17" s="123">
        <v>55</v>
      </c>
      <c r="K17" s="178" t="s">
        <v>245</v>
      </c>
      <c r="L17" t="s">
        <v>243</v>
      </c>
    </row>
    <row r="18" spans="1:12" x14ac:dyDescent="0.35">
      <c r="A18">
        <v>11</v>
      </c>
      <c r="B18" s="123" t="s">
        <v>240</v>
      </c>
      <c r="C18" s="159">
        <v>112800</v>
      </c>
      <c r="D18" s="177" t="s">
        <v>36</v>
      </c>
      <c r="E18" s="176">
        <f>C18*E$6/E$2</f>
        <v>112.8</v>
      </c>
      <c r="F18" s="176">
        <f>C18*F$6/E$2</f>
        <v>1128</v>
      </c>
      <c r="G18" s="58" t="s">
        <v>36</v>
      </c>
      <c r="H18" s="58" t="s">
        <v>36</v>
      </c>
      <c r="I18" s="70" t="s">
        <v>36</v>
      </c>
      <c r="J18" s="123">
        <v>70</v>
      </c>
      <c r="K18" s="178" t="s">
        <v>244</v>
      </c>
    </row>
    <row r="19" spans="1:12" x14ac:dyDescent="0.35">
      <c r="A19">
        <v>12</v>
      </c>
      <c r="B19" s="123" t="s">
        <v>202</v>
      </c>
      <c r="C19" s="159">
        <v>10400000</v>
      </c>
      <c r="D19" s="176">
        <f>C19*D$6/E$2</f>
        <v>1040</v>
      </c>
      <c r="E19" s="176">
        <f>C19*E$6/E$2</f>
        <v>10400</v>
      </c>
      <c r="F19" s="58" t="s">
        <v>36</v>
      </c>
      <c r="G19" s="58" t="s">
        <v>36</v>
      </c>
      <c r="H19" s="58" t="s">
        <v>36</v>
      </c>
      <c r="I19" s="58" t="s">
        <v>36</v>
      </c>
      <c r="J19" s="178" t="s">
        <v>36</v>
      </c>
      <c r="K19" s="184" t="s">
        <v>36</v>
      </c>
    </row>
    <row r="20" spans="1:12" x14ac:dyDescent="0.35">
      <c r="A20">
        <v>13</v>
      </c>
      <c r="B20" s="123" t="s">
        <v>203</v>
      </c>
      <c r="C20" s="159">
        <v>20000000</v>
      </c>
      <c r="D20" s="176">
        <f>C20*D$6/E$2</f>
        <v>2000</v>
      </c>
      <c r="E20" s="176">
        <f t="shared" ref="E20:E21" si="4">C20*E$6/E$2</f>
        <v>20000</v>
      </c>
      <c r="F20" s="58" t="s">
        <v>36</v>
      </c>
      <c r="G20" s="58" t="s">
        <v>36</v>
      </c>
      <c r="H20" s="58" t="s">
        <v>36</v>
      </c>
      <c r="I20" s="58" t="s">
        <v>36</v>
      </c>
      <c r="J20" s="178" t="s">
        <v>36</v>
      </c>
      <c r="K20" s="184" t="s">
        <v>36</v>
      </c>
    </row>
    <row r="21" spans="1:12" x14ac:dyDescent="0.35">
      <c r="A21">
        <v>14</v>
      </c>
      <c r="B21" s="123" t="s">
        <v>205</v>
      </c>
      <c r="C21" s="159">
        <f>C19</f>
        <v>10400000</v>
      </c>
      <c r="D21" s="176">
        <f>C21*D$6/E$2</f>
        <v>1040</v>
      </c>
      <c r="E21" s="176">
        <f t="shared" si="4"/>
        <v>10400</v>
      </c>
      <c r="F21" s="58" t="s">
        <v>36</v>
      </c>
      <c r="G21" s="58" t="s">
        <v>36</v>
      </c>
      <c r="H21" s="58" t="s">
        <v>36</v>
      </c>
      <c r="I21" s="58" t="s">
        <v>36</v>
      </c>
      <c r="J21" s="178" t="s">
        <v>36</v>
      </c>
      <c r="K21" s="184" t="s">
        <v>36</v>
      </c>
    </row>
    <row r="22" spans="1:12" x14ac:dyDescent="0.35">
      <c r="A22">
        <v>15</v>
      </c>
      <c r="B22" s="123" t="s">
        <v>196</v>
      </c>
      <c r="C22" s="159">
        <v>25</v>
      </c>
      <c r="D22" s="70" t="s">
        <v>36</v>
      </c>
      <c r="E22" s="58" t="s">
        <v>36</v>
      </c>
      <c r="F22" s="58" t="s">
        <v>36</v>
      </c>
      <c r="G22" s="9">
        <f>C22*G$6/E$2</f>
        <v>2.5</v>
      </c>
      <c r="H22" s="8">
        <f t="shared" ref="H22:H24" si="5">C22*H$6/H$2</f>
        <v>2.5000000000000001E-2</v>
      </c>
      <c r="I22" s="142">
        <f t="shared" ref="I22:I24" si="6">C22*I$6/H$2</f>
        <v>0.25</v>
      </c>
      <c r="J22" s="123">
        <f>J25</f>
        <v>3.5</v>
      </c>
      <c r="K22" s="184" t="s">
        <v>233</v>
      </c>
    </row>
    <row r="23" spans="1:12" x14ac:dyDescent="0.35">
      <c r="A23">
        <v>16</v>
      </c>
      <c r="B23" s="123" t="s">
        <v>197</v>
      </c>
      <c r="C23" s="159">
        <v>70</v>
      </c>
      <c r="D23" s="70" t="s">
        <v>36</v>
      </c>
      <c r="E23" s="58" t="s">
        <v>36</v>
      </c>
      <c r="F23" s="58" t="s">
        <v>36</v>
      </c>
      <c r="G23" s="9">
        <f t="shared" ref="G23:G24" si="7">C23*G$6/E$2</f>
        <v>7</v>
      </c>
      <c r="H23" s="8">
        <f t="shared" si="5"/>
        <v>7.0000000000000007E-2</v>
      </c>
      <c r="I23" s="142">
        <f t="shared" si="6"/>
        <v>0.7</v>
      </c>
      <c r="J23" s="123">
        <v>5.3</v>
      </c>
      <c r="K23" s="184" t="s">
        <v>234</v>
      </c>
    </row>
    <row r="24" spans="1:12" x14ac:dyDescent="0.35">
      <c r="A24">
        <v>17</v>
      </c>
      <c r="B24" s="123" t="s">
        <v>195</v>
      </c>
      <c r="C24" s="159">
        <v>125</v>
      </c>
      <c r="D24" s="70" t="s">
        <v>36</v>
      </c>
      <c r="E24" s="58" t="s">
        <v>36</v>
      </c>
      <c r="F24" s="58" t="s">
        <v>36</v>
      </c>
      <c r="G24" s="9">
        <f t="shared" si="7"/>
        <v>12.5</v>
      </c>
      <c r="H24" s="8">
        <f t="shared" si="5"/>
        <v>0.125</v>
      </c>
      <c r="I24" s="142">
        <f t="shared" si="6"/>
        <v>1.25</v>
      </c>
      <c r="J24" s="123">
        <f>J26</f>
        <v>7.2</v>
      </c>
      <c r="K24" s="184" t="s">
        <v>235</v>
      </c>
    </row>
    <row r="25" spans="1:12" x14ac:dyDescent="0.35">
      <c r="A25">
        <v>18</v>
      </c>
      <c r="B25" s="123" t="s">
        <v>223</v>
      </c>
      <c r="C25" s="159">
        <v>10600</v>
      </c>
      <c r="D25" s="176">
        <f>C25*D$6/E$2</f>
        <v>1.06</v>
      </c>
      <c r="E25" s="176">
        <f>C25*E$6/E$2</f>
        <v>10.6</v>
      </c>
      <c r="F25" s="176">
        <f>C25*F$6/E$2</f>
        <v>106</v>
      </c>
      <c r="G25" s="70" t="s">
        <v>36</v>
      </c>
      <c r="H25" s="58" t="s">
        <v>36</v>
      </c>
      <c r="I25" s="58" t="s">
        <v>36</v>
      </c>
      <c r="J25" s="123">
        <v>3.5</v>
      </c>
      <c r="K25" s="184" t="s">
        <v>36</v>
      </c>
    </row>
    <row r="26" spans="1:12" x14ac:dyDescent="0.35">
      <c r="A26">
        <v>19</v>
      </c>
      <c r="B26" s="123" t="s">
        <v>222</v>
      </c>
      <c r="C26" s="159">
        <v>40000</v>
      </c>
      <c r="D26" s="176">
        <f>C26*D$6/E$2</f>
        <v>4</v>
      </c>
      <c r="E26" s="176">
        <f>C26*E$6/E$2</f>
        <v>40</v>
      </c>
      <c r="F26" s="176">
        <f>C26*F$6/E$2</f>
        <v>400</v>
      </c>
      <c r="G26" s="70" t="s">
        <v>36</v>
      </c>
      <c r="H26" s="58" t="s">
        <v>36</v>
      </c>
      <c r="I26" s="58" t="s">
        <v>36</v>
      </c>
      <c r="J26" s="123">
        <v>7.2</v>
      </c>
      <c r="K26" s="184" t="s">
        <v>36</v>
      </c>
    </row>
    <row r="27" spans="1:12" x14ac:dyDescent="0.35">
      <c r="A27">
        <v>20</v>
      </c>
      <c r="B27" s="196" t="s">
        <v>181</v>
      </c>
      <c r="C27" s="190"/>
      <c r="D27" s="190"/>
      <c r="E27" s="195"/>
      <c r="F27" s="195"/>
      <c r="G27" s="195"/>
      <c r="H27" s="190"/>
      <c r="I27" s="191"/>
      <c r="J27" s="197"/>
      <c r="K27" s="198"/>
    </row>
    <row r="28" spans="1:12" x14ac:dyDescent="0.35">
      <c r="A28">
        <v>21</v>
      </c>
      <c r="B28" s="123" t="s">
        <v>218</v>
      </c>
      <c r="C28" s="159">
        <f>400+200</f>
        <v>600</v>
      </c>
      <c r="D28" s="175" t="s">
        <v>36</v>
      </c>
      <c r="E28" s="58" t="s">
        <v>36</v>
      </c>
      <c r="F28" s="58" t="s">
        <v>36</v>
      </c>
      <c r="G28" s="9">
        <f t="shared" ref="G28" si="8">C28*G$6/E$2</f>
        <v>60</v>
      </c>
      <c r="H28" s="8">
        <f t="shared" ref="H28" si="9">C28*H$6/H$2</f>
        <v>0.6</v>
      </c>
      <c r="I28" s="142">
        <f t="shared" ref="I28" si="10">C28*I$6/H$2</f>
        <v>6</v>
      </c>
      <c r="J28" s="181">
        <v>3</v>
      </c>
      <c r="K28" s="184" t="s">
        <v>227</v>
      </c>
    </row>
    <row r="29" spans="1:12" x14ac:dyDescent="0.35">
      <c r="A29">
        <v>22</v>
      </c>
      <c r="B29" s="123" t="s">
        <v>220</v>
      </c>
      <c r="C29" s="159">
        <v>1000</v>
      </c>
      <c r="D29" s="175" t="s">
        <v>36</v>
      </c>
      <c r="E29" s="58" t="s">
        <v>36</v>
      </c>
      <c r="F29" s="58" t="s">
        <v>36</v>
      </c>
      <c r="G29" s="9">
        <f t="shared" ref="G29:G30" si="11">C29*G$6/E$2</f>
        <v>100</v>
      </c>
      <c r="H29" s="8">
        <f t="shared" ref="H29:H30" si="12">C29*H$6/H$2</f>
        <v>1</v>
      </c>
      <c r="I29" s="142">
        <f t="shared" ref="I29" si="13">C29*I$6/H$2</f>
        <v>10</v>
      </c>
      <c r="J29" s="182">
        <v>9</v>
      </c>
      <c r="K29" s="184" t="s">
        <v>227</v>
      </c>
    </row>
    <row r="30" spans="1:12" x14ac:dyDescent="0.35">
      <c r="A30">
        <v>23</v>
      </c>
      <c r="B30" s="123" t="s">
        <v>221</v>
      </c>
      <c r="C30" s="159">
        <v>15000</v>
      </c>
      <c r="D30" s="175" t="s">
        <v>36</v>
      </c>
      <c r="E30" s="58" t="s">
        <v>36</v>
      </c>
      <c r="F30" s="176">
        <f>C30*F$6/E$2</f>
        <v>150</v>
      </c>
      <c r="G30" s="9">
        <f t="shared" si="11"/>
        <v>1500</v>
      </c>
      <c r="H30" s="8">
        <f t="shared" si="12"/>
        <v>15</v>
      </c>
      <c r="I30" s="87" t="s">
        <v>36</v>
      </c>
      <c r="J30" s="182">
        <v>10</v>
      </c>
      <c r="K30" s="184" t="s">
        <v>228</v>
      </c>
    </row>
    <row r="31" spans="1:12" x14ac:dyDescent="0.35">
      <c r="A31">
        <v>24</v>
      </c>
      <c r="B31" s="123" t="s">
        <v>231</v>
      </c>
      <c r="C31" s="159"/>
      <c r="D31" s="159"/>
      <c r="E31" s="9"/>
      <c r="F31" s="9"/>
      <c r="G31" s="9"/>
      <c r="H31" s="159"/>
      <c r="I31" s="171"/>
      <c r="J31" s="182"/>
      <c r="K31" s="184"/>
    </row>
    <row r="32" spans="1:12" ht="15" thickBot="1" x14ac:dyDescent="0.4">
      <c r="A32">
        <v>25</v>
      </c>
      <c r="B32" s="112"/>
      <c r="C32" s="172"/>
      <c r="D32" s="172"/>
      <c r="E32" s="50"/>
      <c r="F32" s="50"/>
      <c r="G32" s="50"/>
      <c r="H32" s="172"/>
      <c r="I32" s="173"/>
      <c r="J32" s="183"/>
      <c r="K32" s="185"/>
    </row>
    <row r="33" spans="1:13" ht="15" thickTop="1" x14ac:dyDescent="0.35"/>
    <row r="36" spans="1:13" ht="24" thickBot="1" x14ac:dyDescent="0.6">
      <c r="B36" s="2" t="s">
        <v>22</v>
      </c>
      <c r="C36" s="2"/>
      <c r="D36" s="2"/>
    </row>
    <row r="37" spans="1:13" ht="15" thickTop="1" x14ac:dyDescent="0.35">
      <c r="B37" s="5"/>
      <c r="C37" s="15" t="s">
        <v>177</v>
      </c>
      <c r="D37" s="6" t="s">
        <v>187</v>
      </c>
      <c r="E37" s="6" t="s">
        <v>179</v>
      </c>
      <c r="F37" s="6" t="s">
        <v>179</v>
      </c>
      <c r="G37" s="6" t="s">
        <v>179</v>
      </c>
      <c r="H37" s="6" t="s">
        <v>179</v>
      </c>
      <c r="I37" s="6" t="s">
        <v>187</v>
      </c>
      <c r="J37" s="80" t="s">
        <v>198</v>
      </c>
      <c r="K37" s="80" t="s">
        <v>212</v>
      </c>
      <c r="L37" s="3" t="s">
        <v>36</v>
      </c>
    </row>
    <row r="38" spans="1:13" x14ac:dyDescent="0.35">
      <c r="B38" s="51"/>
      <c r="C38" s="7"/>
      <c r="D38" s="3">
        <v>100</v>
      </c>
      <c r="E38" s="133">
        <v>1000</v>
      </c>
      <c r="F38" s="133">
        <v>10000</v>
      </c>
      <c r="G38" s="133">
        <v>100000</v>
      </c>
      <c r="H38" s="133">
        <v>1000000</v>
      </c>
      <c r="I38" s="133">
        <v>10000000</v>
      </c>
      <c r="J38" s="123" t="s">
        <v>199</v>
      </c>
      <c r="K38" s="123" t="s">
        <v>214</v>
      </c>
      <c r="L38" s="3" t="s">
        <v>36</v>
      </c>
    </row>
    <row r="39" spans="1:13" ht="15" thickBot="1" x14ac:dyDescent="0.4">
      <c r="B39" s="17"/>
      <c r="C39" s="13"/>
      <c r="D39" s="18" t="s">
        <v>184</v>
      </c>
      <c r="E39" s="18" t="s">
        <v>184</v>
      </c>
      <c r="F39" s="18" t="s">
        <v>184</v>
      </c>
      <c r="G39" s="18" t="s">
        <v>184</v>
      </c>
      <c r="H39" s="18" t="s">
        <v>175</v>
      </c>
      <c r="I39" s="18" t="s">
        <v>175</v>
      </c>
      <c r="J39" s="112"/>
      <c r="K39" s="112" t="s">
        <v>213</v>
      </c>
      <c r="L39" s="3" t="s">
        <v>36</v>
      </c>
    </row>
    <row r="40" spans="1:13" ht="15" thickTop="1" x14ac:dyDescent="0.35">
      <c r="A40">
        <v>1</v>
      </c>
      <c r="B40" s="187" t="s">
        <v>178</v>
      </c>
      <c r="C40" s="202"/>
      <c r="D40" s="203"/>
      <c r="E40" s="195"/>
      <c r="F40" s="195"/>
      <c r="G40" s="195"/>
      <c r="H40" s="201"/>
      <c r="I40" s="201"/>
      <c r="J40" s="192"/>
      <c r="K40" s="192"/>
      <c r="L40" s="3" t="s">
        <v>36</v>
      </c>
    </row>
    <row r="41" spans="1:13" x14ac:dyDescent="0.35">
      <c r="A41">
        <v>2</v>
      </c>
      <c r="B41" s="51" t="s">
        <v>182</v>
      </c>
      <c r="C41" s="174" t="s">
        <v>183</v>
      </c>
      <c r="D41" s="70" t="s">
        <v>37</v>
      </c>
      <c r="E41" s="70" t="s">
        <v>37</v>
      </c>
      <c r="F41" s="58" t="s">
        <v>36</v>
      </c>
      <c r="G41" s="58" t="s">
        <v>36</v>
      </c>
      <c r="H41" s="175" t="s">
        <v>36</v>
      </c>
      <c r="I41" s="179" t="s">
        <v>36</v>
      </c>
      <c r="J41" s="123" t="s">
        <v>183</v>
      </c>
      <c r="K41" s="123" t="s">
        <v>215</v>
      </c>
      <c r="L41" s="3" t="s">
        <v>36</v>
      </c>
    </row>
    <row r="42" spans="1:13" x14ac:dyDescent="0.35">
      <c r="A42">
        <v>3</v>
      </c>
      <c r="B42" s="51" t="s">
        <v>189</v>
      </c>
      <c r="C42" s="174" t="s">
        <v>190</v>
      </c>
      <c r="D42" s="70" t="s">
        <v>37</v>
      </c>
      <c r="E42" s="70" t="s">
        <v>37</v>
      </c>
      <c r="F42" s="58" t="s">
        <v>36</v>
      </c>
      <c r="G42" s="58" t="s">
        <v>36</v>
      </c>
      <c r="H42" s="175" t="s">
        <v>36</v>
      </c>
      <c r="I42" s="179" t="s">
        <v>36</v>
      </c>
      <c r="J42" s="123" t="s">
        <v>190</v>
      </c>
      <c r="K42" s="149" t="s">
        <v>190</v>
      </c>
      <c r="L42" s="3" t="s">
        <v>36</v>
      </c>
    </row>
    <row r="43" spans="1:13" x14ac:dyDescent="0.35">
      <c r="A43">
        <v>4</v>
      </c>
      <c r="B43" s="51" t="s">
        <v>191</v>
      </c>
      <c r="C43" s="174" t="s">
        <v>192</v>
      </c>
      <c r="D43" s="70" t="s">
        <v>37</v>
      </c>
      <c r="E43" s="70" t="s">
        <v>37</v>
      </c>
      <c r="F43" s="58" t="s">
        <v>36</v>
      </c>
      <c r="G43" s="58" t="s">
        <v>36</v>
      </c>
      <c r="H43" s="175" t="s">
        <v>36</v>
      </c>
      <c r="I43" s="179" t="s">
        <v>36</v>
      </c>
      <c r="J43" s="123" t="s">
        <v>192</v>
      </c>
      <c r="K43" s="149" t="s">
        <v>192</v>
      </c>
      <c r="L43" s="3" t="s">
        <v>36</v>
      </c>
    </row>
    <row r="44" spans="1:13" x14ac:dyDescent="0.35">
      <c r="A44">
        <v>5</v>
      </c>
      <c r="B44" s="187" t="s">
        <v>180</v>
      </c>
      <c r="C44" s="199"/>
      <c r="D44" s="200"/>
      <c r="E44" s="200"/>
      <c r="F44" s="200"/>
      <c r="G44" s="200"/>
      <c r="H44" s="200"/>
      <c r="I44" s="200"/>
      <c r="J44" s="192"/>
      <c r="K44" s="192"/>
      <c r="L44" s="3" t="s">
        <v>36</v>
      </c>
    </row>
    <row r="45" spans="1:13" x14ac:dyDescent="0.35">
      <c r="A45">
        <v>6</v>
      </c>
      <c r="B45" s="123" t="s">
        <v>186</v>
      </c>
      <c r="C45" s="4" t="s">
        <v>185</v>
      </c>
      <c r="D45" s="70" t="s">
        <v>37</v>
      </c>
      <c r="E45" s="70" t="s">
        <v>37</v>
      </c>
      <c r="F45" s="70"/>
      <c r="G45" s="70"/>
      <c r="H45" s="70" t="s">
        <v>37</v>
      </c>
      <c r="I45" s="70" t="s">
        <v>37</v>
      </c>
      <c r="J45" s="123" t="s">
        <v>36</v>
      </c>
      <c r="K45" s="149" t="s">
        <v>185</v>
      </c>
      <c r="L45" s="3" t="s">
        <v>36</v>
      </c>
    </row>
    <row r="46" spans="1:13" x14ac:dyDescent="0.35">
      <c r="A46">
        <v>7</v>
      </c>
      <c r="B46" s="123" t="s">
        <v>217</v>
      </c>
      <c r="C46" s="4" t="s">
        <v>193</v>
      </c>
      <c r="D46" s="70" t="s">
        <v>37</v>
      </c>
      <c r="E46" s="70" t="s">
        <v>37</v>
      </c>
      <c r="F46" s="70"/>
      <c r="G46" s="70"/>
      <c r="H46" s="70" t="s">
        <v>37</v>
      </c>
      <c r="I46" s="70" t="s">
        <v>37</v>
      </c>
      <c r="J46" s="123" t="s">
        <v>36</v>
      </c>
      <c r="K46" s="123" t="s">
        <v>193</v>
      </c>
      <c r="L46" s="3" t="s">
        <v>36</v>
      </c>
    </row>
    <row r="47" spans="1:13" x14ac:dyDescent="0.35">
      <c r="A47">
        <v>8</v>
      </c>
      <c r="B47" s="123" t="s">
        <v>224</v>
      </c>
      <c r="C47" s="4" t="s">
        <v>194</v>
      </c>
      <c r="D47" s="70" t="s">
        <v>37</v>
      </c>
      <c r="E47" s="70" t="s">
        <v>37</v>
      </c>
      <c r="F47" s="70"/>
      <c r="G47" s="70"/>
      <c r="H47" s="70" t="s">
        <v>37</v>
      </c>
      <c r="I47" s="70" t="s">
        <v>37</v>
      </c>
      <c r="J47" s="149" t="s">
        <v>201</v>
      </c>
      <c r="K47" s="149" t="s">
        <v>225</v>
      </c>
      <c r="L47" t="s">
        <v>236</v>
      </c>
      <c r="M47" t="s">
        <v>36</v>
      </c>
    </row>
    <row r="48" spans="1:13" x14ac:dyDescent="0.35">
      <c r="A48">
        <v>9</v>
      </c>
      <c r="B48" s="123" t="s">
        <v>238</v>
      </c>
      <c r="C48" s="186" t="s">
        <v>247</v>
      </c>
      <c r="D48" s="70"/>
      <c r="E48" s="70"/>
      <c r="F48" s="70"/>
      <c r="G48" s="70"/>
      <c r="H48" s="70"/>
      <c r="I48" s="70"/>
      <c r="J48" s="149" t="s">
        <v>232</v>
      </c>
      <c r="K48" s="149"/>
      <c r="L48" t="s">
        <v>236</v>
      </c>
      <c r="M48" t="s">
        <v>36</v>
      </c>
    </row>
    <row r="49" spans="1:13" x14ac:dyDescent="0.35">
      <c r="A49">
        <v>10</v>
      </c>
      <c r="B49" s="123" t="s">
        <v>239</v>
      </c>
      <c r="C49" s="186" t="s">
        <v>247</v>
      </c>
      <c r="D49" s="70"/>
      <c r="E49" s="70"/>
      <c r="F49" s="70"/>
      <c r="G49" s="70"/>
      <c r="H49" s="70"/>
      <c r="I49" s="70"/>
      <c r="J49" s="123" t="s">
        <v>232</v>
      </c>
      <c r="K49" s="149" t="s">
        <v>246</v>
      </c>
      <c r="L49" t="s">
        <v>236</v>
      </c>
      <c r="M49" t="s">
        <v>36</v>
      </c>
    </row>
    <row r="50" spans="1:13" x14ac:dyDescent="0.35">
      <c r="A50">
        <v>11</v>
      </c>
      <c r="B50" s="123" t="s">
        <v>240</v>
      </c>
      <c r="C50" s="4" t="s">
        <v>241</v>
      </c>
      <c r="D50" s="70" t="s">
        <v>36</v>
      </c>
      <c r="E50" s="70"/>
      <c r="F50" s="70"/>
      <c r="G50" s="70"/>
      <c r="H50" s="70"/>
      <c r="I50" s="70"/>
      <c r="J50" s="123" t="s">
        <v>241</v>
      </c>
      <c r="K50" s="149" t="s">
        <v>241</v>
      </c>
      <c r="L50" s="3" t="s">
        <v>36</v>
      </c>
    </row>
    <row r="51" spans="1:13" x14ac:dyDescent="0.35">
      <c r="A51">
        <v>12</v>
      </c>
      <c r="B51" s="123" t="s">
        <v>202</v>
      </c>
      <c r="C51" s="4" t="s">
        <v>201</v>
      </c>
      <c r="D51" s="70" t="s">
        <v>37</v>
      </c>
      <c r="E51" s="70" t="s">
        <v>37</v>
      </c>
      <c r="F51" s="70"/>
      <c r="G51" s="70"/>
      <c r="H51" s="70"/>
      <c r="I51" s="70"/>
      <c r="J51" s="123" t="s">
        <v>201</v>
      </c>
      <c r="K51" s="123" t="s">
        <v>36</v>
      </c>
      <c r="L51" s="3"/>
    </row>
    <row r="52" spans="1:13" x14ac:dyDescent="0.35">
      <c r="A52">
        <v>13</v>
      </c>
      <c r="B52" s="123" t="s">
        <v>203</v>
      </c>
      <c r="C52" s="4" t="s">
        <v>204</v>
      </c>
      <c r="D52" s="70" t="s">
        <v>37</v>
      </c>
      <c r="E52" s="70" t="s">
        <v>37</v>
      </c>
      <c r="F52" s="70"/>
      <c r="G52" s="70"/>
      <c r="H52" s="70"/>
      <c r="I52" s="70"/>
      <c r="J52" s="123" t="s">
        <v>204</v>
      </c>
      <c r="K52" s="123" t="s">
        <v>36</v>
      </c>
      <c r="L52" s="3"/>
    </row>
    <row r="53" spans="1:13" x14ac:dyDescent="0.35">
      <c r="A53">
        <v>14</v>
      </c>
      <c r="B53" s="123" t="s">
        <v>205</v>
      </c>
      <c r="C53" t="s">
        <v>94</v>
      </c>
      <c r="D53" s="70" t="s">
        <v>37</v>
      </c>
      <c r="E53" s="70" t="s">
        <v>37</v>
      </c>
      <c r="F53" s="70"/>
      <c r="G53" s="70"/>
      <c r="H53" s="70"/>
      <c r="I53" s="70"/>
      <c r="J53" s="149" t="s">
        <v>232</v>
      </c>
      <c r="K53" s="123" t="s">
        <v>36</v>
      </c>
      <c r="L53" s="3"/>
    </row>
    <row r="54" spans="1:13" x14ac:dyDescent="0.35">
      <c r="A54">
        <v>15</v>
      </c>
      <c r="B54" s="123" t="s">
        <v>196</v>
      </c>
      <c r="C54" s="4" t="s">
        <v>200</v>
      </c>
      <c r="D54" s="70" t="s">
        <v>37</v>
      </c>
      <c r="E54" s="70" t="s">
        <v>37</v>
      </c>
      <c r="F54" s="70"/>
      <c r="G54" s="70" t="s">
        <v>37</v>
      </c>
      <c r="H54" s="70" t="s">
        <v>37</v>
      </c>
      <c r="I54" s="70" t="s">
        <v>37</v>
      </c>
      <c r="J54" s="123"/>
      <c r="K54" s="123" t="s">
        <v>200</v>
      </c>
      <c r="L54" s="3" t="s">
        <v>36</v>
      </c>
    </row>
    <row r="55" spans="1:13" x14ac:dyDescent="0.35">
      <c r="A55">
        <v>16</v>
      </c>
      <c r="B55" s="123" t="s">
        <v>197</v>
      </c>
      <c r="C55" t="s">
        <v>200</v>
      </c>
      <c r="D55" s="70" t="s">
        <v>37</v>
      </c>
      <c r="E55" s="70" t="s">
        <v>37</v>
      </c>
      <c r="F55" s="70"/>
      <c r="G55" s="70" t="s">
        <v>37</v>
      </c>
      <c r="H55" s="70" t="s">
        <v>37</v>
      </c>
      <c r="I55" s="70" t="s">
        <v>37</v>
      </c>
      <c r="J55" s="123"/>
      <c r="K55" s="123" t="s">
        <v>200</v>
      </c>
      <c r="L55" s="3" t="s">
        <v>36</v>
      </c>
    </row>
    <row r="56" spans="1:13" x14ac:dyDescent="0.35">
      <c r="A56">
        <v>17</v>
      </c>
      <c r="B56" s="123" t="s">
        <v>195</v>
      </c>
      <c r="C56" t="s">
        <v>200</v>
      </c>
      <c r="D56" s="70" t="s">
        <v>37</v>
      </c>
      <c r="E56" s="70" t="s">
        <v>37</v>
      </c>
      <c r="F56" s="70"/>
      <c r="G56" s="70" t="s">
        <v>37</v>
      </c>
      <c r="H56" s="70" t="s">
        <v>37</v>
      </c>
      <c r="I56" s="70" t="s">
        <v>37</v>
      </c>
      <c r="J56" s="123"/>
      <c r="K56" s="123" t="s">
        <v>200</v>
      </c>
      <c r="L56" s="3" t="s">
        <v>36</v>
      </c>
    </row>
    <row r="57" spans="1:13" x14ac:dyDescent="0.35">
      <c r="A57">
        <v>18</v>
      </c>
      <c r="B57" s="123" t="s">
        <v>223</v>
      </c>
      <c r="C57" t="s">
        <v>206</v>
      </c>
      <c r="D57" s="70" t="s">
        <v>37</v>
      </c>
      <c r="E57" s="70" t="s">
        <v>37</v>
      </c>
      <c r="F57" s="70"/>
      <c r="G57" s="70"/>
      <c r="H57" s="70"/>
      <c r="I57" s="70"/>
      <c r="J57" s="123" t="s">
        <v>206</v>
      </c>
      <c r="K57" s="123"/>
      <c r="L57" s="3" t="s">
        <v>36</v>
      </c>
    </row>
    <row r="58" spans="1:13" x14ac:dyDescent="0.35">
      <c r="A58">
        <v>19</v>
      </c>
      <c r="B58" s="123" t="s">
        <v>222</v>
      </c>
      <c r="C58" t="s">
        <v>208</v>
      </c>
      <c r="D58" s="70"/>
      <c r="E58" s="70"/>
      <c r="F58" s="70"/>
      <c r="G58" s="70"/>
      <c r="H58" s="70"/>
      <c r="I58" s="70"/>
      <c r="J58" s="149" t="s">
        <v>207</v>
      </c>
      <c r="K58" s="123"/>
      <c r="L58" s="3" t="s">
        <v>36</v>
      </c>
    </row>
    <row r="59" spans="1:13" x14ac:dyDescent="0.35">
      <c r="A59">
        <v>20</v>
      </c>
      <c r="B59" s="196" t="s">
        <v>181</v>
      </c>
      <c r="C59" s="201"/>
      <c r="D59" s="201"/>
      <c r="E59" s="201"/>
      <c r="F59" s="201"/>
      <c r="G59" s="201"/>
      <c r="H59" s="201"/>
      <c r="I59" s="201"/>
      <c r="J59" s="192"/>
      <c r="K59" s="192"/>
      <c r="L59" s="3" t="s">
        <v>36</v>
      </c>
    </row>
    <row r="60" spans="1:13" x14ac:dyDescent="0.35">
      <c r="A60">
        <v>21</v>
      </c>
      <c r="B60" s="123" t="s">
        <v>218</v>
      </c>
      <c r="C60" s="4" t="s">
        <v>209</v>
      </c>
      <c r="D60" s="4" t="s">
        <v>210</v>
      </c>
      <c r="E60" s="70" t="s">
        <v>36</v>
      </c>
      <c r="F60" s="42" t="s">
        <v>36</v>
      </c>
      <c r="J60" s="123" t="s">
        <v>211</v>
      </c>
      <c r="K60" s="149" t="s">
        <v>219</v>
      </c>
      <c r="L60" s="3" t="s">
        <v>36</v>
      </c>
    </row>
    <row r="61" spans="1:13" x14ac:dyDescent="0.35">
      <c r="A61">
        <v>22</v>
      </c>
      <c r="B61" s="123" t="s">
        <v>220</v>
      </c>
      <c r="J61" s="123"/>
      <c r="K61" s="123"/>
      <c r="L61" s="3" t="s">
        <v>36</v>
      </c>
    </row>
    <row r="62" spans="1:13" x14ac:dyDescent="0.35">
      <c r="A62">
        <v>23</v>
      </c>
      <c r="B62" s="123" t="s">
        <v>221</v>
      </c>
      <c r="C62" s="4" t="s">
        <v>250</v>
      </c>
      <c r="J62" s="123"/>
      <c r="K62" s="123"/>
      <c r="L62" s="3"/>
    </row>
    <row r="63" spans="1:13" x14ac:dyDescent="0.35">
      <c r="A63">
        <v>24</v>
      </c>
      <c r="B63" s="123" t="s">
        <v>231</v>
      </c>
      <c r="J63" s="123"/>
      <c r="K63" s="123"/>
      <c r="L63" s="3"/>
    </row>
    <row r="64" spans="1:13" ht="15" thickBot="1" x14ac:dyDescent="0.4">
      <c r="A64">
        <v>25</v>
      </c>
      <c r="B64" s="112"/>
      <c r="C64" s="17"/>
      <c r="D64" s="14"/>
      <c r="E64" s="14"/>
      <c r="F64" s="14"/>
      <c r="G64" s="14"/>
      <c r="H64" s="14"/>
      <c r="I64" s="28"/>
      <c r="J64" s="112"/>
      <c r="K64" s="112"/>
      <c r="L64" s="3" t="s">
        <v>36</v>
      </c>
    </row>
    <row r="65" ht="15" thickTop="1" x14ac:dyDescent="0.35"/>
  </sheetData>
  <phoneticPr fontId="8" type="noConversion"/>
  <hyperlinks>
    <hyperlink ref="C42" r:id="rId1" xr:uid="{698FA5EC-9C8E-4E6D-B0B0-5473293BDFD2}"/>
    <hyperlink ref="C43" r:id="rId2" xr:uid="{617574D0-154B-406F-ABED-37EFE6169D16}"/>
    <hyperlink ref="J58" r:id="rId3" xr:uid="{7B3A7752-1FA2-4D2C-9E5C-B1D6915A7BE8}"/>
    <hyperlink ref="C60" r:id="rId4" xr:uid="{9E5D3041-2C73-4891-85A4-AD96291472F2}"/>
    <hyperlink ref="D60" r:id="rId5" xr:uid="{1FEDC223-9918-4E8F-8DFB-5B1CAF4D83F5}"/>
    <hyperlink ref="C41" r:id="rId6" xr:uid="{EF57936D-EC83-4F86-BCFB-A44CB978FD11}"/>
    <hyperlink ref="K42" r:id="rId7" xr:uid="{0B488C47-1248-48A2-A238-19378F0DA080}"/>
    <hyperlink ref="K43" r:id="rId8" xr:uid="{C7A042CE-B236-43E6-9EF5-40BD50ADCACF}"/>
    <hyperlink ref="C45" r:id="rId9" xr:uid="{B38E383C-5111-4A91-82C9-62DD88D63D7D}"/>
    <hyperlink ref="C46" r:id="rId10" xr:uid="{FA8A52D7-C316-4F5F-8D6F-6E8079184919}"/>
    <hyperlink ref="C47" r:id="rId11" xr:uid="{A2F160E5-2EF7-46CA-A2EC-43AFE0B26528}"/>
    <hyperlink ref="K60" r:id="rId12" xr:uid="{11AD6390-D6CA-46B7-8CCE-EAEC3260E027}"/>
    <hyperlink ref="K45" r:id="rId13" xr:uid="{5F656278-C68E-4A44-9A3B-68BB8411BD05}"/>
    <hyperlink ref="C51" r:id="rId14" xr:uid="{B9B987A8-AEA7-4550-A0E6-683A46DDDC10}"/>
    <hyperlink ref="C52" r:id="rId15" xr:uid="{BD83CB91-9B8B-4A90-A6B3-DD5B0D252C06}"/>
    <hyperlink ref="C54" r:id="rId16" xr:uid="{9B26B9B4-9FD1-4869-A123-8122593480DE}"/>
    <hyperlink ref="J53" r:id="rId17" xr:uid="{4FEC5E02-4D04-4F2D-A702-AC628E46F278}"/>
    <hyperlink ref="C50" r:id="rId18" xr:uid="{72506C61-A04D-417A-B4E9-831823C53C58}"/>
    <hyperlink ref="K47" r:id="rId19" xr:uid="{22130153-30A8-45C9-8D79-8ACA5A7E5D33}"/>
    <hyperlink ref="J47" r:id="rId20" xr:uid="{1A932006-50E5-4DF3-B107-FEDCCB38F1CB}"/>
    <hyperlink ref="J48" r:id="rId21" xr:uid="{43CDC700-093E-467D-9D0D-F96F24A27B49}"/>
    <hyperlink ref="C62" r:id="rId22" xr:uid="{376309C0-CBD5-4F52-A58A-26131954D6E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Data24jan2022ToOct312023</vt:lpstr>
      <vt:lpstr>Data24Jan2022To15Jan2024</vt:lpstr>
      <vt:lpstr>CostOfWeapons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Mathiesen</dc:creator>
  <cp:lastModifiedBy>Henrik Mathiesen</cp:lastModifiedBy>
  <dcterms:created xsi:type="dcterms:W3CDTF">2015-06-05T18:19:34Z</dcterms:created>
  <dcterms:modified xsi:type="dcterms:W3CDTF">2024-03-11T12:13:46Z</dcterms:modified>
</cp:coreProperties>
</file>