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V:\8_MakingTheFutureBetter\2024\#58_85_UkrWar\1_FilesUsedForYTvideo\"/>
    </mc:Choice>
  </mc:AlternateContent>
  <xr:revisionPtr revIDLastSave="0" documentId="13_ncr:1_{065AB4BE-0B6F-4010-AC40-3850E231EC9E}" xr6:coauthVersionLast="47" xr6:coauthVersionMax="47" xr10:uidLastSave="{00000000-0000-0000-0000-000000000000}"/>
  <bookViews>
    <workbookView xWindow="4710" yWindow="2570" windowWidth="30990" windowHeight="15370" activeTab="2" xr2:uid="{00000000-000D-0000-FFFF-FFFF00000000}"/>
  </bookViews>
  <sheets>
    <sheet name="UkrAid24jan2022ToOct312023" sheetId="1" r:id="rId1"/>
    <sheet name="UkrAid24Jan2022To15Jan2024" sheetId="3" r:id="rId2"/>
    <sheet name="WeaponsUKRwar" sheetId="2" r:id="rId3"/>
    <sheet name="UkrWar_KillRatios" sheetId="4" r:id="rId4"/>
    <sheet name="PopGD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4" i="2" l="1"/>
  <c r="J79" i="2"/>
  <c r="U78" i="2"/>
  <c r="V78" i="2"/>
  <c r="W78" i="2"/>
  <c r="U79" i="2"/>
  <c r="V79" i="2" s="1"/>
  <c r="U68" i="2"/>
  <c r="V68" i="2" s="1"/>
  <c r="W68" i="2"/>
  <c r="U69" i="2"/>
  <c r="V69" i="2"/>
  <c r="W69" i="2"/>
  <c r="U70" i="2"/>
  <c r="W70" i="2" s="1"/>
  <c r="V70" i="2"/>
  <c r="U71" i="2"/>
  <c r="V71" i="2"/>
  <c r="W71" i="2"/>
  <c r="J69" i="2"/>
  <c r="B214" i="2"/>
  <c r="A214" i="2"/>
  <c r="A215" i="2"/>
  <c r="U77" i="2"/>
  <c r="V77" i="2" s="1"/>
  <c r="W77" i="2"/>
  <c r="C77" i="2"/>
  <c r="B222" i="2"/>
  <c r="D77" i="2"/>
  <c r="D76" i="2"/>
  <c r="U76" i="2"/>
  <c r="V76" i="2" s="1"/>
  <c r="B221" i="2"/>
  <c r="B285" i="2"/>
  <c r="B203" i="2"/>
  <c r="B166" i="2"/>
  <c r="D21" i="2"/>
  <c r="E21" i="2"/>
  <c r="U133" i="2"/>
  <c r="W133" i="2" s="1"/>
  <c r="U132" i="2"/>
  <c r="W132" i="2" s="1"/>
  <c r="D133" i="2"/>
  <c r="B278" i="2"/>
  <c r="U102" i="2"/>
  <c r="V102" i="2" s="1"/>
  <c r="U67" i="2"/>
  <c r="V67" i="2" s="1"/>
  <c r="D103" i="2"/>
  <c r="B240" i="2"/>
  <c r="B233" i="2"/>
  <c r="M64" i="2"/>
  <c r="K64" i="2"/>
  <c r="U64" i="2" s="1"/>
  <c r="V64" i="2" s="1"/>
  <c r="B209" i="2"/>
  <c r="D64" i="2"/>
  <c r="E64" i="2"/>
  <c r="F64" i="2"/>
  <c r="U63" i="2"/>
  <c r="V63" i="2" s="1"/>
  <c r="B208" i="2"/>
  <c r="D63" i="2"/>
  <c r="E63" i="2"/>
  <c r="F63" i="2"/>
  <c r="O184" i="2"/>
  <c r="O185" i="2"/>
  <c r="O183" i="2"/>
  <c r="B184" i="2"/>
  <c r="B185" i="2"/>
  <c r="E39" i="2"/>
  <c r="F39" i="2"/>
  <c r="E40" i="2"/>
  <c r="F40" i="2"/>
  <c r="U40" i="2"/>
  <c r="V40" i="2" s="1"/>
  <c r="U39" i="2"/>
  <c r="V39" i="2" s="1"/>
  <c r="U38" i="2"/>
  <c r="W38" i="2" s="1"/>
  <c r="E38" i="2"/>
  <c r="F38" i="2"/>
  <c r="B183" i="2"/>
  <c r="P103" i="2"/>
  <c r="B248" i="2"/>
  <c r="B247" i="2"/>
  <c r="U110" i="2"/>
  <c r="V110" i="2" s="1"/>
  <c r="U109" i="2"/>
  <c r="W109" i="2" s="1"/>
  <c r="B255" i="2"/>
  <c r="D110" i="2"/>
  <c r="E110" i="2"/>
  <c r="F109" i="2"/>
  <c r="D109" i="2"/>
  <c r="E109" i="2"/>
  <c r="B254" i="2"/>
  <c r="B212" i="2"/>
  <c r="D67" i="2"/>
  <c r="E80" i="2"/>
  <c r="D80" i="2"/>
  <c r="E83" i="2"/>
  <c r="D83" i="2"/>
  <c r="F82" i="2"/>
  <c r="E82" i="2"/>
  <c r="D82" i="2"/>
  <c r="F81" i="2"/>
  <c r="E81" i="2"/>
  <c r="D81" i="2"/>
  <c r="U82" i="2"/>
  <c r="V82" i="2" s="1"/>
  <c r="B226" i="2"/>
  <c r="B227" i="2"/>
  <c r="U81" i="2"/>
  <c r="W81" i="2" s="1"/>
  <c r="B228" i="2"/>
  <c r="B225" i="2"/>
  <c r="D78" i="2"/>
  <c r="D79" i="2"/>
  <c r="B223" i="2"/>
  <c r="J66" i="2"/>
  <c r="B211" i="2"/>
  <c r="B213" i="2"/>
  <c r="U75" i="2"/>
  <c r="W75" i="2" s="1"/>
  <c r="B220" i="2"/>
  <c r="B219" i="2"/>
  <c r="B281" i="2"/>
  <c r="B282" i="2"/>
  <c r="B251" i="2"/>
  <c r="D75" i="2"/>
  <c r="E75" i="2"/>
  <c r="U137" i="2"/>
  <c r="V137" i="2" s="1"/>
  <c r="F137" i="2"/>
  <c r="E137" i="2"/>
  <c r="D137" i="2"/>
  <c r="D136" i="2"/>
  <c r="U134" i="2"/>
  <c r="W134" i="2" s="1"/>
  <c r="B279" i="2"/>
  <c r="B280" i="2"/>
  <c r="U118" i="2"/>
  <c r="V118" i="2" s="1"/>
  <c r="U117" i="2"/>
  <c r="V117" i="2" s="1"/>
  <c r="D117" i="2"/>
  <c r="E117" i="2"/>
  <c r="U115" i="2"/>
  <c r="W115" i="2" s="1"/>
  <c r="D115" i="2"/>
  <c r="E115" i="2"/>
  <c r="B263" i="2"/>
  <c r="E118" i="2"/>
  <c r="D118" i="2"/>
  <c r="B196" i="2"/>
  <c r="B197" i="2"/>
  <c r="I51" i="2"/>
  <c r="H51" i="2"/>
  <c r="G51" i="2"/>
  <c r="U55" i="2"/>
  <c r="W55" i="2" s="1"/>
  <c r="I55" i="2"/>
  <c r="H55" i="2"/>
  <c r="G55" i="2"/>
  <c r="B200" i="2"/>
  <c r="U74" i="2"/>
  <c r="W74" i="2" s="1"/>
  <c r="I74" i="2"/>
  <c r="H74" i="2"/>
  <c r="G74" i="2"/>
  <c r="B218" i="2"/>
  <c r="D73" i="2"/>
  <c r="E73" i="2"/>
  <c r="K73" i="2"/>
  <c r="U73" i="2" s="1"/>
  <c r="W73" i="2" s="1"/>
  <c r="U116" i="2"/>
  <c r="V116" i="2" s="1"/>
  <c r="D116" i="2"/>
  <c r="E116" i="2"/>
  <c r="E54" i="2"/>
  <c r="D54" i="2"/>
  <c r="U114" i="2"/>
  <c r="W114" i="2" s="1"/>
  <c r="D114" i="2"/>
  <c r="E114" i="2"/>
  <c r="B262" i="2"/>
  <c r="B259" i="2"/>
  <c r="B261" i="2"/>
  <c r="J70" i="2"/>
  <c r="J71" i="2"/>
  <c r="J54" i="2"/>
  <c r="B199" i="2"/>
  <c r="C72" i="2"/>
  <c r="H72" i="2" s="1"/>
  <c r="D71" i="2"/>
  <c r="E71" i="2"/>
  <c r="B216" i="2"/>
  <c r="B217" i="2"/>
  <c r="E70" i="2"/>
  <c r="D70" i="2"/>
  <c r="B215" i="2"/>
  <c r="B234" i="2"/>
  <c r="B235" i="2"/>
  <c r="B236" i="2"/>
  <c r="B237" i="2"/>
  <c r="K99" i="2"/>
  <c r="L99" i="2"/>
  <c r="M99" i="2"/>
  <c r="J99" i="2"/>
  <c r="U98" i="2"/>
  <c r="W98" i="2" s="1"/>
  <c r="U96" i="2"/>
  <c r="W96" i="2" s="1"/>
  <c r="K97" i="2"/>
  <c r="L97" i="2"/>
  <c r="M97" i="2"/>
  <c r="J97" i="2"/>
  <c r="L92" i="2"/>
  <c r="M92" i="2"/>
  <c r="K92" i="2"/>
  <c r="J92" i="2"/>
  <c r="I92" i="2"/>
  <c r="E91" i="2"/>
  <c r="H92" i="2"/>
  <c r="G92" i="2"/>
  <c r="H99" i="2"/>
  <c r="G99" i="2"/>
  <c r="H97" i="2"/>
  <c r="G97" i="2"/>
  <c r="B243" i="2"/>
  <c r="B244" i="2"/>
  <c r="B242" i="2"/>
  <c r="D52" i="2"/>
  <c r="E52" i="2"/>
  <c r="U53" i="2"/>
  <c r="D53" i="2"/>
  <c r="E53" i="2"/>
  <c r="B198" i="2"/>
  <c r="D101" i="2"/>
  <c r="E101" i="2"/>
  <c r="F101" i="2"/>
  <c r="G101" i="2"/>
  <c r="U113" i="2"/>
  <c r="D113" i="2"/>
  <c r="E113" i="2"/>
  <c r="B258" i="2"/>
  <c r="U59" i="2"/>
  <c r="C59" i="2"/>
  <c r="D59" i="2" s="1"/>
  <c r="B204" i="2"/>
  <c r="U60" i="2"/>
  <c r="B205" i="2"/>
  <c r="F60" i="2"/>
  <c r="G60" i="2"/>
  <c r="U62" i="2"/>
  <c r="V62" i="2" s="1"/>
  <c r="D62" i="2"/>
  <c r="E62" i="2"/>
  <c r="F62" i="2"/>
  <c r="B207" i="2"/>
  <c r="I65" i="2"/>
  <c r="H65" i="2"/>
  <c r="G65" i="2"/>
  <c r="U65" i="2"/>
  <c r="V65" i="2" s="1"/>
  <c r="B210" i="2"/>
  <c r="B206" i="2"/>
  <c r="F61" i="2"/>
  <c r="E61" i="2"/>
  <c r="D61" i="2"/>
  <c r="U61" i="2"/>
  <c r="U43" i="2"/>
  <c r="V43" i="2" s="1"/>
  <c r="E43" i="2"/>
  <c r="F43" i="2"/>
  <c r="B188" i="2"/>
  <c r="B186" i="2"/>
  <c r="B187" i="2"/>
  <c r="E41" i="2"/>
  <c r="F41" i="2"/>
  <c r="E42" i="2"/>
  <c r="F42" i="2"/>
  <c r="H35" i="2"/>
  <c r="E37" i="2"/>
  <c r="F37" i="2"/>
  <c r="F36" i="2"/>
  <c r="E36" i="2"/>
  <c r="B181" i="2"/>
  <c r="B182" i="2"/>
  <c r="U32" i="2"/>
  <c r="V32" i="2" s="1"/>
  <c r="U45" i="2"/>
  <c r="B190" i="2"/>
  <c r="I45" i="2"/>
  <c r="H45" i="2"/>
  <c r="G45" i="2"/>
  <c r="F44" i="2"/>
  <c r="E44" i="2"/>
  <c r="D44" i="2"/>
  <c r="B189" i="2"/>
  <c r="H57" i="2"/>
  <c r="G57" i="2"/>
  <c r="F57" i="2"/>
  <c r="B202" i="2"/>
  <c r="H132" i="2"/>
  <c r="G132" i="2"/>
  <c r="F132" i="2"/>
  <c r="B277" i="2"/>
  <c r="B275" i="2"/>
  <c r="B276" i="2"/>
  <c r="F129" i="2"/>
  <c r="E129" i="2"/>
  <c r="D129" i="2"/>
  <c r="I130" i="2"/>
  <c r="H130" i="2"/>
  <c r="G130" i="2"/>
  <c r="B274" i="2"/>
  <c r="B273" i="2"/>
  <c r="U128" i="2"/>
  <c r="B271" i="2"/>
  <c r="G126" i="2"/>
  <c r="F126" i="2"/>
  <c r="E126" i="2"/>
  <c r="D126" i="2"/>
  <c r="D127" i="2"/>
  <c r="B272" i="2"/>
  <c r="D125" i="2"/>
  <c r="B270" i="2"/>
  <c r="U124" i="2"/>
  <c r="B269" i="2"/>
  <c r="F124" i="2"/>
  <c r="E124" i="2"/>
  <c r="D124" i="2"/>
  <c r="B268" i="2"/>
  <c r="D123" i="2"/>
  <c r="D56" i="2"/>
  <c r="E56" i="2"/>
  <c r="B201" i="2"/>
  <c r="U108" i="2"/>
  <c r="D108" i="2"/>
  <c r="E108" i="2"/>
  <c r="B253" i="2"/>
  <c r="G29" i="2"/>
  <c r="K111" i="2"/>
  <c r="U111" i="2" s="1"/>
  <c r="E112" i="2"/>
  <c r="F112" i="2"/>
  <c r="E111" i="2"/>
  <c r="F111" i="2"/>
  <c r="K112" i="2"/>
  <c r="U112" i="2" s="1"/>
  <c r="U29" i="2"/>
  <c r="G30" i="2"/>
  <c r="E30" i="2"/>
  <c r="F30" i="2"/>
  <c r="E29" i="2"/>
  <c r="F29" i="2"/>
  <c r="G28" i="2"/>
  <c r="E28" i="2"/>
  <c r="F28" i="2"/>
  <c r="B257" i="2"/>
  <c r="B173" i="2"/>
  <c r="B174" i="2"/>
  <c r="B175" i="2"/>
  <c r="B256" i="2"/>
  <c r="D31" i="2"/>
  <c r="E31" i="2"/>
  <c r="B176" i="2"/>
  <c r="B177" i="2"/>
  <c r="B178" i="2"/>
  <c r="B179" i="2"/>
  <c r="B180" i="2"/>
  <c r="B171" i="2"/>
  <c r="B172" i="2"/>
  <c r="B163" i="2"/>
  <c r="B164" i="2"/>
  <c r="B165" i="2"/>
  <c r="B167" i="2"/>
  <c r="B168" i="2"/>
  <c r="B169" i="2"/>
  <c r="B170" i="2"/>
  <c r="B162" i="2"/>
  <c r="B161" i="2"/>
  <c r="B160" i="2"/>
  <c r="B159" i="2"/>
  <c r="AX10" i="4"/>
  <c r="O10" i="4"/>
  <c r="BU45" i="4"/>
  <c r="BU40" i="4"/>
  <c r="BR45" i="4"/>
  <c r="BR40" i="4"/>
  <c r="BU38" i="4"/>
  <c r="BR38" i="4"/>
  <c r="BU37" i="4"/>
  <c r="BR37" i="4"/>
  <c r="BU33" i="4"/>
  <c r="BR33" i="4"/>
  <c r="BU32" i="4"/>
  <c r="BR32" i="4"/>
  <c r="BU31" i="4"/>
  <c r="BR31" i="4"/>
  <c r="BU25" i="4"/>
  <c r="BR25" i="4"/>
  <c r="BU19" i="4"/>
  <c r="BR19" i="4"/>
  <c r="BU18" i="4"/>
  <c r="BR18" i="4"/>
  <c r="BU10" i="4"/>
  <c r="BR10" i="4"/>
  <c r="BU9" i="4"/>
  <c r="BU8" i="4"/>
  <c r="BU7" i="4"/>
  <c r="BR9" i="4"/>
  <c r="BR8" i="4"/>
  <c r="BR7" i="4"/>
  <c r="BI9" i="4"/>
  <c r="BI8" i="4"/>
  <c r="BI7" i="4"/>
  <c r="AX9" i="4"/>
  <c r="AX8" i="4"/>
  <c r="AX7" i="4"/>
  <c r="AM9" i="4"/>
  <c r="AM8" i="4"/>
  <c r="AM7" i="4"/>
  <c r="AG9" i="4"/>
  <c r="AG8" i="4"/>
  <c r="AG7" i="4"/>
  <c r="AA9" i="4"/>
  <c r="AA58" i="4" s="1"/>
  <c r="AA8" i="4"/>
  <c r="AA57" i="4" s="1"/>
  <c r="AA7" i="4"/>
  <c r="AA56" i="4" s="1"/>
  <c r="U9" i="4"/>
  <c r="U58" i="4" s="1"/>
  <c r="U8" i="4"/>
  <c r="U57" i="4" s="1"/>
  <c r="U7" i="4"/>
  <c r="U56" i="4" s="1"/>
  <c r="F19" i="4"/>
  <c r="G19" i="4" s="1"/>
  <c r="N56" i="4"/>
  <c r="AF56" i="4" s="1"/>
  <c r="O56" i="4"/>
  <c r="N57" i="4"/>
  <c r="AL57" i="4" s="1"/>
  <c r="O57" i="4"/>
  <c r="N58" i="4"/>
  <c r="AF58" i="4" s="1"/>
  <c r="O58" i="4"/>
  <c r="J45" i="4"/>
  <c r="BO45" i="4" s="1"/>
  <c r="G45" i="4"/>
  <c r="BP45" i="4" s="1"/>
  <c r="Y40" i="4"/>
  <c r="AV40" i="4" s="1"/>
  <c r="S40" i="4"/>
  <c r="M40" i="4"/>
  <c r="K58" i="4"/>
  <c r="J56" i="4"/>
  <c r="J57" i="4"/>
  <c r="J58" i="4"/>
  <c r="H58" i="4"/>
  <c r="BQ7" i="4"/>
  <c r="BS7" i="4"/>
  <c r="BT7" i="4"/>
  <c r="BV7" i="4"/>
  <c r="BQ8" i="4"/>
  <c r="BS8" i="4"/>
  <c r="BT8" i="4"/>
  <c r="BV8" i="4"/>
  <c r="BO9" i="4"/>
  <c r="BP9" i="4"/>
  <c r="BQ9" i="4"/>
  <c r="BS9" i="4"/>
  <c r="BT9" i="4"/>
  <c r="BV9" i="4"/>
  <c r="BV11" i="4"/>
  <c r="BV20" i="4"/>
  <c r="BV26" i="4"/>
  <c r="BS38" i="4"/>
  <c r="BV38" i="4"/>
  <c r="BN40" i="4"/>
  <c r="BN45" i="4"/>
  <c r="BD9" i="4"/>
  <c r="BC8" i="4"/>
  <c r="AC10" i="4"/>
  <c r="AV45" i="4"/>
  <c r="AV46" i="4" s="1"/>
  <c r="AY44" i="4"/>
  <c r="AY43" i="4"/>
  <c r="AY42" i="4"/>
  <c r="AY41" i="4"/>
  <c r="AV36" i="4"/>
  <c r="AV37" i="4"/>
  <c r="AY37" i="4"/>
  <c r="AV38" i="4"/>
  <c r="AY38" i="4"/>
  <c r="AV39" i="4"/>
  <c r="AY39" i="4"/>
  <c r="AY35" i="4"/>
  <c r="AY34" i="4"/>
  <c r="AV31" i="4"/>
  <c r="AV32" i="4"/>
  <c r="AY32" i="4"/>
  <c r="AV33" i="4"/>
  <c r="AY33" i="4"/>
  <c r="AY30" i="4"/>
  <c r="AY29" i="4"/>
  <c r="AY28" i="4"/>
  <c r="AY27" i="4"/>
  <c r="AY26" i="4"/>
  <c r="AV25" i="4"/>
  <c r="AY24" i="4"/>
  <c r="AY23" i="4"/>
  <c r="AY22" i="4"/>
  <c r="AY21" i="4"/>
  <c r="AY20" i="4"/>
  <c r="AV18" i="4"/>
  <c r="AV19" i="4"/>
  <c r="AY19" i="4"/>
  <c r="AY17" i="4"/>
  <c r="AY16" i="4"/>
  <c r="AY15" i="4"/>
  <c r="AY14" i="4"/>
  <c r="AY13" i="4"/>
  <c r="AY12" i="4"/>
  <c r="AY11" i="4"/>
  <c r="AU11" i="4"/>
  <c r="AU12" i="4"/>
  <c r="AU13" i="4"/>
  <c r="AU14" i="4"/>
  <c r="AU15" i="4"/>
  <c r="AU16" i="4"/>
  <c r="AU17" i="4"/>
  <c r="AU19" i="4"/>
  <c r="AU20" i="4"/>
  <c r="AU21" i="4"/>
  <c r="AU22" i="4"/>
  <c r="AU23" i="4"/>
  <c r="AU24" i="4"/>
  <c r="AU26" i="4"/>
  <c r="AU27" i="4"/>
  <c r="AU28" i="4"/>
  <c r="AZ28" i="4" s="1"/>
  <c r="BS28" i="4" s="1"/>
  <c r="AU29" i="4"/>
  <c r="AU30" i="4"/>
  <c r="AU32" i="4"/>
  <c r="AU33" i="4"/>
  <c r="AU34" i="4"/>
  <c r="AU35" i="4"/>
  <c r="AU37" i="4"/>
  <c r="AU38" i="4"/>
  <c r="AU39" i="4"/>
  <c r="AU41" i="4"/>
  <c r="AU42" i="4"/>
  <c r="AU43" i="4"/>
  <c r="AU44" i="4"/>
  <c r="AY10" i="4"/>
  <c r="AV10" i="4"/>
  <c r="AR8" i="4"/>
  <c r="AU10" i="4"/>
  <c r="AS9" i="4"/>
  <c r="AK10" i="4"/>
  <c r="BG10" i="4" s="1"/>
  <c r="AK4" i="4"/>
  <c r="AE4" i="4"/>
  <c r="AK45" i="4"/>
  <c r="AK46" i="4" s="1"/>
  <c r="AN44" i="4"/>
  <c r="BJ44" i="4" s="1"/>
  <c r="AJ44" i="4"/>
  <c r="AN43" i="4"/>
  <c r="BJ43" i="4" s="1"/>
  <c r="AJ43" i="4"/>
  <c r="AN42" i="4"/>
  <c r="BJ42" i="4" s="1"/>
  <c r="AJ42" i="4"/>
  <c r="BF42" i="4" s="1"/>
  <c r="AN41" i="4"/>
  <c r="BJ41" i="4" s="1"/>
  <c r="AJ41" i="4"/>
  <c r="BF41" i="4" s="1"/>
  <c r="AN39" i="4"/>
  <c r="BJ39" i="4" s="1"/>
  <c r="AK39" i="4"/>
  <c r="BG39" i="4" s="1"/>
  <c r="AJ39" i="4"/>
  <c r="AN38" i="4"/>
  <c r="BJ38" i="4" s="1"/>
  <c r="AK38" i="4"/>
  <c r="BG38" i="4" s="1"/>
  <c r="AJ38" i="4"/>
  <c r="BF38" i="4" s="1"/>
  <c r="AN37" i="4"/>
  <c r="BJ37" i="4" s="1"/>
  <c r="AK37" i="4"/>
  <c r="BG37" i="4" s="1"/>
  <c r="AJ37" i="4"/>
  <c r="AO37" i="4" s="1"/>
  <c r="AK36" i="4"/>
  <c r="BG36" i="4" s="1"/>
  <c r="AN35" i="4"/>
  <c r="BJ35" i="4" s="1"/>
  <c r="AJ35" i="4"/>
  <c r="AN34" i="4"/>
  <c r="BJ34" i="4" s="1"/>
  <c r="AJ34" i="4"/>
  <c r="AN33" i="4"/>
  <c r="BJ33" i="4" s="1"/>
  <c r="AK33" i="4"/>
  <c r="BG33" i="4" s="1"/>
  <c r="AJ33" i="4"/>
  <c r="BF33" i="4" s="1"/>
  <c r="AN32" i="4"/>
  <c r="BJ32" i="4" s="1"/>
  <c r="AK32" i="4"/>
  <c r="BG32" i="4" s="1"/>
  <c r="AJ32" i="4"/>
  <c r="BF32" i="4" s="1"/>
  <c r="AK31" i="4"/>
  <c r="BG31" i="4" s="1"/>
  <c r="AN30" i="4"/>
  <c r="BJ30" i="4" s="1"/>
  <c r="AJ30" i="4"/>
  <c r="BF30" i="4" s="1"/>
  <c r="AN29" i="4"/>
  <c r="BJ29" i="4" s="1"/>
  <c r="AJ29" i="4"/>
  <c r="BF29" i="4" s="1"/>
  <c r="AN28" i="4"/>
  <c r="BJ28" i="4" s="1"/>
  <c r="AJ28" i="4"/>
  <c r="AN27" i="4"/>
  <c r="BJ27" i="4" s="1"/>
  <c r="AJ27" i="4"/>
  <c r="BF27" i="4" s="1"/>
  <c r="AN26" i="4"/>
  <c r="BJ26" i="4" s="1"/>
  <c r="AJ26" i="4"/>
  <c r="BF26" i="4" s="1"/>
  <c r="AK25" i="4"/>
  <c r="BG25" i="4" s="1"/>
  <c r="AN24" i="4"/>
  <c r="BJ24" i="4" s="1"/>
  <c r="AJ24" i="4"/>
  <c r="AO24" i="4" s="1"/>
  <c r="AN23" i="4"/>
  <c r="BJ23" i="4" s="1"/>
  <c r="AJ23" i="4"/>
  <c r="BF23" i="4" s="1"/>
  <c r="AN22" i="4"/>
  <c r="BJ22" i="4" s="1"/>
  <c r="AJ22" i="4"/>
  <c r="AN21" i="4"/>
  <c r="BJ21" i="4" s="1"/>
  <c r="AJ21" i="4"/>
  <c r="AN20" i="4"/>
  <c r="BJ20" i="4" s="1"/>
  <c r="AJ20" i="4"/>
  <c r="BF20" i="4" s="1"/>
  <c r="AN19" i="4"/>
  <c r="BJ19" i="4" s="1"/>
  <c r="AK19" i="4"/>
  <c r="BG19" i="4" s="1"/>
  <c r="AJ19" i="4"/>
  <c r="AK18" i="4"/>
  <c r="BG18" i="4" s="1"/>
  <c r="AN17" i="4"/>
  <c r="BJ17" i="4" s="1"/>
  <c r="AJ17" i="4"/>
  <c r="BF17" i="4" s="1"/>
  <c r="AN16" i="4"/>
  <c r="BJ16" i="4" s="1"/>
  <c r="AJ16" i="4"/>
  <c r="AN15" i="4"/>
  <c r="AJ15" i="4"/>
  <c r="BF15" i="4" s="1"/>
  <c r="AN14" i="4"/>
  <c r="BJ14" i="4" s="1"/>
  <c r="AJ14" i="4"/>
  <c r="BF14" i="4" s="1"/>
  <c r="AN13" i="4"/>
  <c r="BJ13" i="4" s="1"/>
  <c r="AJ13" i="4"/>
  <c r="BF13" i="4" s="1"/>
  <c r="AN12" i="4"/>
  <c r="BJ12" i="4" s="1"/>
  <c r="AJ12" i="4"/>
  <c r="AN11" i="4"/>
  <c r="BJ11" i="4" s="1"/>
  <c r="AJ11" i="4"/>
  <c r="BF11" i="4" s="1"/>
  <c r="AN10" i="4"/>
  <c r="BJ10" i="4" s="1"/>
  <c r="AJ10" i="4"/>
  <c r="AO9" i="4"/>
  <c r="AL9" i="4"/>
  <c r="AK9" i="4"/>
  <c r="AJ9" i="4"/>
  <c r="AO8" i="4"/>
  <c r="AL8" i="4"/>
  <c r="AK8" i="4"/>
  <c r="AJ8" i="4"/>
  <c r="AO7" i="4"/>
  <c r="AN7" i="4"/>
  <c r="AL7" i="4"/>
  <c r="AK7" i="4"/>
  <c r="AJ7" i="4"/>
  <c r="AH44" i="4"/>
  <c r="AH43" i="4"/>
  <c r="AH42" i="4"/>
  <c r="AH41" i="4"/>
  <c r="AH39" i="4"/>
  <c r="AH38" i="4"/>
  <c r="AH37" i="4"/>
  <c r="AH35" i="4"/>
  <c r="AH34" i="4"/>
  <c r="AH33" i="4"/>
  <c r="AH32" i="4"/>
  <c r="AH30" i="4"/>
  <c r="AH29" i="4"/>
  <c r="AH28" i="4"/>
  <c r="AH27" i="4"/>
  <c r="AH26" i="4"/>
  <c r="AH24" i="4"/>
  <c r="AH23" i="4"/>
  <c r="AH22" i="4"/>
  <c r="AH21" i="4"/>
  <c r="AH20" i="4"/>
  <c r="AH19" i="4"/>
  <c r="AH17" i="4"/>
  <c r="AH16" i="4"/>
  <c r="AH15" i="4"/>
  <c r="AH14" i="4"/>
  <c r="AH13" i="4"/>
  <c r="AH12" i="4"/>
  <c r="AH11" i="4"/>
  <c r="AH10" i="4"/>
  <c r="AE45" i="4"/>
  <c r="AE39" i="4"/>
  <c r="AE38" i="4"/>
  <c r="AE37" i="4"/>
  <c r="AE36" i="4"/>
  <c r="AE33" i="4"/>
  <c r="AE32" i="4"/>
  <c r="AE31" i="4"/>
  <c r="AE25" i="4"/>
  <c r="AE19" i="4"/>
  <c r="AE18" i="4"/>
  <c r="AE10" i="4"/>
  <c r="AD44" i="4"/>
  <c r="AD43" i="4"/>
  <c r="AD42" i="4"/>
  <c r="AD41" i="4"/>
  <c r="AD39" i="4"/>
  <c r="AD38" i="4"/>
  <c r="AD37" i="4"/>
  <c r="AD35" i="4"/>
  <c r="AD34" i="4"/>
  <c r="AD33" i="4"/>
  <c r="AD32" i="4"/>
  <c r="AD30" i="4"/>
  <c r="AD29" i="4"/>
  <c r="AD28" i="4"/>
  <c r="AD27" i="4"/>
  <c r="AD26" i="4"/>
  <c r="AD24" i="4"/>
  <c r="AD23" i="4"/>
  <c r="AD22" i="4"/>
  <c r="AD21" i="4"/>
  <c r="AD20" i="4"/>
  <c r="AD19" i="4"/>
  <c r="AD17" i="4"/>
  <c r="AD16" i="4"/>
  <c r="AD15" i="4"/>
  <c r="AD14" i="4"/>
  <c r="AD13" i="4"/>
  <c r="AD12" i="4"/>
  <c r="AD11" i="4"/>
  <c r="AD10" i="4"/>
  <c r="Y4" i="4"/>
  <c r="Z45" i="4" s="1"/>
  <c r="X55" i="4"/>
  <c r="Y46" i="4"/>
  <c r="AC44" i="4"/>
  <c r="AC43" i="4"/>
  <c r="AC42" i="4"/>
  <c r="AC41" i="4"/>
  <c r="AC39" i="4"/>
  <c r="AC37" i="4"/>
  <c r="AB36" i="4"/>
  <c r="AB49" i="4" s="1"/>
  <c r="X36" i="4"/>
  <c r="AU36" i="4" s="1"/>
  <c r="AC35" i="4"/>
  <c r="AC34" i="4"/>
  <c r="AC33" i="4"/>
  <c r="AC32" i="4"/>
  <c r="AB31" i="4"/>
  <c r="AY31" i="4" s="1"/>
  <c r="X31" i="4"/>
  <c r="AU31" i="4" s="1"/>
  <c r="AZ31" i="4" s="1"/>
  <c r="BS31" i="4" s="1"/>
  <c r="AC30" i="4"/>
  <c r="AC29" i="4"/>
  <c r="AC28" i="4"/>
  <c r="AC27" i="4"/>
  <c r="AC26" i="4"/>
  <c r="AB25" i="4"/>
  <c r="AY25" i="4" s="1"/>
  <c r="X25" i="4"/>
  <c r="AU25" i="4" s="1"/>
  <c r="AC24" i="4"/>
  <c r="AC23" i="4"/>
  <c r="AC22" i="4"/>
  <c r="AC21" i="4"/>
  <c r="AC20" i="4"/>
  <c r="AC19" i="4"/>
  <c r="AB18" i="4"/>
  <c r="AY18" i="4" s="1"/>
  <c r="X18" i="4"/>
  <c r="AU18" i="4" s="1"/>
  <c r="AC17" i="4"/>
  <c r="AC16" i="4"/>
  <c r="AC15" i="4"/>
  <c r="AC14" i="4"/>
  <c r="AC13" i="4"/>
  <c r="AC12" i="4"/>
  <c r="AC11" i="4"/>
  <c r="AC9" i="4"/>
  <c r="AC58" i="4" s="1"/>
  <c r="Z9" i="4"/>
  <c r="Z58" i="4" s="1"/>
  <c r="Y9" i="4"/>
  <c r="Y58" i="4" s="1"/>
  <c r="X9" i="4"/>
  <c r="X58" i="4" s="1"/>
  <c r="AC8" i="4"/>
  <c r="AC57" i="4" s="1"/>
  <c r="Z8" i="4"/>
  <c r="Z57" i="4" s="1"/>
  <c r="Y8" i="4"/>
  <c r="Y57" i="4" s="1"/>
  <c r="X8" i="4"/>
  <c r="X57" i="4" s="1"/>
  <c r="AC7" i="4"/>
  <c r="AC56" i="4" s="1"/>
  <c r="AB7" i="4"/>
  <c r="AB56" i="4" s="1"/>
  <c r="Z7" i="4"/>
  <c r="Z56" i="4" s="1"/>
  <c r="Y7" i="4"/>
  <c r="Y56" i="4" s="1"/>
  <c r="X7" i="4"/>
  <c r="X56" i="4" s="1"/>
  <c r="E50" i="2"/>
  <c r="D50" i="2"/>
  <c r="I23" i="2"/>
  <c r="B195" i="2"/>
  <c r="K150" i="2"/>
  <c r="L150" i="2"/>
  <c r="M150" i="2"/>
  <c r="N150" i="2"/>
  <c r="K151" i="2"/>
  <c r="L151" i="2"/>
  <c r="M151" i="2"/>
  <c r="L152" i="2"/>
  <c r="M152" i="2"/>
  <c r="J151" i="2"/>
  <c r="J150" i="2"/>
  <c r="B246" i="2"/>
  <c r="D100" i="2"/>
  <c r="E100" i="2"/>
  <c r="F100" i="2"/>
  <c r="G100" i="2"/>
  <c r="B245" i="2"/>
  <c r="F96" i="2"/>
  <c r="E96" i="2"/>
  <c r="D96" i="2"/>
  <c r="F98" i="2"/>
  <c r="E98" i="2"/>
  <c r="D98" i="2"/>
  <c r="B241" i="2"/>
  <c r="E107" i="2"/>
  <c r="D107" i="2"/>
  <c r="B252" i="2"/>
  <c r="M89" i="2"/>
  <c r="G33" i="2"/>
  <c r="H33" i="2"/>
  <c r="I33" i="2"/>
  <c r="G34" i="2"/>
  <c r="H34" i="2"/>
  <c r="I34" i="2"/>
  <c r="I32" i="2"/>
  <c r="H32" i="2"/>
  <c r="G32" i="2"/>
  <c r="G35" i="2"/>
  <c r="F35" i="2"/>
  <c r="B158" i="2"/>
  <c r="B155" i="2"/>
  <c r="B156" i="2"/>
  <c r="B154" i="2"/>
  <c r="A154" i="2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BC45" i="4"/>
  <c r="AR45" i="4"/>
  <c r="BE6" i="4"/>
  <c r="BP6" i="4" s="1"/>
  <c r="BC40" i="4"/>
  <c r="M4" i="4"/>
  <c r="AR40" i="4"/>
  <c r="BE9" i="4"/>
  <c r="AT9" i="4"/>
  <c r="G58" i="4"/>
  <c r="G38" i="4"/>
  <c r="BE38" i="4" s="1"/>
  <c r="G37" i="4"/>
  <c r="AT37" i="4" s="1"/>
  <c r="G10" i="4"/>
  <c r="AT10" i="4" s="1"/>
  <c r="G8" i="4"/>
  <c r="G57" i="4" s="1"/>
  <c r="G7" i="4"/>
  <c r="G56" i="4" s="1"/>
  <c r="BH9" i="4"/>
  <c r="BH8" i="4"/>
  <c r="BH7" i="4"/>
  <c r="AW9" i="4"/>
  <c r="AW8" i="4"/>
  <c r="AW7" i="4"/>
  <c r="S4" i="4"/>
  <c r="T18" i="4" s="1"/>
  <c r="AF9" i="4"/>
  <c r="AF8" i="4"/>
  <c r="AF7" i="4"/>
  <c r="T9" i="4"/>
  <c r="T58" i="4" s="1"/>
  <c r="T8" i="4"/>
  <c r="T57" i="4" s="1"/>
  <c r="T7" i="4"/>
  <c r="T56" i="4" s="1"/>
  <c r="E9" i="4"/>
  <c r="F33" i="4"/>
  <c r="G33" i="4" s="1"/>
  <c r="AT33" i="4" s="1"/>
  <c r="F32" i="4"/>
  <c r="G32" i="4" s="1"/>
  <c r="AT32" i="4" s="1"/>
  <c r="H50" i="4"/>
  <c r="F50" i="4"/>
  <c r="F18" i="4"/>
  <c r="F25" i="4" s="1"/>
  <c r="G25" i="4" s="1"/>
  <c r="AT25" i="4" s="1"/>
  <c r="F56" i="4"/>
  <c r="H56" i="4"/>
  <c r="I56" i="4"/>
  <c r="F57" i="4"/>
  <c r="H57" i="4"/>
  <c r="I57" i="4"/>
  <c r="F58" i="4"/>
  <c r="I58" i="4"/>
  <c r="BK9" i="4"/>
  <c r="BG9" i="4"/>
  <c r="BF9" i="4"/>
  <c r="BK8" i="4"/>
  <c r="BG8" i="4"/>
  <c r="BF8" i="4"/>
  <c r="BK7" i="4"/>
  <c r="BJ7" i="4"/>
  <c r="BG7" i="4"/>
  <c r="BF7" i="4"/>
  <c r="H11" i="5"/>
  <c r="H10" i="5"/>
  <c r="G11" i="5"/>
  <c r="G10" i="5"/>
  <c r="F10" i="5"/>
  <c r="E11" i="5"/>
  <c r="D11" i="5"/>
  <c r="E10" i="5"/>
  <c r="D10" i="5"/>
  <c r="A1" i="5"/>
  <c r="F11" i="5"/>
  <c r="W79" i="2" l="1"/>
  <c r="W76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23" i="2"/>
  <c r="A24" i="2" s="1"/>
  <c r="A25" i="2" s="1"/>
  <c r="A26" i="2" s="1"/>
  <c r="A27" i="2" s="1"/>
  <c r="A28" i="2" s="1"/>
  <c r="A29" i="2" s="1"/>
  <c r="A30" i="2" s="1"/>
  <c r="A31" i="2" s="1"/>
  <c r="A32" i="2" s="1"/>
  <c r="V132" i="2"/>
  <c r="V133" i="2"/>
  <c r="W102" i="2"/>
  <c r="W67" i="2"/>
  <c r="W64" i="2"/>
  <c r="W63" i="2"/>
  <c r="W39" i="2"/>
  <c r="W40" i="2"/>
  <c r="V38" i="2"/>
  <c r="V109" i="2"/>
  <c r="W110" i="2"/>
  <c r="V81" i="2"/>
  <c r="W82" i="2"/>
  <c r="V75" i="2"/>
  <c r="W117" i="2"/>
  <c r="W137" i="2"/>
  <c r="V134" i="2"/>
  <c r="W118" i="2"/>
  <c r="V115" i="2"/>
  <c r="V55" i="2"/>
  <c r="V74" i="2"/>
  <c r="V73" i="2"/>
  <c r="U97" i="2"/>
  <c r="W97" i="2" s="1"/>
  <c r="W116" i="2"/>
  <c r="V114" i="2"/>
  <c r="G72" i="2"/>
  <c r="F72" i="2"/>
  <c r="W62" i="2"/>
  <c r="V98" i="2"/>
  <c r="V96" i="2"/>
  <c r="E59" i="2"/>
  <c r="F59" i="2"/>
  <c r="AO12" i="4"/>
  <c r="AO44" i="4"/>
  <c r="BK17" i="4"/>
  <c r="BV17" i="4" s="1"/>
  <c r="AO35" i="4"/>
  <c r="AZ23" i="4"/>
  <c r="BS23" i="4" s="1"/>
  <c r="AZ24" i="4"/>
  <c r="BS24" i="4" s="1"/>
  <c r="AO39" i="4"/>
  <c r="AZ29" i="4"/>
  <c r="BS29" i="4" s="1"/>
  <c r="AY36" i="4"/>
  <c r="AZ43" i="4"/>
  <c r="BS43" i="4" s="1"/>
  <c r="AZ15" i="4"/>
  <c r="BS15" i="4" s="1"/>
  <c r="AO19" i="4"/>
  <c r="AL56" i="4"/>
  <c r="AZ37" i="4"/>
  <c r="BS37" i="4" s="1"/>
  <c r="AI44" i="4"/>
  <c r="AZ36" i="4"/>
  <c r="BS36" i="4" s="1"/>
  <c r="AL58" i="4"/>
  <c r="AF57" i="4"/>
  <c r="AL10" i="4"/>
  <c r="AZ27" i="4"/>
  <c r="BS27" i="4" s="1"/>
  <c r="AZ11" i="4"/>
  <c r="BS11" i="4" s="1"/>
  <c r="AZ41" i="4"/>
  <c r="BS41" i="4" s="1"/>
  <c r="AZ25" i="4"/>
  <c r="BS25" i="4" s="1"/>
  <c r="AA45" i="4"/>
  <c r="AZ32" i="4"/>
  <c r="BS32" i="4" s="1"/>
  <c r="AZ22" i="4"/>
  <c r="BS22" i="4" s="1"/>
  <c r="AZ33" i="4"/>
  <c r="BS33" i="4" s="1"/>
  <c r="BF35" i="4"/>
  <c r="AO10" i="4"/>
  <c r="BF37" i="4"/>
  <c r="BK37" i="4" s="1"/>
  <c r="BV37" i="4" s="1"/>
  <c r="AZ30" i="4"/>
  <c r="BS30" i="4" s="1"/>
  <c r="AZ26" i="4"/>
  <c r="BS26" i="4" s="1"/>
  <c r="BF39" i="4"/>
  <c r="BG45" i="4"/>
  <c r="BG46" i="4" s="1"/>
  <c r="N40" i="4"/>
  <c r="AZ18" i="4"/>
  <c r="BS18" i="4" s="1"/>
  <c r="T40" i="4"/>
  <c r="AZ44" i="4"/>
  <c r="BS44" i="4" s="1"/>
  <c r="BP32" i="4"/>
  <c r="AZ19" i="4"/>
  <c r="BS19" i="4" s="1"/>
  <c r="BP33" i="4"/>
  <c r="AO21" i="4"/>
  <c r="AV4" i="4"/>
  <c r="AW40" i="4" s="1"/>
  <c r="BQ40" i="4" s="1"/>
  <c r="AO22" i="4"/>
  <c r="AZ34" i="4"/>
  <c r="BS34" i="4" s="1"/>
  <c r="AZ20" i="4"/>
  <c r="BS20" i="4" s="1"/>
  <c r="AZ42" i="4"/>
  <c r="BS42" i="4" s="1"/>
  <c r="I45" i="4"/>
  <c r="AO43" i="4"/>
  <c r="AO28" i="4"/>
  <c r="AZ21" i="4"/>
  <c r="BS21" i="4" s="1"/>
  <c r="AO13" i="4"/>
  <c r="AZ17" i="4"/>
  <c r="BS17" i="4" s="1"/>
  <c r="BF10" i="4"/>
  <c r="BK10" i="4" s="1"/>
  <c r="BV10" i="4" s="1"/>
  <c r="AZ16" i="4"/>
  <c r="BS16" i="4" s="1"/>
  <c r="H45" i="4"/>
  <c r="AE40" i="4"/>
  <c r="AF40" i="4" s="1"/>
  <c r="AK40" i="4"/>
  <c r="AL40" i="4" s="1"/>
  <c r="AZ35" i="4"/>
  <c r="BS35" i="4" s="1"/>
  <c r="X40" i="4"/>
  <c r="AU40" i="4" s="1"/>
  <c r="AO15" i="4"/>
  <c r="AZ10" i="4"/>
  <c r="BS10" i="4" s="1"/>
  <c r="AZ13" i="4"/>
  <c r="BS13" i="4" s="1"/>
  <c r="AZ14" i="4"/>
  <c r="BS14" i="4" s="1"/>
  <c r="AB40" i="4"/>
  <c r="AY40" i="4" s="1"/>
  <c r="AZ40" i="4" s="1"/>
  <c r="AO16" i="4"/>
  <c r="AZ12" i="4"/>
  <c r="BS12" i="4" s="1"/>
  <c r="AZ39" i="4"/>
  <c r="BS39" i="4" s="1"/>
  <c r="BF24" i="4"/>
  <c r="AO34" i="4"/>
  <c r="BF34" i="4"/>
  <c r="BK34" i="4" s="1"/>
  <c r="BV34" i="4" s="1"/>
  <c r="BF44" i="4"/>
  <c r="Z40" i="4"/>
  <c r="BF43" i="4"/>
  <c r="BF12" i="4"/>
  <c r="BK12" i="4" s="1"/>
  <c r="BV12" i="4" s="1"/>
  <c r="BF16" i="4"/>
  <c r="BP38" i="4"/>
  <c r="AO27" i="4"/>
  <c r="BF19" i="4"/>
  <c r="BP8" i="4"/>
  <c r="BP10" i="4"/>
  <c r="BP7" i="4"/>
  <c r="AO32" i="4"/>
  <c r="BF28" i="4"/>
  <c r="BG4" i="4"/>
  <c r="BH39" i="4" s="1"/>
  <c r="BT39" i="4" s="1"/>
  <c r="BJ15" i="4"/>
  <c r="AS45" i="4"/>
  <c r="BF21" i="4"/>
  <c r="BF22" i="4"/>
  <c r="BP37" i="4"/>
  <c r="AO17" i="4"/>
  <c r="BP25" i="4"/>
  <c r="BD45" i="4"/>
  <c r="AT45" i="4"/>
  <c r="BE45" i="4"/>
  <c r="BE19" i="4"/>
  <c r="BP19" i="4"/>
  <c r="AT19" i="4"/>
  <c r="AO33" i="4"/>
  <c r="AO23" i="4"/>
  <c r="AO30" i="4"/>
  <c r="AF10" i="4"/>
  <c r="AO14" i="4"/>
  <c r="AO41" i="4"/>
  <c r="AO29" i="4"/>
  <c r="AO42" i="4"/>
  <c r="AL39" i="4"/>
  <c r="AL19" i="4"/>
  <c r="AL36" i="4"/>
  <c r="AL25" i="4"/>
  <c r="AL31" i="4"/>
  <c r="AL33" i="4"/>
  <c r="AL38" i="4"/>
  <c r="AL18" i="4"/>
  <c r="AL37" i="4"/>
  <c r="AL32" i="4"/>
  <c r="AL46" i="4"/>
  <c r="AL45" i="4"/>
  <c r="AM45" i="4" s="1"/>
  <c r="AC36" i="4"/>
  <c r="AC25" i="4"/>
  <c r="X49" i="4"/>
  <c r="AC49" i="4" s="1"/>
  <c r="AC31" i="4"/>
  <c r="AC18" i="4"/>
  <c r="N32" i="4"/>
  <c r="AT38" i="4"/>
  <c r="BE7" i="4"/>
  <c r="BE8" i="4"/>
  <c r="BE10" i="4"/>
  <c r="BE25" i="4"/>
  <c r="BE32" i="4"/>
  <c r="BE33" i="4"/>
  <c r="BE37" i="4"/>
  <c r="AT7" i="4"/>
  <c r="AT8" i="4"/>
  <c r="G18" i="4"/>
  <c r="BP18" i="4" s="1"/>
  <c r="N36" i="4"/>
  <c r="N37" i="4"/>
  <c r="T45" i="4"/>
  <c r="N45" i="4"/>
  <c r="N10" i="4"/>
  <c r="N38" i="4"/>
  <c r="T31" i="4"/>
  <c r="T33" i="4"/>
  <c r="T32" i="4"/>
  <c r="T36" i="4"/>
  <c r="T38" i="4"/>
  <c r="T37" i="4"/>
  <c r="N39" i="4"/>
  <c r="N18" i="4"/>
  <c r="N19" i="4"/>
  <c r="N25" i="4"/>
  <c r="N31" i="4"/>
  <c r="N33" i="4"/>
  <c r="T19" i="4"/>
  <c r="T25" i="4"/>
  <c r="T39" i="4"/>
  <c r="T10" i="4"/>
  <c r="AZ9" i="4"/>
  <c r="AV9" i="4"/>
  <c r="AU9" i="4"/>
  <c r="AZ8" i="4"/>
  <c r="AV8" i="4"/>
  <c r="AU8" i="4"/>
  <c r="AZ7" i="4"/>
  <c r="AY7" i="4"/>
  <c r="AV7" i="4"/>
  <c r="AU7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Q58" i="4"/>
  <c r="M58" i="4"/>
  <c r="L58" i="4"/>
  <c r="E58" i="4"/>
  <c r="D58" i="4"/>
  <c r="Q57" i="4"/>
  <c r="M57" i="4"/>
  <c r="L57" i="4"/>
  <c r="K57" i="4"/>
  <c r="E57" i="4"/>
  <c r="D57" i="4"/>
  <c r="Q56" i="4"/>
  <c r="P56" i="4"/>
  <c r="M56" i="4"/>
  <c r="L56" i="4"/>
  <c r="K56" i="4"/>
  <c r="E56" i="4"/>
  <c r="D56" i="4"/>
  <c r="R55" i="4"/>
  <c r="L55" i="4"/>
  <c r="S46" i="4"/>
  <c r="T46" i="4" s="1"/>
  <c r="M46" i="4"/>
  <c r="N46" i="4" s="1"/>
  <c r="W44" i="4"/>
  <c r="Q44" i="4"/>
  <c r="W43" i="4"/>
  <c r="Q43" i="4"/>
  <c r="BK42" i="4"/>
  <c r="BV42" i="4" s="1"/>
  <c r="W42" i="4"/>
  <c r="Q42" i="4"/>
  <c r="W41" i="4"/>
  <c r="Q41" i="4"/>
  <c r="W39" i="4"/>
  <c r="Q39" i="4"/>
  <c r="E38" i="4"/>
  <c r="J38" i="4" s="1"/>
  <c r="W37" i="4"/>
  <c r="Q37" i="4"/>
  <c r="E37" i="4"/>
  <c r="J37" i="4" s="1"/>
  <c r="AM37" i="4" s="1"/>
  <c r="V36" i="4"/>
  <c r="R36" i="4"/>
  <c r="P36" i="4"/>
  <c r="P49" i="4" s="1"/>
  <c r="L36" i="4"/>
  <c r="L49" i="4" s="1"/>
  <c r="W35" i="4"/>
  <c r="Q35" i="4"/>
  <c r="W34" i="4"/>
  <c r="Q34" i="4"/>
  <c r="W33" i="4"/>
  <c r="Q33" i="4"/>
  <c r="E33" i="4"/>
  <c r="J33" i="4" s="1"/>
  <c r="AM33" i="4" s="1"/>
  <c r="W32" i="4"/>
  <c r="Q32" i="4"/>
  <c r="E32" i="4"/>
  <c r="J32" i="4" s="1"/>
  <c r="AM32" i="4" s="1"/>
  <c r="V31" i="4"/>
  <c r="R31" i="4"/>
  <c r="P31" i="4"/>
  <c r="AN31" i="4" s="1"/>
  <c r="BJ31" i="4" s="1"/>
  <c r="L31" i="4"/>
  <c r="AJ31" i="4" s="1"/>
  <c r="BF31" i="4" s="1"/>
  <c r="E31" i="4"/>
  <c r="W30" i="4"/>
  <c r="Q30" i="4"/>
  <c r="W29" i="4"/>
  <c r="Q29" i="4"/>
  <c r="W28" i="4"/>
  <c r="Q28" i="4"/>
  <c r="W27" i="4"/>
  <c r="Q27" i="4"/>
  <c r="W26" i="4"/>
  <c r="Q26" i="4"/>
  <c r="V25" i="4"/>
  <c r="R25" i="4"/>
  <c r="P25" i="4"/>
  <c r="AN25" i="4" s="1"/>
  <c r="BJ25" i="4" s="1"/>
  <c r="L25" i="4"/>
  <c r="AJ25" i="4" s="1"/>
  <c r="BF25" i="4" s="1"/>
  <c r="E25" i="4"/>
  <c r="J25" i="4" s="1"/>
  <c r="AM25" i="4" s="1"/>
  <c r="W24" i="4"/>
  <c r="Q24" i="4"/>
  <c r="W23" i="4"/>
  <c r="Q23" i="4"/>
  <c r="W22" i="4"/>
  <c r="Q22" i="4"/>
  <c r="W21" i="4"/>
  <c r="Q21" i="4"/>
  <c r="W20" i="4"/>
  <c r="Q20" i="4"/>
  <c r="W19" i="4"/>
  <c r="Q19" i="4"/>
  <c r="V18" i="4"/>
  <c r="R18" i="4"/>
  <c r="P18" i="4"/>
  <c r="L18" i="4"/>
  <c r="E18" i="4"/>
  <c r="J18" i="4" s="1"/>
  <c r="W17" i="4"/>
  <c r="Q17" i="4"/>
  <c r="W16" i="4"/>
  <c r="Q16" i="4"/>
  <c r="W15" i="4"/>
  <c r="Q15" i="4"/>
  <c r="W14" i="4"/>
  <c r="Q14" i="4"/>
  <c r="W13" i="4"/>
  <c r="Q13" i="4"/>
  <c r="W12" i="4"/>
  <c r="Q12" i="4"/>
  <c r="W11" i="4"/>
  <c r="Q11" i="4"/>
  <c r="W10" i="4"/>
  <c r="Q10" i="4"/>
  <c r="E10" i="4"/>
  <c r="J10" i="4" s="1"/>
  <c r="AM10" i="4" s="1"/>
  <c r="AI9" i="4"/>
  <c r="AE9" i="4"/>
  <c r="AD9" i="4"/>
  <c r="W9" i="4"/>
  <c r="W58" i="4" s="1"/>
  <c r="S9" i="4"/>
  <c r="R9" i="4"/>
  <c r="R58" i="4" s="1"/>
  <c r="P9" i="4"/>
  <c r="AN9" i="4" s="1"/>
  <c r="AI8" i="4"/>
  <c r="AE8" i="4"/>
  <c r="AD8" i="4"/>
  <c r="W8" i="4"/>
  <c r="W57" i="4" s="1"/>
  <c r="S8" i="4"/>
  <c r="S57" i="4" s="1"/>
  <c r="R8" i="4"/>
  <c r="R57" i="4" s="1"/>
  <c r="P8" i="4"/>
  <c r="AI7" i="4"/>
  <c r="AH7" i="4"/>
  <c r="AE7" i="4"/>
  <c r="AD7" i="4"/>
  <c r="W7" i="4"/>
  <c r="W56" i="4" s="1"/>
  <c r="V7" i="4"/>
  <c r="V56" i="4" s="1"/>
  <c r="S7" i="4"/>
  <c r="S56" i="4" s="1"/>
  <c r="R7" i="4"/>
  <c r="R56" i="4" s="1"/>
  <c r="H26" i="3"/>
  <c r="H25" i="3"/>
  <c r="H24" i="3"/>
  <c r="P36" i="3"/>
  <c r="O36" i="3"/>
  <c r="O9" i="3"/>
  <c r="G24" i="3"/>
  <c r="G25" i="3"/>
  <c r="G26" i="3" s="1"/>
  <c r="C24" i="3"/>
  <c r="F91" i="2"/>
  <c r="E11" i="2"/>
  <c r="E9" i="2"/>
  <c r="F18" i="2"/>
  <c r="E18" i="2"/>
  <c r="F17" i="2"/>
  <c r="G16" i="2"/>
  <c r="H16" i="2"/>
  <c r="G17" i="2"/>
  <c r="H17" i="2"/>
  <c r="G90" i="2"/>
  <c r="H90" i="2"/>
  <c r="I90" i="2"/>
  <c r="E20" i="2"/>
  <c r="E19" i="2"/>
  <c r="C89" i="2"/>
  <c r="H89" i="2" s="1"/>
  <c r="E27" i="2"/>
  <c r="F27" i="2"/>
  <c r="F26" i="2"/>
  <c r="E26" i="2"/>
  <c r="D27" i="2"/>
  <c r="D26" i="2"/>
  <c r="G24" i="2"/>
  <c r="G25" i="2"/>
  <c r="G23" i="2"/>
  <c r="G14" i="2"/>
  <c r="G15" i="2"/>
  <c r="G13" i="2"/>
  <c r="C22" i="2"/>
  <c r="D22" i="2" s="1"/>
  <c r="D20" i="2"/>
  <c r="D19" i="2"/>
  <c r="D11" i="2"/>
  <c r="D9" i="2"/>
  <c r="C10" i="2"/>
  <c r="D10" i="2" s="1"/>
  <c r="H25" i="2"/>
  <c r="I25" i="2"/>
  <c r="H23" i="2"/>
  <c r="H24" i="2"/>
  <c r="I24" i="2"/>
  <c r="H15" i="2"/>
  <c r="I15" i="2"/>
  <c r="I14" i="2"/>
  <c r="I13" i="2"/>
  <c r="H14" i="2"/>
  <c r="H13" i="2"/>
  <c r="P28" i="3"/>
  <c r="P27" i="3"/>
  <c r="P32" i="3"/>
  <c r="P33" i="3"/>
  <c r="P34" i="3"/>
  <c r="P37" i="3"/>
  <c r="P38" i="3"/>
  <c r="O31" i="3"/>
  <c r="P31" i="3"/>
  <c r="N35" i="3"/>
  <c r="P35" i="3" s="1"/>
  <c r="P10" i="3"/>
  <c r="P11" i="3"/>
  <c r="P13" i="3"/>
  <c r="P14" i="3"/>
  <c r="P15" i="3"/>
  <c r="P16" i="3"/>
  <c r="P17" i="3"/>
  <c r="P12" i="3"/>
  <c r="P18" i="3"/>
  <c r="P19" i="3"/>
  <c r="P20" i="3"/>
  <c r="P21" i="3"/>
  <c r="P22" i="3"/>
  <c r="P23" i="3"/>
  <c r="P9" i="3"/>
  <c r="F3" i="3"/>
  <c r="E8" i="3" s="1"/>
  <c r="O8" i="3" s="1"/>
  <c r="R4" i="3"/>
  <c r="D8" i="3"/>
  <c r="S5" i="3"/>
  <c r="O32" i="3"/>
  <c r="O33" i="3"/>
  <c r="O34" i="3"/>
  <c r="O35" i="3"/>
  <c r="O37" i="3"/>
  <c r="O38" i="3"/>
  <c r="O21" i="3"/>
  <c r="O19" i="3"/>
  <c r="O18" i="3"/>
  <c r="O14" i="3"/>
  <c r="O10" i="3"/>
  <c r="O11" i="3"/>
  <c r="O13" i="3"/>
  <c r="O15" i="3"/>
  <c r="O16" i="3"/>
  <c r="O17" i="3"/>
  <c r="O12" i="3"/>
  <c r="O20" i="3"/>
  <c r="O22" i="3"/>
  <c r="O23" i="3"/>
  <c r="M27" i="3"/>
  <c r="O28" i="3"/>
  <c r="S24" i="3"/>
  <c r="T24" i="3"/>
  <c r="U24" i="3"/>
  <c r="S25" i="3"/>
  <c r="T25" i="3"/>
  <c r="U25" i="3"/>
  <c r="S26" i="3"/>
  <c r="T26" i="3"/>
  <c r="U26" i="3"/>
  <c r="C26" i="3"/>
  <c r="C25" i="3"/>
  <c r="D9" i="3"/>
  <c r="D11" i="3"/>
  <c r="D13" i="3"/>
  <c r="D14" i="3"/>
  <c r="D15" i="3"/>
  <c r="D16" i="3"/>
  <c r="D17" i="3"/>
  <c r="D12" i="3"/>
  <c r="D18" i="3"/>
  <c r="D19" i="3"/>
  <c r="D20" i="3"/>
  <c r="D21" i="3"/>
  <c r="D22" i="3"/>
  <c r="D23" i="3"/>
  <c r="D10" i="3"/>
  <c r="I31" i="1"/>
  <c r="J26" i="1"/>
  <c r="F26" i="1"/>
  <c r="E26" i="1"/>
  <c r="C26" i="1"/>
  <c r="H27" i="1"/>
  <c r="I27" i="1" s="1"/>
  <c r="K27" i="1" s="1"/>
  <c r="H28" i="1"/>
  <c r="I28" i="1" s="1"/>
  <c r="K28" i="1" s="1"/>
  <c r="C8" i="1"/>
  <c r="C9" i="1" s="1"/>
  <c r="C11" i="1" s="1"/>
  <c r="C29" i="1" s="1"/>
  <c r="J8" i="1"/>
  <c r="F8" i="1"/>
  <c r="G17" i="1"/>
  <c r="G18" i="1"/>
  <c r="G19" i="1"/>
  <c r="G20" i="1"/>
  <c r="G21" i="1"/>
  <c r="G22" i="1"/>
  <c r="G23" i="1"/>
  <c r="G24" i="1"/>
  <c r="G25" i="1"/>
  <c r="G16" i="1"/>
  <c r="G15" i="1"/>
  <c r="G14" i="1"/>
  <c r="G13" i="1"/>
  <c r="E8" i="1"/>
  <c r="E9" i="1" s="1"/>
  <c r="E11" i="1" s="1"/>
  <c r="G12" i="1"/>
  <c r="G10" i="1"/>
  <c r="G7" i="1"/>
  <c r="H3" i="1"/>
  <c r="D12" i="1" s="1"/>
  <c r="A183" i="2" l="1"/>
  <c r="V97" i="2"/>
  <c r="BH46" i="4"/>
  <c r="BT46" i="4" s="1"/>
  <c r="BG40" i="4"/>
  <c r="BH40" i="4" s="1"/>
  <c r="BT40" i="4" s="1"/>
  <c r="AM38" i="4"/>
  <c r="AM18" i="4"/>
  <c r="BH19" i="4"/>
  <c r="BT19" i="4" s="1"/>
  <c r="U45" i="4"/>
  <c r="BH10" i="4"/>
  <c r="BT10" i="4" s="1"/>
  <c r="BH37" i="4"/>
  <c r="BT37" i="4" s="1"/>
  <c r="J19" i="4"/>
  <c r="AR7" i="4"/>
  <c r="AW38" i="4"/>
  <c r="BQ38" i="4" s="1"/>
  <c r="AW19" i="4"/>
  <c r="BQ19" i="4" s="1"/>
  <c r="AW18" i="4"/>
  <c r="BQ18" i="4" s="1"/>
  <c r="AW46" i="4"/>
  <c r="BQ46" i="4" s="1"/>
  <c r="AW33" i="4"/>
  <c r="BQ33" i="4" s="1"/>
  <c r="AW37" i="4"/>
  <c r="BQ37" i="4" s="1"/>
  <c r="AW25" i="4"/>
  <c r="BQ25" i="4" s="1"/>
  <c r="AW36" i="4"/>
  <c r="BQ36" i="4" s="1"/>
  <c r="AW32" i="4"/>
  <c r="BQ32" i="4" s="1"/>
  <c r="AW31" i="4"/>
  <c r="BQ31" i="4" s="1"/>
  <c r="AW45" i="4"/>
  <c r="BQ45" i="4" s="1"/>
  <c r="AW10" i="4"/>
  <c r="BQ10" i="4" s="1"/>
  <c r="AW39" i="4"/>
  <c r="BQ39" i="4" s="1"/>
  <c r="R40" i="4"/>
  <c r="BH25" i="4"/>
  <c r="BT25" i="4" s="1"/>
  <c r="V40" i="4"/>
  <c r="BH18" i="4"/>
  <c r="BT18" i="4" s="1"/>
  <c r="BH36" i="4"/>
  <c r="BT36" i="4" s="1"/>
  <c r="O45" i="4"/>
  <c r="BH33" i="4"/>
  <c r="BT33" i="4" s="1"/>
  <c r="AC40" i="4"/>
  <c r="AB45" i="4" s="1"/>
  <c r="AC45" i="4" s="1"/>
  <c r="AY45" i="4"/>
  <c r="AY46" i="4" s="1"/>
  <c r="BS40" i="4"/>
  <c r="BD33" i="4"/>
  <c r="BO33" i="4"/>
  <c r="AS33" i="4"/>
  <c r="AJ18" i="4"/>
  <c r="L40" i="4"/>
  <c r="Q49" i="4"/>
  <c r="BO37" i="4"/>
  <c r="AS37" i="4"/>
  <c r="BD37" i="4"/>
  <c r="BH32" i="4"/>
  <c r="BT32" i="4" s="1"/>
  <c r="AS32" i="4"/>
  <c r="BO32" i="4"/>
  <c r="BD32" i="4"/>
  <c r="BI32" i="4" s="1"/>
  <c r="BC7" i="4"/>
  <c r="BH45" i="4"/>
  <c r="BT45" i="4" s="1"/>
  <c r="AS18" i="4"/>
  <c r="AX18" i="4" s="1"/>
  <c r="BO18" i="4"/>
  <c r="BD18" i="4"/>
  <c r="AN18" i="4"/>
  <c r="P40" i="4"/>
  <c r="BO25" i="4"/>
  <c r="BD25" i="4"/>
  <c r="AS25" i="4"/>
  <c r="AX25" i="4" s="1"/>
  <c r="AS38" i="4"/>
  <c r="AX38" i="4" s="1"/>
  <c r="BO38" i="4"/>
  <c r="BD38" i="4"/>
  <c r="BH38" i="4"/>
  <c r="BT38" i="4" s="1"/>
  <c r="AS10" i="4"/>
  <c r="BO10" i="4"/>
  <c r="BD10" i="4"/>
  <c r="BI10" i="4" s="1"/>
  <c r="BH31" i="4"/>
  <c r="BT31" i="4" s="1"/>
  <c r="AD25" i="4"/>
  <c r="AH25" i="4"/>
  <c r="V49" i="4"/>
  <c r="V51" i="4" s="1"/>
  <c r="AH36" i="4"/>
  <c r="R49" i="4"/>
  <c r="R52" i="4" s="1"/>
  <c r="AD36" i="4"/>
  <c r="AD49" i="4" s="1"/>
  <c r="AH56" i="4"/>
  <c r="AN56" i="4"/>
  <c r="AI57" i="4"/>
  <c r="AO57" i="4"/>
  <c r="AD31" i="4"/>
  <c r="AH31" i="4"/>
  <c r="AD57" i="4"/>
  <c r="AJ57" i="4"/>
  <c r="AE57" i="4"/>
  <c r="AK57" i="4"/>
  <c r="AD58" i="4"/>
  <c r="AJ58" i="4"/>
  <c r="AE56" i="4"/>
  <c r="AK56" i="4"/>
  <c r="AI56" i="4"/>
  <c r="AO56" i="4"/>
  <c r="AE58" i="4"/>
  <c r="AK58" i="4"/>
  <c r="AD56" i="4"/>
  <c r="AJ56" i="4"/>
  <c r="AI58" i="4"/>
  <c r="AO58" i="4"/>
  <c r="AN36" i="4"/>
  <c r="AD18" i="4"/>
  <c r="AH18" i="4"/>
  <c r="AB8" i="4"/>
  <c r="AB57" i="4" s="1"/>
  <c r="AN8" i="4"/>
  <c r="AJ36" i="4"/>
  <c r="BF36" i="4" s="1"/>
  <c r="AO25" i="4"/>
  <c r="AO31" i="4"/>
  <c r="BK22" i="4"/>
  <c r="BV22" i="4" s="1"/>
  <c r="I10" i="4"/>
  <c r="AG10" i="4" s="1"/>
  <c r="BK14" i="4"/>
  <c r="BV14" i="4" s="1"/>
  <c r="BK21" i="4"/>
  <c r="BV21" i="4" s="1"/>
  <c r="X51" i="4"/>
  <c r="AB9" i="4"/>
  <c r="AB58" i="4" s="1"/>
  <c r="BK39" i="4"/>
  <c r="BV39" i="4" s="1"/>
  <c r="E10" i="2"/>
  <c r="AT18" i="4"/>
  <c r="BE18" i="4"/>
  <c r="AY8" i="4"/>
  <c r="Q36" i="4"/>
  <c r="AY9" i="4"/>
  <c r="S58" i="4"/>
  <c r="AF45" i="4"/>
  <c r="AG45" i="4" s="1"/>
  <c r="Q31" i="4"/>
  <c r="AF36" i="4"/>
  <c r="AF32" i="4"/>
  <c r="AF25" i="4"/>
  <c r="AF38" i="4"/>
  <c r="AF18" i="4"/>
  <c r="AF39" i="4"/>
  <c r="AF19" i="4"/>
  <c r="AF33" i="4"/>
  <c r="AF37" i="4"/>
  <c r="AF31" i="4"/>
  <c r="W25" i="4"/>
  <c r="I18" i="4"/>
  <c r="H18" i="4"/>
  <c r="O18" i="4" s="1"/>
  <c r="I37" i="4"/>
  <c r="H37" i="4"/>
  <c r="O37" i="4" s="1"/>
  <c r="H10" i="4"/>
  <c r="I38" i="4"/>
  <c r="H38" i="4"/>
  <c r="O38" i="4" s="1"/>
  <c r="H33" i="4"/>
  <c r="O33" i="4" s="1"/>
  <c r="I33" i="4"/>
  <c r="F31" i="4"/>
  <c r="J31" i="4" s="1"/>
  <c r="AM31" i="4" s="1"/>
  <c r="I32" i="4"/>
  <c r="H32" i="4"/>
  <c r="O32" i="4" s="1"/>
  <c r="I25" i="4"/>
  <c r="H25" i="4"/>
  <c r="O25" i="4" s="1"/>
  <c r="Q25" i="4"/>
  <c r="W18" i="4"/>
  <c r="AI15" i="4"/>
  <c r="BK15" i="4"/>
  <c r="BV15" i="4" s="1"/>
  <c r="AI17" i="4"/>
  <c r="AI33" i="4"/>
  <c r="BK33" i="4"/>
  <c r="BV33" i="4" s="1"/>
  <c r="AI43" i="4"/>
  <c r="BK43" i="4"/>
  <c r="BV43" i="4" s="1"/>
  <c r="AI30" i="4"/>
  <c r="BK30" i="4"/>
  <c r="BV30" i="4" s="1"/>
  <c r="V9" i="4"/>
  <c r="V58" i="4" s="1"/>
  <c r="BJ9" i="4"/>
  <c r="AI16" i="4"/>
  <c r="BK16" i="4"/>
  <c r="BV16" i="4" s="1"/>
  <c r="AI29" i="4"/>
  <c r="BK29" i="4"/>
  <c r="BV29" i="4" s="1"/>
  <c r="BK44" i="4"/>
  <c r="BV44" i="4" s="1"/>
  <c r="AI23" i="4"/>
  <c r="BK23" i="4"/>
  <c r="BV23" i="4" s="1"/>
  <c r="AI24" i="4"/>
  <c r="BK24" i="4"/>
  <c r="BV24" i="4" s="1"/>
  <c r="AI32" i="4"/>
  <c r="BK32" i="4"/>
  <c r="BV32" i="4" s="1"/>
  <c r="AI10" i="4"/>
  <c r="AI19" i="4"/>
  <c r="BK19" i="4"/>
  <c r="BV19" i="4" s="1"/>
  <c r="AI12" i="4"/>
  <c r="AI27" i="4"/>
  <c r="BK27" i="4"/>
  <c r="BV27" i="4" s="1"/>
  <c r="AI41" i="4"/>
  <c r="BK41" i="4"/>
  <c r="BV41" i="4" s="1"/>
  <c r="AI13" i="4"/>
  <c r="BK13" i="4"/>
  <c r="BV13" i="4" s="1"/>
  <c r="AH8" i="4"/>
  <c r="BJ8" i="4"/>
  <c r="AI28" i="4"/>
  <c r="BK28" i="4"/>
  <c r="BV28" i="4" s="1"/>
  <c r="AI35" i="4"/>
  <c r="BK35" i="4"/>
  <c r="BV35" i="4" s="1"/>
  <c r="AI34" i="4"/>
  <c r="P58" i="4"/>
  <c r="AI14" i="4"/>
  <c r="AI21" i="4"/>
  <c r="AI22" i="4"/>
  <c r="AI42" i="4"/>
  <c r="AI37" i="4"/>
  <c r="AI39" i="4"/>
  <c r="V8" i="4"/>
  <c r="V57" i="4" s="1"/>
  <c r="AE46" i="4"/>
  <c r="P57" i="4"/>
  <c r="Q18" i="4"/>
  <c r="W31" i="4"/>
  <c r="W36" i="4"/>
  <c r="AH9" i="4"/>
  <c r="P24" i="3"/>
  <c r="O24" i="3"/>
  <c r="M24" i="3" s="1"/>
  <c r="D24" i="3"/>
  <c r="P8" i="3"/>
  <c r="I89" i="2"/>
  <c r="G89" i="2"/>
  <c r="E22" i="2"/>
  <c r="F16" i="3"/>
  <c r="J16" i="3" s="1"/>
  <c r="I8" i="3"/>
  <c r="F15" i="3"/>
  <c r="J15" i="3" s="1"/>
  <c r="F10" i="3"/>
  <c r="F23" i="3"/>
  <c r="J23" i="3" s="1"/>
  <c r="F21" i="3"/>
  <c r="J21" i="3" s="1"/>
  <c r="F8" i="3"/>
  <c r="F22" i="3"/>
  <c r="J22" i="3" s="1"/>
  <c r="F19" i="3"/>
  <c r="J19" i="3" s="1"/>
  <c r="F9" i="3"/>
  <c r="J9" i="3" s="1"/>
  <c r="F12" i="3"/>
  <c r="J12" i="3" s="1"/>
  <c r="F13" i="3"/>
  <c r="J13" i="3" s="1"/>
  <c r="F17" i="3"/>
  <c r="J17" i="3" s="1"/>
  <c r="F18" i="3"/>
  <c r="J18" i="3" s="1"/>
  <c r="F11" i="3"/>
  <c r="J11" i="3" s="1"/>
  <c r="F20" i="3"/>
  <c r="J20" i="3" s="1"/>
  <c r="F14" i="3"/>
  <c r="J14" i="3" s="1"/>
  <c r="O25" i="3"/>
  <c r="M25" i="3" s="1"/>
  <c r="O26" i="3"/>
  <c r="M26" i="3" s="1"/>
  <c r="D25" i="3"/>
  <c r="D26" i="3"/>
  <c r="E11" i="3"/>
  <c r="I11" i="3" s="1"/>
  <c r="E22" i="3"/>
  <c r="I22" i="3" s="1"/>
  <c r="E17" i="3"/>
  <c r="I17" i="3" s="1"/>
  <c r="E10" i="3"/>
  <c r="E23" i="3"/>
  <c r="I23" i="3" s="1"/>
  <c r="E12" i="3"/>
  <c r="I12" i="3" s="1"/>
  <c r="E18" i="3"/>
  <c r="I18" i="3" s="1"/>
  <c r="E13" i="3"/>
  <c r="I13" i="3" s="1"/>
  <c r="E19" i="3"/>
  <c r="I19" i="3" s="1"/>
  <c r="E14" i="3"/>
  <c r="I14" i="3" s="1"/>
  <c r="E20" i="3"/>
  <c r="I20" i="3" s="1"/>
  <c r="E9" i="3"/>
  <c r="E15" i="3"/>
  <c r="I15" i="3" s="1"/>
  <c r="E21" i="3"/>
  <c r="I21" i="3" s="1"/>
  <c r="E16" i="3"/>
  <c r="I16" i="3" s="1"/>
  <c r="D17" i="1"/>
  <c r="H29" i="1"/>
  <c r="I29" i="1" s="1"/>
  <c r="D21" i="1"/>
  <c r="D20" i="1"/>
  <c r="D19" i="1"/>
  <c r="D25" i="1"/>
  <c r="D24" i="1"/>
  <c r="D23" i="1"/>
  <c r="D22" i="1"/>
  <c r="D18" i="1"/>
  <c r="D26" i="1"/>
  <c r="G26" i="1"/>
  <c r="H26" i="1" s="1"/>
  <c r="I26" i="1" s="1"/>
  <c r="K26" i="1" s="1"/>
  <c r="D15" i="1"/>
  <c r="D10" i="1"/>
  <c r="D14" i="1"/>
  <c r="D29" i="1"/>
  <c r="D16" i="1"/>
  <c r="D11" i="1"/>
  <c r="D9" i="1"/>
  <c r="D8" i="1"/>
  <c r="D13" i="1"/>
  <c r="H10" i="1"/>
  <c r="I10" i="1" s="1"/>
  <c r="K10" i="1" s="1"/>
  <c r="H17" i="1"/>
  <c r="I17" i="1" s="1"/>
  <c r="K17" i="1" s="1"/>
  <c r="H19" i="1"/>
  <c r="I19" i="1" s="1"/>
  <c r="K19" i="1" s="1"/>
  <c r="H18" i="1"/>
  <c r="I18" i="1" s="1"/>
  <c r="K18" i="1" s="1"/>
  <c r="H30" i="1"/>
  <c r="I30" i="1" s="1"/>
  <c r="H12" i="1"/>
  <c r="I12" i="1" s="1"/>
  <c r="K12" i="1" s="1"/>
  <c r="H13" i="1"/>
  <c r="I13" i="1" s="1"/>
  <c r="K13" i="1" s="1"/>
  <c r="H15" i="1"/>
  <c r="I15" i="1" s="1"/>
  <c r="K15" i="1" s="1"/>
  <c r="H16" i="1"/>
  <c r="I16" i="1" s="1"/>
  <c r="K16" i="1" s="1"/>
  <c r="H14" i="1"/>
  <c r="I14" i="1" s="1"/>
  <c r="K14" i="1" s="1"/>
  <c r="H7" i="1"/>
  <c r="I7" i="1" s="1"/>
  <c r="K7" i="1" s="1"/>
  <c r="H24" i="1"/>
  <c r="I24" i="1" s="1"/>
  <c r="K24" i="1" s="1"/>
  <c r="H22" i="1"/>
  <c r="I22" i="1" s="1"/>
  <c r="K22" i="1" s="1"/>
  <c r="H20" i="1"/>
  <c r="I20" i="1" s="1"/>
  <c r="K20" i="1" s="1"/>
  <c r="H23" i="1"/>
  <c r="I23" i="1" s="1"/>
  <c r="K23" i="1" s="1"/>
  <c r="G8" i="1"/>
  <c r="H8" i="1" s="1"/>
  <c r="I8" i="1" s="1"/>
  <c r="K8" i="1" s="1"/>
  <c r="H25" i="1"/>
  <c r="I25" i="1" s="1"/>
  <c r="K25" i="1" s="1"/>
  <c r="H21" i="1"/>
  <c r="I21" i="1" s="1"/>
  <c r="K21" i="1" s="1"/>
  <c r="J9" i="1"/>
  <c r="F9" i="1"/>
  <c r="A184" i="2" l="1"/>
  <c r="A185" i="2" s="1"/>
  <c r="A186" i="2" s="1"/>
  <c r="A187" i="2" s="1"/>
  <c r="A188" i="2" s="1"/>
  <c r="A189" i="2" s="1"/>
  <c r="A190" i="2" s="1"/>
  <c r="A191" i="2" s="1"/>
  <c r="A192" i="2" s="1"/>
  <c r="BI33" i="4"/>
  <c r="AX45" i="4"/>
  <c r="BI45" i="4"/>
  <c r="BI25" i="4"/>
  <c r="BI37" i="4"/>
  <c r="BI38" i="4"/>
  <c r="BI18" i="4"/>
  <c r="AM19" i="4"/>
  <c r="BO19" i="4"/>
  <c r="BD19" i="4"/>
  <c r="BI19" i="4" s="1"/>
  <c r="AS19" i="4"/>
  <c r="AX19" i="4" s="1"/>
  <c r="AX37" i="4"/>
  <c r="AX33" i="4"/>
  <c r="AX32" i="4"/>
  <c r="U25" i="4"/>
  <c r="AG25" i="4"/>
  <c r="U18" i="4"/>
  <c r="AG18" i="4"/>
  <c r="U33" i="4"/>
  <c r="AG33" i="4"/>
  <c r="U32" i="4"/>
  <c r="AG32" i="4"/>
  <c r="U38" i="4"/>
  <c r="AG38" i="4"/>
  <c r="U37" i="4"/>
  <c r="AG37" i="4"/>
  <c r="I19" i="4"/>
  <c r="U10" i="4"/>
  <c r="AO18" i="4"/>
  <c r="W49" i="4"/>
  <c r="R51" i="4"/>
  <c r="X52" i="4"/>
  <c r="H19" i="4"/>
  <c r="O19" i="4" s="1"/>
  <c r="V52" i="4"/>
  <c r="W52" i="4" s="1"/>
  <c r="W40" i="4"/>
  <c r="AS31" i="4"/>
  <c r="AX31" i="4" s="1"/>
  <c r="BD31" i="4"/>
  <c r="BI31" i="4" s="1"/>
  <c r="BO31" i="4"/>
  <c r="J40" i="4"/>
  <c r="AN40" i="4"/>
  <c r="BJ40" i="4" s="1"/>
  <c r="BJ18" i="4"/>
  <c r="Q40" i="4"/>
  <c r="P45" i="4" s="1"/>
  <c r="BF18" i="4"/>
  <c r="BK18" i="4" s="1"/>
  <c r="BV18" i="4" s="1"/>
  <c r="AJ40" i="4"/>
  <c r="AD40" i="4"/>
  <c r="AH40" i="4"/>
  <c r="AN49" i="4"/>
  <c r="BJ36" i="4"/>
  <c r="AH58" i="4"/>
  <c r="AN58" i="4"/>
  <c r="AH57" i="4"/>
  <c r="AN57" i="4"/>
  <c r="AJ49" i="4"/>
  <c r="AO49" i="4" s="1"/>
  <c r="AO36" i="4"/>
  <c r="AB51" i="4"/>
  <c r="AB52" i="4"/>
  <c r="Z39" i="4"/>
  <c r="Z25" i="4"/>
  <c r="AA25" i="4" s="1"/>
  <c r="Z37" i="4"/>
  <c r="AA37" i="4" s="1"/>
  <c r="Z18" i="4"/>
  <c r="AA18" i="4" s="1"/>
  <c r="Z36" i="4"/>
  <c r="Z32" i="4"/>
  <c r="AA32" i="4" s="1"/>
  <c r="Z31" i="4"/>
  <c r="AA31" i="4" s="1"/>
  <c r="Z46" i="4"/>
  <c r="Z19" i="4"/>
  <c r="AA19" i="4" s="1"/>
  <c r="Z33" i="4"/>
  <c r="AA33" i="4" s="1"/>
  <c r="Z10" i="4"/>
  <c r="AA10" i="4" s="1"/>
  <c r="Z38" i="4"/>
  <c r="AA38" i="4" s="1"/>
  <c r="AB46" i="4"/>
  <c r="AC46" i="4" s="1"/>
  <c r="BK31" i="4"/>
  <c r="BV31" i="4" s="1"/>
  <c r="AH49" i="4"/>
  <c r="AI49" i="4" s="1"/>
  <c r="H31" i="4"/>
  <c r="G31" i="4"/>
  <c r="AF46" i="4"/>
  <c r="I31" i="4"/>
  <c r="AG31" i="4" s="1"/>
  <c r="AI25" i="4"/>
  <c r="BK25" i="4"/>
  <c r="BV25" i="4" s="1"/>
  <c r="AI36" i="4"/>
  <c r="AI31" i="4"/>
  <c r="AI18" i="4"/>
  <c r="I9" i="3"/>
  <c r="E25" i="3"/>
  <c r="P29" i="3" s="1"/>
  <c r="N24" i="3"/>
  <c r="P25" i="3"/>
  <c r="N25" i="3" s="1"/>
  <c r="P26" i="3"/>
  <c r="N26" i="3" s="1"/>
  <c r="I10" i="3"/>
  <c r="E24" i="3"/>
  <c r="I24" i="3" s="1"/>
  <c r="J10" i="3"/>
  <c r="F24" i="3"/>
  <c r="J24" i="3" s="1"/>
  <c r="E26" i="3"/>
  <c r="O29" i="3" s="1"/>
  <c r="J11" i="1"/>
  <c r="G9" i="1"/>
  <c r="F11" i="1"/>
  <c r="AA40" i="4" l="1"/>
  <c r="AM40" i="4"/>
  <c r="U19" i="4"/>
  <c r="AG19" i="4"/>
  <c r="AC52" i="4"/>
  <c r="I40" i="4"/>
  <c r="U31" i="4"/>
  <c r="AI40" i="4"/>
  <c r="H40" i="4"/>
  <c r="O40" i="4" s="1"/>
  <c r="O31" i="4"/>
  <c r="BP31" i="4"/>
  <c r="G40" i="4"/>
  <c r="AO40" i="4"/>
  <c r="AN45" i="4" s="1"/>
  <c r="AN46" i="4" s="1"/>
  <c r="AO46" i="4" s="1"/>
  <c r="BF40" i="4"/>
  <c r="BK40" i="4" s="1"/>
  <c r="BO40" i="4"/>
  <c r="BD40" i="4"/>
  <c r="BI40" i="4" s="1"/>
  <c r="AS40" i="4"/>
  <c r="AX40" i="4" s="1"/>
  <c r="BK36" i="4"/>
  <c r="BV36" i="4" s="1"/>
  <c r="AT31" i="4"/>
  <c r="BE31" i="4"/>
  <c r="V45" i="4"/>
  <c r="V46" i="4" s="1"/>
  <c r="W46" i="4" s="1"/>
  <c r="AZ45" i="4"/>
  <c r="BS45" i="4" s="1"/>
  <c r="P46" i="4"/>
  <c r="Q46" i="4" s="1"/>
  <c r="Q45" i="4"/>
  <c r="I25" i="3"/>
  <c r="P30" i="3"/>
  <c r="I26" i="3"/>
  <c r="O30" i="3"/>
  <c r="J8" i="3"/>
  <c r="F25" i="3"/>
  <c r="J25" i="3" s="1"/>
  <c r="F26" i="3"/>
  <c r="J26" i="3" s="1"/>
  <c r="H9" i="1"/>
  <c r="I9" i="1" s="1"/>
  <c r="K9" i="1" s="1"/>
  <c r="G11" i="1"/>
  <c r="H11" i="1" s="1"/>
  <c r="I11" i="1" s="1"/>
  <c r="K11" i="1" s="1"/>
  <c r="A193" i="2" l="1"/>
  <c r="A194" i="2" s="1"/>
  <c r="A195" i="2" s="1"/>
  <c r="A196" i="2" s="1"/>
  <c r="A197" i="2" s="1"/>
  <c r="A198" i="2" s="1"/>
  <c r="A199" i="2" s="1"/>
  <c r="A200" i="2" s="1"/>
  <c r="A201" i="2" s="1"/>
  <c r="A202" i="2" s="1"/>
  <c r="U40" i="4"/>
  <c r="AG40" i="4"/>
  <c r="AO45" i="4"/>
  <c r="AT40" i="4"/>
  <c r="BE40" i="4"/>
  <c r="BP40" i="4"/>
  <c r="BJ45" i="4"/>
  <c r="BK45" i="4" s="1"/>
  <c r="BV45" i="4" s="1"/>
  <c r="BV40" i="4"/>
  <c r="W45" i="4"/>
  <c r="AZ46" i="4"/>
  <c r="BS46" i="4" s="1"/>
  <c r="AH45" i="4"/>
  <c r="A203" i="2" l="1"/>
  <c r="A204" i="2" s="1"/>
  <c r="A205" i="2" s="1"/>
  <c r="A206" i="2" s="1"/>
  <c r="A207" i="2" s="1"/>
  <c r="A208" i="2" s="1"/>
  <c r="BJ46" i="4"/>
  <c r="BK46" i="4" s="1"/>
  <c r="BV46" i="4" s="1"/>
  <c r="AH46" i="4"/>
  <c r="AI45" i="4"/>
  <c r="A209" i="2" l="1"/>
  <c r="A210" i="2" s="1"/>
  <c r="A211" i="2" s="1"/>
  <c r="A212" i="2" s="1"/>
  <c r="A213" i="2" s="1"/>
  <c r="A216" i="2" s="1"/>
  <c r="A217" i="2" s="1"/>
  <c r="A218" i="2" s="1"/>
  <c r="A219" i="2" s="1"/>
  <c r="A220" i="2" s="1"/>
  <c r="AI46" i="4"/>
  <c r="A221" i="2" l="1"/>
  <c r="A222" i="2" l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l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l="1"/>
  <c r="A250" i="2" s="1"/>
  <c r="A251" i="2" s="1"/>
  <c r="A252" i="2" s="1"/>
  <c r="A253" i="2" s="1"/>
  <c r="A254" i="2" s="1"/>
  <c r="A255" i="2" s="1"/>
  <c r="A256" i="2" s="1"/>
  <c r="A257" i="2" s="1"/>
  <c r="A258" i="2" s="1"/>
  <c r="A259" i="2" l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l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33" i="2"/>
  <c r="A34" i="2" s="1"/>
  <c r="A35" i="2" s="1"/>
  <c r="A36" i="2" s="1"/>
  <c r="A37" i="2" s="1"/>
  <c r="A38" i="2" l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l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l="1"/>
  <c r="A70" i="2" s="1"/>
  <c r="A71" i="2" s="1"/>
  <c r="A72" i="2" s="1"/>
  <c r="A73" i="2" s="1"/>
  <c r="A74" i="2" s="1"/>
  <c r="A75" i="2" s="1"/>
  <c r="A76" i="2" s="1"/>
  <c r="A77" i="2" l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</calcChain>
</file>

<file path=xl/sharedStrings.xml><?xml version="1.0" encoding="utf-8"?>
<sst xmlns="http://schemas.openxmlformats.org/spreadsheetml/2006/main" count="4504" uniqueCount="806">
  <si>
    <t>European Union</t>
  </si>
  <si>
    <t>Germany</t>
  </si>
  <si>
    <t>UK</t>
  </si>
  <si>
    <t>Poland</t>
  </si>
  <si>
    <t>Norway</t>
  </si>
  <si>
    <t>Denmark</t>
  </si>
  <si>
    <t>Sweden</t>
  </si>
  <si>
    <t>USA</t>
  </si>
  <si>
    <t>Annualized</t>
  </si>
  <si>
    <t>Bilateral aid not including US</t>
  </si>
  <si>
    <t>Total non US aid</t>
  </si>
  <si>
    <t>Japan</t>
  </si>
  <si>
    <t>Canada</t>
  </si>
  <si>
    <t>Switzerland</t>
  </si>
  <si>
    <t>France</t>
  </si>
  <si>
    <t>Military, financial &amp; humanitary aid</t>
  </si>
  <si>
    <t>Finland</t>
  </si>
  <si>
    <t>Czech Republic</t>
  </si>
  <si>
    <t>Italy</t>
  </si>
  <si>
    <t>Netherlands</t>
  </si>
  <si>
    <t>including refugees</t>
  </si>
  <si>
    <t>Sources</t>
  </si>
  <si>
    <t>Jan. 24, 2022 to Oct.31 2023</t>
  </si>
  <si>
    <t>Latest annual</t>
  </si>
  <si>
    <t>Calc</t>
  </si>
  <si>
    <t>https://www.ifw-kiel.de/topics/war-against-ukraine/ukraine-support-tracker/</t>
  </si>
  <si>
    <t xml:space="preserve">#ofYears </t>
  </si>
  <si>
    <t>Exchange rate</t>
  </si>
  <si>
    <t>1 USD =</t>
  </si>
  <si>
    <t>Euro</t>
  </si>
  <si>
    <t>Source</t>
  </si>
  <si>
    <t>https://www.xe.com/currencyconverter/convert/?Amount=1&amp;From=USD&amp;To=EUR</t>
  </si>
  <si>
    <t>Date 13 february 2024</t>
  </si>
  <si>
    <t xml:space="preserve">Ann. Aid </t>
  </si>
  <si>
    <t>in % GDP</t>
  </si>
  <si>
    <t>-</t>
  </si>
  <si>
    <t>calc</t>
  </si>
  <si>
    <t>https://tradingeconomics.com/united-states/gdp</t>
  </si>
  <si>
    <t>https://tradingeconomics.com/germany/gdp</t>
  </si>
  <si>
    <t>https://tradingeconomics.com/united-kingdom/gdp</t>
  </si>
  <si>
    <t>https://tradingeconomics.com/norway/gdp</t>
  </si>
  <si>
    <t>https://tradingeconomics.com/japan/gdp</t>
  </si>
  <si>
    <t xml:space="preserve">European Union </t>
  </si>
  <si>
    <t>https://tradingeconomics.com/canada/gdp</t>
  </si>
  <si>
    <t>https://tradingeconomics.com/poland/gdp</t>
  </si>
  <si>
    <t>https://tradingeconomics.com/netherlands/gdp</t>
  </si>
  <si>
    <t>https://tradingeconomics.com/denmark/gdp</t>
  </si>
  <si>
    <t>Russia military spending</t>
  </si>
  <si>
    <t>https://tradingeconomics.com/sweden/gdp</t>
  </si>
  <si>
    <t>https://tradingeconomics.com/switzerland/gdp</t>
  </si>
  <si>
    <t>https://tradingeconomics.com/france/gdp</t>
  </si>
  <si>
    <t>https://tradingeconomics.com/finland/gdp</t>
  </si>
  <si>
    <t>https://tradingeconomics.com/czech-republic/gdp</t>
  </si>
  <si>
    <t>https://tradingeconomics.com/italy/gdp</t>
  </si>
  <si>
    <t>https://en.wikipedia.org/wiki/Military_budget_of_Russia</t>
  </si>
  <si>
    <t>https://tradingeconomics.com/russia/gdp</t>
  </si>
  <si>
    <t>Only military aid, B. EURO</t>
  </si>
  <si>
    <t>Jan. 24, 2022 to Oct.31 2023, B. EURO</t>
  </si>
  <si>
    <t>B. EURO cost of UKR refugees</t>
  </si>
  <si>
    <t>B. EURO cost of aid</t>
  </si>
  <si>
    <t>GDP in B. USD</t>
  </si>
  <si>
    <t>Donor countries minus US</t>
  </si>
  <si>
    <t>Ukraine military spending</t>
  </si>
  <si>
    <t>Foreign military aid for Ukraine</t>
  </si>
  <si>
    <t>Military expence for Ukraine</t>
  </si>
  <si>
    <t>https://tradingeconomics.com/ukraine/military-expenditure</t>
  </si>
  <si>
    <t>linked</t>
  </si>
  <si>
    <t>https://www.wilsoncenter.org/blog-post/russias-unprecedented-war-budget-explained</t>
  </si>
  <si>
    <t>Only military aid, B. EUR</t>
  </si>
  <si>
    <t>Jan. 24, 2022 to Oct.31 2023, B. EUR</t>
  </si>
  <si>
    <t>Cost of UKR refugees, B. EUR</t>
  </si>
  <si>
    <t>B. EUR cost of aid</t>
  </si>
  <si>
    <t>Total B. EUR</t>
  </si>
  <si>
    <t>https://tradingeconomics.com/ukraine/gdp</t>
  </si>
  <si>
    <t xml:space="preserve">Ann. aid </t>
  </si>
  <si>
    <t>https://en.wikipedia.org/wiki/Economy_of_the_European_Union</t>
  </si>
  <si>
    <t>Donor countries minus US + EU</t>
  </si>
  <si>
    <t>Total B. USD</t>
  </si>
  <si>
    <t>All aid countries incl US &amp; EU</t>
  </si>
  <si>
    <t>mil. B. USD</t>
  </si>
  <si>
    <t>Top 15 countries and EU supporting Ukraine in billion EUR or USD</t>
  </si>
  <si>
    <t>Sum of blue aid countries+EU</t>
  </si>
  <si>
    <r>
      <t>USA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</si>
  <si>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UK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</si>
  <si>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France</t>
    </r>
    <r>
      <rPr>
        <sz val="11"/>
        <color theme="1"/>
        <rFont val="Calibri"/>
        <family val="2"/>
        <scheme val="minor"/>
      </rPr>
      <t xml:space="preserve"> (has nuclear weapons)</t>
    </r>
  </si>
  <si>
    <t>Military expence for Ukraine - US</t>
  </si>
  <si>
    <t>Jan. 24, 2022 to Jan. 15, 2024, B. EUR</t>
  </si>
  <si>
    <t>Financial</t>
  </si>
  <si>
    <t>Humanitarian</t>
  </si>
  <si>
    <t>Cost of refugees</t>
  </si>
  <si>
    <t>All blue aid countries incl EU</t>
  </si>
  <si>
    <t>All aid countries incl EU - US</t>
  </si>
  <si>
    <t>All aid countries incl EU &amp; US</t>
  </si>
  <si>
    <t>follow link</t>
  </si>
  <si>
    <t>https://tradingeconomics.com/japan/military-expenditure-percent-of-gdp-wb-data.html#:~:text=Military%20expenditure%20%28%25%20of%20GDP%29%20in%20Japan%20was,of%20development%20indicators%2C%20compiled%20from%20officially%20recognized%20sources.</t>
  </si>
  <si>
    <t>https://www.statista.com/chart/14636/defense-expenditures-of-nato-countries/</t>
  </si>
  <si>
    <t>Military spending in % of GDP</t>
  </si>
  <si>
    <t>https://tradingeconomics.com/sweden/military-expenditure-percent-of-gdp-wb-data.html</t>
  </si>
  <si>
    <t>https://tradingeconomics.com/united-states/military-expenditure-percent-of-gdp-wb-data.html</t>
  </si>
  <si>
    <t>https://tradingeconomics.com/germany/military-expenditure-percent-of-gdp-wb-data.html</t>
  </si>
  <si>
    <t>https://tradingeconomics.com/ukraine/military-expenditure-percent-of-gdp-wb-data.html</t>
  </si>
  <si>
    <t>https://tradingeconomics.com/russia/military-expenditure-percent-of-gdp-wb-data.html</t>
  </si>
  <si>
    <t>https://www.reuters.com/world/europe/ukraine-approves-increase-2023-defence-spending-2023-10-06/</t>
  </si>
  <si>
    <t>https://tradingeconomics.com/united-kingdom/military-expenditure-percent-of-gdp-wb-data.html</t>
  </si>
  <si>
    <t>https://tradingeconomics.com/norway/military-expenditure-percent-of-gdp-wb-data.html</t>
  </si>
  <si>
    <t>https://tradingeconomics.com/canada/military-expenditure-percent-of-gdp-wb-data.html</t>
  </si>
  <si>
    <t>https://tradingeconomics.com/poland/military-expenditure-percent-of-gdp-wb-data.html</t>
  </si>
  <si>
    <t>https://tradingeconomics.com/netherlands/military-expenditure-percent-of-gdp-wb-data.html</t>
  </si>
  <si>
    <t>https://tradingeconomics.com/denmark/military-expenditure-percent-of-gdp-wb-data.html</t>
  </si>
  <si>
    <t>Germany NATO</t>
  </si>
  <si>
    <r>
      <t>USA</t>
    </r>
    <r>
      <rPr>
        <sz val="11"/>
        <color theme="1"/>
        <rFont val="Calibri"/>
        <family val="2"/>
        <scheme val="minor"/>
      </rPr>
      <t xml:space="preserve"> (nuclear weapons)</t>
    </r>
    <r>
      <rPr>
        <b/>
        <sz val="11"/>
        <color theme="1"/>
        <rFont val="Calibri"/>
        <family val="2"/>
        <scheme val="minor"/>
      </rPr>
      <t xml:space="preserve"> NATO</t>
    </r>
  </si>
  <si>
    <r>
      <t>UK</t>
    </r>
    <r>
      <rPr>
        <sz val="11"/>
        <color theme="1"/>
        <rFont val="Calibri"/>
        <family val="2"/>
        <scheme val="minor"/>
      </rPr>
      <t xml:space="preserve"> (nuclear weapons) NATO</t>
    </r>
  </si>
  <si>
    <t>Norway NATO</t>
  </si>
  <si>
    <t>Canada NATO</t>
  </si>
  <si>
    <t>Poland NATO</t>
  </si>
  <si>
    <t>Netherlands NATO</t>
  </si>
  <si>
    <t>Denmark NATO</t>
  </si>
  <si>
    <t>Sweden NATO</t>
  </si>
  <si>
    <r>
      <t>France</t>
    </r>
    <r>
      <rPr>
        <sz val="11"/>
        <color theme="1"/>
        <rFont val="Calibri"/>
        <family val="2"/>
        <scheme val="minor"/>
      </rPr>
      <t xml:space="preserve"> (nuclear weapons) NATO</t>
    </r>
  </si>
  <si>
    <t>Finland NATO</t>
  </si>
  <si>
    <t>Czech Republic NATO</t>
  </si>
  <si>
    <t>Italy NATO</t>
  </si>
  <si>
    <r>
      <t>Russia</t>
    </r>
    <r>
      <rPr>
        <sz val="11"/>
        <color theme="1"/>
        <rFont val="Calibri"/>
        <family val="2"/>
        <scheme val="minor"/>
      </rPr>
      <t xml:space="preserve"> (nuclear weapons)</t>
    </r>
  </si>
  <si>
    <t xml:space="preserve">Ukraine </t>
  </si>
  <si>
    <r>
      <t xml:space="preserve">Israel </t>
    </r>
    <r>
      <rPr>
        <sz val="11"/>
        <color theme="1"/>
        <rFont val="Calibri"/>
        <family val="2"/>
        <scheme val="minor"/>
      </rPr>
      <t>(nuclear weapons)</t>
    </r>
  </si>
  <si>
    <r>
      <t>North Korea</t>
    </r>
    <r>
      <rPr>
        <sz val="11"/>
        <color theme="1"/>
        <rFont val="Calibri"/>
        <family val="2"/>
        <scheme val="minor"/>
      </rPr>
      <t xml:space="preserve"> (nuclear weapons)</t>
    </r>
  </si>
  <si>
    <r>
      <t>India</t>
    </r>
    <r>
      <rPr>
        <sz val="11"/>
        <color theme="1"/>
        <rFont val="Calibri"/>
        <family val="2"/>
        <scheme val="minor"/>
      </rPr>
      <t xml:space="preserve"> (nuclear weapons)</t>
    </r>
  </si>
  <si>
    <r>
      <t>China</t>
    </r>
    <r>
      <rPr>
        <sz val="11"/>
        <color theme="1"/>
        <rFont val="Calibri"/>
        <family val="2"/>
        <scheme val="minor"/>
      </rPr>
      <t xml:space="preserve"> (nuclear weapons)</t>
    </r>
  </si>
  <si>
    <r>
      <t xml:space="preserve">Pakistan </t>
    </r>
    <r>
      <rPr>
        <sz val="11"/>
        <color theme="1"/>
        <rFont val="Calibri"/>
        <family val="2"/>
        <scheme val="minor"/>
      </rPr>
      <t>(nuclear weapons)</t>
    </r>
  </si>
  <si>
    <r>
      <t xml:space="preserve">Iran </t>
    </r>
    <r>
      <rPr>
        <sz val="11"/>
        <color theme="1"/>
        <rFont val="Calibri"/>
        <family val="2"/>
        <scheme val="minor"/>
      </rPr>
      <t>(nuclear weapons in 2 years)</t>
    </r>
  </si>
  <si>
    <r>
      <t>USA</t>
    </r>
    <r>
      <rPr>
        <sz val="11"/>
        <color theme="1"/>
        <rFont val="Calibri"/>
        <family val="2"/>
        <scheme val="minor"/>
      </rPr>
      <t xml:space="preserve"> (nuclear weapons) NATO</t>
    </r>
  </si>
  <si>
    <r>
      <t xml:space="preserve">Czech Republic </t>
    </r>
    <r>
      <rPr>
        <sz val="11"/>
        <color theme="1"/>
        <rFont val="Calibri"/>
        <family val="2"/>
        <scheme val="minor"/>
      </rPr>
      <t>NATO</t>
    </r>
  </si>
  <si>
    <r>
      <t xml:space="preserve">Italy </t>
    </r>
    <r>
      <rPr>
        <sz val="11"/>
        <color theme="1"/>
        <rFont val="Calibri"/>
        <family val="2"/>
        <scheme val="minor"/>
      </rPr>
      <t>NATO</t>
    </r>
  </si>
  <si>
    <r>
      <t xml:space="preserve">Finland </t>
    </r>
    <r>
      <rPr>
        <sz val="11"/>
        <color theme="1"/>
        <rFont val="Calibri"/>
        <family val="2"/>
        <scheme val="minor"/>
      </rPr>
      <t>NATO</t>
    </r>
  </si>
  <si>
    <r>
      <t xml:space="preserve">Sweden </t>
    </r>
    <r>
      <rPr>
        <sz val="11"/>
        <color theme="1"/>
        <rFont val="Calibri"/>
        <family val="2"/>
        <scheme val="minor"/>
      </rPr>
      <t>NATO</t>
    </r>
  </si>
  <si>
    <r>
      <t xml:space="preserve">Denmark </t>
    </r>
    <r>
      <rPr>
        <sz val="11"/>
        <color theme="1"/>
        <rFont val="Calibri"/>
        <family val="2"/>
        <scheme val="minor"/>
      </rPr>
      <t>NATO</t>
    </r>
  </si>
  <si>
    <r>
      <t xml:space="preserve">Netherlands </t>
    </r>
    <r>
      <rPr>
        <sz val="11"/>
        <color theme="1"/>
        <rFont val="Calibri"/>
        <family val="2"/>
        <scheme val="minor"/>
      </rPr>
      <t>NATO</t>
    </r>
  </si>
  <si>
    <r>
      <t xml:space="preserve">Norway </t>
    </r>
    <r>
      <rPr>
        <sz val="11"/>
        <color theme="1"/>
        <rFont val="Calibri"/>
        <family val="2"/>
        <scheme val="minor"/>
      </rPr>
      <t>NATO</t>
    </r>
  </si>
  <si>
    <r>
      <t>Canada</t>
    </r>
    <r>
      <rPr>
        <sz val="11"/>
        <color theme="1"/>
        <rFont val="Calibri"/>
        <family val="2"/>
        <scheme val="minor"/>
      </rPr>
      <t xml:space="preserve"> NATO</t>
    </r>
  </si>
  <si>
    <r>
      <t>Germany</t>
    </r>
    <r>
      <rPr>
        <sz val="11"/>
        <color theme="1"/>
        <rFont val="Calibri"/>
        <family val="2"/>
        <scheme val="minor"/>
      </rPr>
      <t xml:space="preserve"> NATO</t>
    </r>
  </si>
  <si>
    <r>
      <t>Poland</t>
    </r>
    <r>
      <rPr>
        <sz val="11"/>
        <color theme="1"/>
        <rFont val="Calibri"/>
        <family val="2"/>
        <scheme val="minor"/>
      </rPr>
      <t xml:space="preserve"> NATO</t>
    </r>
  </si>
  <si>
    <t>https://tradingeconomics.com/switzerland/military-expenditure-percent-of-gdp-wb-data.html</t>
  </si>
  <si>
    <t>https://tradingeconomics.com/france/military-expenditure-percent-of-gdp-wb-data.html</t>
  </si>
  <si>
    <t>https://tradingeconomics.com/finland/military-expenditure-percent-of-gdp-wb-data.html</t>
  </si>
  <si>
    <t>https://tradingeconomics.com/czech-republic/military-expenditure-percent-of-gdp-wb-data.html</t>
  </si>
  <si>
    <t>https://tradingeconomics.com/italy/military-expenditure-percent-of-gdp-wb-data.html</t>
  </si>
  <si>
    <t>https://tradingeconomics.com/china/gdp</t>
  </si>
  <si>
    <t>https://tradingeconomics.com/india/gdp</t>
  </si>
  <si>
    <t>https://tradingeconomics.com/pakistan/gdp</t>
  </si>
  <si>
    <t>https://tradingeconomics.com/north-korea/gdp</t>
  </si>
  <si>
    <t>https://tradingeconomics.com/iran/gdp</t>
  </si>
  <si>
    <t>https://tradingeconomics.com/israel/gdp</t>
  </si>
  <si>
    <t>https://tradingeconomics.com/israel/military-expenditure-percent-of-gdp-wb-data.html</t>
  </si>
  <si>
    <t>Taiwan</t>
  </si>
  <si>
    <t>https://tradingeconomics.com/china/military-expenditure-percent-of-gdp-wb-data.html</t>
  </si>
  <si>
    <t>https://tradingeconomics.com/taiwan/gdp</t>
  </si>
  <si>
    <t>https://en.wikipedia.org/wiki/List_of_countries_with_highest_military_expenditures</t>
  </si>
  <si>
    <t>https://knoema.com/atlas/Taiwan-Province-of-China/Military-expenditure-as-a-share-of-GDP</t>
  </si>
  <si>
    <t>https://www.statista.com/statistics/747387/north-korea-share-of-military-spending-in-budget/</t>
  </si>
  <si>
    <t>https://tradingeconomics.com/iran/military-expenditure-percent-of-gdp-wb-data.html</t>
  </si>
  <si>
    <t>https://tradingeconomics.com/pakistan/military-expenditure-percent-of-gdp-wb-data.html</t>
  </si>
  <si>
    <t>Military aid</t>
  </si>
  <si>
    <t>billion USD</t>
  </si>
  <si>
    <t>Refugees</t>
  </si>
  <si>
    <t>Mil.,fin.,hum.</t>
  </si>
  <si>
    <t xml:space="preserve">GDP in </t>
  </si>
  <si>
    <t>Annual</t>
  </si>
  <si>
    <t>Military, financial &amp;</t>
  </si>
  <si>
    <t>humanitarian aid</t>
  </si>
  <si>
    <t>Jan. 24, 2022 to Jan. 15 2024 in billion EUR</t>
  </si>
  <si>
    <t>total aid</t>
  </si>
  <si>
    <t>military aid</t>
  </si>
  <si>
    <t>My guess</t>
  </si>
  <si>
    <t>Ukraine versus Russia’s spending on war – How much aid is needed for Ukraine to win? #40/64</t>
  </si>
  <si>
    <t>in billion USD</t>
  </si>
  <si>
    <t>Top 15 donar countries plus EU supporting Ukraine</t>
  </si>
  <si>
    <t>Unit cost in USD</t>
  </si>
  <si>
    <t>Navy weapons</t>
  </si>
  <si>
    <t>Cost to make</t>
  </si>
  <si>
    <t>Army weapons</t>
  </si>
  <si>
    <t>Air force weapons</t>
  </si>
  <si>
    <t>MAGURA V5 navy drone</t>
  </si>
  <si>
    <t>https://en.wikipedia.org/wiki/MAGURA_V5</t>
  </si>
  <si>
    <t>in million USD</t>
  </si>
  <si>
    <t>https://en.wikipedia.org/wiki/M15_mine</t>
  </si>
  <si>
    <t>M15 anti-tank mine</t>
  </si>
  <si>
    <t xml:space="preserve">Cost to make </t>
  </si>
  <si>
    <t>Small anti-personel mine</t>
  </si>
  <si>
    <t>R-360 Neptune anti-ship missile</t>
  </si>
  <si>
    <t>https://en.wikipedia.org/wiki/R-360_Neptune</t>
  </si>
  <si>
    <t>Harpoon anti-ship missile</t>
  </si>
  <si>
    <t>https://en.wikipedia.org/wiki/Harpoon_(missile)</t>
  </si>
  <si>
    <t>https://en.wikipedia.org/wiki/Anti-personnel_mine</t>
  </si>
  <si>
    <t>https://en.defence-ua.com/analysis/how_much_155mm_ammunition_costs_now_an_example_of_the_rheinmetall_contract_for_10000_shells-5178.html</t>
  </si>
  <si>
    <t>Mortar shells 120mm</t>
  </si>
  <si>
    <t>Mortar shells 60mm</t>
  </si>
  <si>
    <t>Mortar shells 81mm</t>
  </si>
  <si>
    <t xml:space="preserve">Range </t>
  </si>
  <si>
    <t>in km</t>
  </si>
  <si>
    <t>https://www.pmulcahy.com/ammunition/mortar_rounds.html</t>
  </si>
  <si>
    <t>https://en.wikipedia.org/wiki/Archer_Artillery_System</t>
  </si>
  <si>
    <t>Archer self-propelled howitzer</t>
  </si>
  <si>
    <t>Panzerhaubitze 2000</t>
  </si>
  <si>
    <t>https://en.wikipedia.org/wiki/Panzerhaubitze_2000</t>
  </si>
  <si>
    <t>CAESAR self-propelled howitzer</t>
  </si>
  <si>
    <t>https://weaponsystems.net/system/171-60mm%2BM224</t>
  </si>
  <si>
    <t>https://en.wikipedia.org/wiki/Soltam_K6</t>
  </si>
  <si>
    <t>my guess</t>
  </si>
  <si>
    <t>https://www.nextbigfuture.com/2024/01/ukraines-one-million-fpv-drones-will-be-outnumbered-by-5-million-russian-drones.html</t>
  </si>
  <si>
    <t>https://www.newsweek.com/ukraine-fpv-drones-mykhailo-fedorov-russia-avdiivka-1853646</t>
  </si>
  <si>
    <t>https://armyrecognition.com/ukraine_-_russia_conflict_war_2022/how_ukraine_s_cheap_fpv_drones_are_used_on_the_ukrainian_battlefield.html?utm_content=cmp-true</t>
  </si>
  <si>
    <t>Warhead</t>
  </si>
  <si>
    <t>kilograms</t>
  </si>
  <si>
    <t>https://ruavia.su/fpv-drones-hortensia-with-increased-payload-are-preparing-to-be-sent-to-the-frontline/</t>
  </si>
  <si>
    <t>Large FPV w. 5 RPG-7 rounds</t>
  </si>
  <si>
    <t>60mm M224 mortar launcher</t>
  </si>
  <si>
    <t>Artillery shells 155mm, M107</t>
  </si>
  <si>
    <t>https://en.wikipedia.org/wiki/M107_projectile</t>
  </si>
  <si>
    <t>0.1/0.03</t>
  </si>
  <si>
    <t>2/1</t>
  </si>
  <si>
    <t>10/5</t>
  </si>
  <si>
    <t>all/explos.</t>
  </si>
  <si>
    <t>Notes</t>
  </si>
  <si>
    <t>Shahed 137</t>
  </si>
  <si>
    <t>https://en.wikipedia.org/wiki/CAESAR_self-propelled_howitzer</t>
  </si>
  <si>
    <t>1.7</t>
  </si>
  <si>
    <t>4.6</t>
  </si>
  <si>
    <t>14.3</t>
  </si>
  <si>
    <t>https://news.err.ee/1609171468/estonia-issues-historic-munitions-procurement-to-kick-start-eu-defense-industry</t>
  </si>
  <si>
    <t>4000 USD per shell is current war time price. Before Ukraine war the price was 2000 USD per shell</t>
  </si>
  <si>
    <t>Art.shells 155mm, base bleed</t>
  </si>
  <si>
    <t>Art.shells 155mm, rocket assist</t>
  </si>
  <si>
    <t>Art.shells 155mm, M982 GPS</t>
  </si>
  <si>
    <t>https://en.wikipedia.org/wiki/M982_Excalibur</t>
  </si>
  <si>
    <t>8000 USD per shell is likely current war time price. Before Ukraine war the price was 4000 USD per shell</t>
  </si>
  <si>
    <t>12000 USD per rocket assiust shell is my best guess current war time price. Before Ukraine war the price was 6000 USD per shell</t>
  </si>
  <si>
    <t>48/5.4</t>
  </si>
  <si>
    <t>43.6/7</t>
  </si>
  <si>
    <t>https://en.wikipedia.org/wiki/M549</t>
  </si>
  <si>
    <t>My best guess</t>
  </si>
  <si>
    <t>24-30</t>
  </si>
  <si>
    <t>43.2/6.9</t>
  </si>
  <si>
    <t>https://store.dji.com/product/dji-inspire-3?vid=136551</t>
  </si>
  <si>
    <t>Military spending</t>
  </si>
  <si>
    <t>All blue aid countries</t>
  </si>
  <si>
    <t>Ukraine spending in % of RUS</t>
  </si>
  <si>
    <t>Ukraine + foreign aid &amp; loans</t>
  </si>
  <si>
    <t>Turkey</t>
  </si>
  <si>
    <t>https://tradingeconomics.com/turkey/gdp</t>
  </si>
  <si>
    <t>https://tradingeconomics.com/turkey/military-expenditure-percent-of-gdp-wb-data.html</t>
  </si>
  <si>
    <r>
      <t xml:space="preserve">Turkey </t>
    </r>
    <r>
      <rPr>
        <sz val="11"/>
        <color theme="1"/>
        <rFont val="Calibri"/>
        <family val="2"/>
        <scheme val="minor"/>
      </rPr>
      <t>NATO</t>
    </r>
  </si>
  <si>
    <t>Population</t>
  </si>
  <si>
    <t>millions</t>
  </si>
  <si>
    <r>
      <t xml:space="preserve">Iran </t>
    </r>
    <r>
      <rPr>
        <sz val="11"/>
        <color theme="1"/>
        <rFont val="Calibri"/>
        <family val="2"/>
        <scheme val="minor"/>
      </rPr>
      <t>(nuclear weapons, 2 years?)</t>
    </r>
  </si>
  <si>
    <t>https://tradingeconomics.com/united-states/population</t>
  </si>
  <si>
    <t>https://en.wikipedia.org/wiki/Demographics_of_the_European_Union</t>
  </si>
  <si>
    <t>https://tradingeconomics.com/germany/population</t>
  </si>
  <si>
    <t>https://tradingeconomics.com/united-kingdom/population</t>
  </si>
  <si>
    <t>in 2023 in</t>
  </si>
  <si>
    <t>https://tradingeconomics.com/denmark/population</t>
  </si>
  <si>
    <t>https://tradingeconomics.com/norway/population</t>
  </si>
  <si>
    <t>https://tradingeconomics.com/japan/population</t>
  </si>
  <si>
    <t>https://tradingeconomics.com/canada/population</t>
  </si>
  <si>
    <t>https://tradingeconomics.com/poland/population</t>
  </si>
  <si>
    <t>https://tradingeconomics.com/netherlands/population</t>
  </si>
  <si>
    <t>https://tradingeconomics.com/sweden/population</t>
  </si>
  <si>
    <t>https://tradingeconomics.com/switzerland/population</t>
  </si>
  <si>
    <t>https://tradingeconomics.com/france/population</t>
  </si>
  <si>
    <t>https://tradingeconomics.com/finland/population</t>
  </si>
  <si>
    <t>https://tradingeconomics.com/czech-republic/population</t>
  </si>
  <si>
    <t>https://tradingeconomics.com/italy/population</t>
  </si>
  <si>
    <t>https://tradingeconomics.com/russia/population</t>
  </si>
  <si>
    <t>https://tradingeconomics.com/ukraine/population</t>
  </si>
  <si>
    <t>Proprietary. © H. Mathiesen. This material can be used by others free of charge provided that the author H. Mathiesen is attributed and a clickable link is made visible to the location of used material on www.hmexperience.dk</t>
  </si>
  <si>
    <t>#</t>
  </si>
  <si>
    <t>Type of loss</t>
  </si>
  <si>
    <t>Losses from Feb. 24, 2022 to Jun. 15, 2023</t>
  </si>
  <si>
    <t>Losses from Feb. 24, 2022 to Mar. 16, 2024</t>
  </si>
  <si>
    <t>Losses from Jun. 15, 2023 to Mar. 16, 2024</t>
  </si>
  <si>
    <t>Russian active</t>
  </si>
  <si>
    <t>Russian active &amp;</t>
  </si>
  <si>
    <t>Ukraine active &amp;</t>
  </si>
  <si>
    <t>Russian</t>
  </si>
  <si>
    <t>Ukraine</t>
  </si>
  <si>
    <t>Kill ratios</t>
  </si>
  <si>
    <t xml:space="preserve">stock on </t>
  </si>
  <si>
    <t xml:space="preserve">passive stock on </t>
  </si>
  <si>
    <t xml:space="preserve">losses </t>
  </si>
  <si>
    <t>losses</t>
  </si>
  <si>
    <t>RUS/UKR</t>
  </si>
  <si>
    <t>confirmed</t>
  </si>
  <si>
    <t>Tanks</t>
  </si>
  <si>
    <t>of which captured</t>
  </si>
  <si>
    <t>Armored fighting vehicles</t>
  </si>
  <si>
    <t>Infantry fighting vehicles</t>
  </si>
  <si>
    <t>Armored personnel carriers</t>
  </si>
  <si>
    <t>Other APCs (MRAPs)</t>
  </si>
  <si>
    <t>Infantry mobility vehicles</t>
  </si>
  <si>
    <t>Command and com vehicles</t>
  </si>
  <si>
    <t>Total armored vehicles (2 to 7)</t>
  </si>
  <si>
    <t>Engineering vehicles special equipm.</t>
  </si>
  <si>
    <t>Anti-tank vehicles</t>
  </si>
  <si>
    <t>Artillery support vehicles</t>
  </si>
  <si>
    <t>Towed artillery</t>
  </si>
  <si>
    <t>Self propelled artillery</t>
  </si>
  <si>
    <t>Multiple rocket launchers</t>
  </si>
  <si>
    <t>Total artillery (10 to 14)</t>
  </si>
  <si>
    <t>Anti-aircraft guns</t>
  </si>
  <si>
    <t>Self propelled anti-aircraft guns</t>
  </si>
  <si>
    <t>Surface-To-Air Missile Systems</t>
  </si>
  <si>
    <t>Radars</t>
  </si>
  <si>
    <t>Jammers and deception systems</t>
  </si>
  <si>
    <t>Total anti-aircraft (16 to 20)</t>
  </si>
  <si>
    <t>Aircraft</t>
  </si>
  <si>
    <t>Helicopters</t>
  </si>
  <si>
    <t>Combat Unmanned Aerial Vehicles</t>
  </si>
  <si>
    <t>Reconnaissance UAVs</t>
  </si>
  <si>
    <t>Total UAVs (24 to 25)</t>
  </si>
  <si>
    <t>Naval ships, Black Sea only</t>
  </si>
  <si>
    <t>519 entire Rus</t>
  </si>
  <si>
    <t>Submarines, Black Sea only</t>
  </si>
  <si>
    <t>Trucks, Vehicles and Jeeps</t>
  </si>
  <si>
    <t>of which destroyed</t>
  </si>
  <si>
    <t>of which damaged</t>
  </si>
  <si>
    <t xml:space="preserve">of which abandoned </t>
  </si>
  <si>
    <t>Wounded personnel 3*killed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</si>
  <si>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</si>
  <si>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control</t>
  </si>
  <si>
    <t>note</t>
  </si>
  <si>
    <t>small error</t>
  </si>
  <si>
    <t>https://www.minusrus.com/en</t>
  </si>
  <si>
    <t>https://twitter.com/HMexperienceDK/status/1768915880694391294</t>
  </si>
  <si>
    <t>https://militarywatchmagazine.com/article/850-obsolete-tanks-can-t-stop-russia-ukraine-chose-sheer-numbers-over-modernisation-and-suffered</t>
  </si>
  <si>
    <t>https://www.oryxspioenkop.com/2022/02/attack-on-europe-documenting-equipment.html</t>
  </si>
  <si>
    <t>https://www.mil.gov.ua/en/news/2023/06/15/the-total-combat-losses-of-the-enemy-from-24-02-2022-to-15-06-2023/</t>
  </si>
  <si>
    <t>https://www.oryxspioenkop.com/2022/02/attack-on-europe-documenting-ukrainian.html</t>
  </si>
  <si>
    <t>Military losses and stocks Ukraine &amp; Russia</t>
  </si>
  <si>
    <t>Country</t>
  </si>
  <si>
    <t>Russia</t>
  </si>
  <si>
    <t>Ratio R/U</t>
  </si>
  <si>
    <t>EU</t>
  </si>
  <si>
    <t>Population mill.</t>
  </si>
  <si>
    <t xml:space="preserve">GDP billion USD </t>
  </si>
  <si>
    <t>Follow link</t>
  </si>
  <si>
    <t>Population and GDP in 2023</t>
  </si>
  <si>
    <t>Russian new</t>
  </si>
  <si>
    <t>production</t>
  </si>
  <si>
    <t>annually 2023</t>
  </si>
  <si>
    <t>https://youtu.be/0B_4M5dTHIU?si=rFgRbCdII3G6OytB&amp;t=656</t>
  </si>
  <si>
    <t>My guess. Artillery systems cost 10 to 15 million USD a piece same as for infantry fighting vehicles so I assume the production level is similar</t>
  </si>
  <si>
    <t>Assuming Russia made 2X the 27 aircraft the build in 2022 see https://wavellroom.com/2023/02/17/russian-combat-aircraft-sanctions/</t>
  </si>
  <si>
    <t>Following source ( https://www.forbes.com/sites/davidaxe/2024/01/09/the-russians-could-run-out-of-infantry-fighting-vehicles-in-two-or-three-years/?sh=174d967c63f6 ) say Russia make 400 BMP-3 annually. I have added 200 of other vehicles in this categoty that I guess Russia can make</t>
  </si>
  <si>
    <t>https://youtu.be/geSvbR9io3c?si=4v1rMojcgpSvUhp8&amp;t=592</t>
  </si>
  <si>
    <t>I could not find any reliable sources so I guess that Russia can make 10% of its prewar stock of helicopters</t>
  </si>
  <si>
    <t>I could not find any reliable sources so I guess that Russia can make 10% of its prewar stock of anti-aircraft systems</t>
  </si>
  <si>
    <t>losses unco.</t>
  </si>
  <si>
    <t>per day</t>
  </si>
  <si>
    <t>Russian avg.</t>
  </si>
  <si>
    <t>Remaining</t>
  </si>
  <si>
    <t>Number of days / months considered</t>
  </si>
  <si>
    <t>D</t>
  </si>
  <si>
    <t>M</t>
  </si>
  <si>
    <t>Table 1: Kill ratios calculated for entire length of war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</si>
  <si>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</si>
  <si>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daily in 2023</t>
  </si>
  <si>
    <t>unconfi.</t>
  </si>
  <si>
    <t>Likely</t>
  </si>
  <si>
    <t>Killed personnel unconfirmed</t>
  </si>
  <si>
    <t>Speed</t>
  </si>
  <si>
    <t>Time</t>
  </si>
  <si>
    <t>in km/h</t>
  </si>
  <si>
    <t>Minutes</t>
  </si>
  <si>
    <t>Hours</t>
  </si>
  <si>
    <t>FPV with RPG-7 expensive battery</t>
  </si>
  <si>
    <t>FPV with RPG-7 cheap battery</t>
  </si>
  <si>
    <t>RPG-7 launcher</t>
  </si>
  <si>
    <t>2.6</t>
  </si>
  <si>
    <t>1.6</t>
  </si>
  <si>
    <t>RPG-7 rocket with armor p. grenate</t>
  </si>
  <si>
    <t>RPG-7 armor p. grenate only</t>
  </si>
  <si>
    <t>RPG-7 fragmentation grenate only</t>
  </si>
  <si>
    <t>https://en.wikipedia.org/wiki/RPG-7</t>
  </si>
  <si>
    <t>1.0</t>
  </si>
  <si>
    <t>https://en.wikipedia.org/wiki/Storm_Shadow</t>
  </si>
  <si>
    <t>450</t>
  </si>
  <si>
    <t>35M</t>
  </si>
  <si>
    <t>40M</t>
  </si>
  <si>
    <t>https://www.rferl.org/a/lancet-drones-russia-invasion-counteroffensive-kamikaze/32493513.html</t>
  </si>
  <si>
    <t>https://en.wikipedia.org/wiki/ZALA_Lancet</t>
  </si>
  <si>
    <t>https://en.wikipedia.org/wiki/HESA_Shahed_136</t>
  </si>
  <si>
    <t>&gt;10H</t>
  </si>
  <si>
    <t>https://en.wikipedia.org/wiki/HESA_Shahed_133</t>
  </si>
  <si>
    <t>https://en.wikipedia.org/wiki/HESA_Shahed_134</t>
  </si>
  <si>
    <t>Enterprise by AeroDrone</t>
  </si>
  <si>
    <t>https://www.reuters.com/world/europe/inside-ukraines-scramble-game-changer-drone-fleet-2023-03-24/</t>
  </si>
  <si>
    <t>Liutyi UAV</t>
  </si>
  <si>
    <t>https://en.defence-ua.com/news/liutyi_uav_is_responsible_for_attacks_on_taganrog_russians_assume_drone_with_1000_km_range_finally_in_action-9779.html</t>
  </si>
  <si>
    <t># build</t>
  </si>
  <si>
    <t>&gt;100</t>
  </si>
  <si>
    <t>&lt;100</t>
  </si>
  <si>
    <t>60H</t>
  </si>
  <si>
    <t>20M</t>
  </si>
  <si>
    <t>10M</t>
  </si>
  <si>
    <t>&gt;10M</t>
  </si>
  <si>
    <t>&lt;1M</t>
  </si>
  <si>
    <t>&lt;100.000</t>
  </si>
  <si>
    <t>&lt;20,000</t>
  </si>
  <si>
    <t>ChatGPT4</t>
  </si>
  <si>
    <t>48</t>
  </si>
  <si>
    <t>minutes</t>
  </si>
  <si>
    <t>&gt;500</t>
  </si>
  <si>
    <t>&gt;501</t>
  </si>
  <si>
    <t>seconds</t>
  </si>
  <si>
    <t>https://en.wikipedia.org/wiki/Mikoyan_MiG-29</t>
  </si>
  <si>
    <t>&gt;1,600</t>
  </si>
  <si>
    <t>&gt;5,000</t>
  </si>
  <si>
    <t>&gt;10,000</t>
  </si>
  <si>
    <t>https://www.angelfire.com/falcon/fighterplanes/texts/articles/MiG-29.html</t>
  </si>
  <si>
    <t>4M</t>
  </si>
  <si>
    <t>12M</t>
  </si>
  <si>
    <t>&lt;300</t>
  </si>
  <si>
    <t>10H</t>
  </si>
  <si>
    <t>4H</t>
  </si>
  <si>
    <t>Losses from Feb. 24, 2022 to Apr. 11, 2024</t>
  </si>
  <si>
    <t>https://twitter.com/EuromaidanPress/status/1778299697494462846</t>
  </si>
  <si>
    <t>Losses from Jun. 15, 2023 to Apr. 12, 2024</t>
  </si>
  <si>
    <t>Losses from Jun. 15, 2023 to Apr. 11, 2024</t>
  </si>
  <si>
    <t>Feb. 24, 22 to Apr. 11, 24</t>
  </si>
  <si>
    <t>Jun. 15, 23 to Apr. 11, 24</t>
  </si>
  <si>
    <t>https://www.businessinsider.com/russia-recruiting-30000-troops-a-month-ukraine-frontline-losses-analysts-2024-1</t>
  </si>
  <si>
    <t>Total equipment losses (not 26, 29)</t>
  </si>
  <si>
    <t>My estimate. Enginering vehicles are similar to tanks in costs so I multiply number of new tanks per year with fraction of enginering vehicles to tanks that are unconfirmed lost in action.</t>
  </si>
  <si>
    <t>Sources - Military losses and stocks Ukraine &amp; Russia</t>
  </si>
  <si>
    <t>calculated simply Russian population times the percentage of population that could be fit for military service</t>
  </si>
  <si>
    <t>Table 2: Kill ratios calculated for last 10 months of war</t>
  </si>
  <si>
    <t xml:space="preserve">to depletion </t>
  </si>
  <si>
    <t>of all stocks</t>
  </si>
  <si>
    <t>Months left</t>
  </si>
  <si>
    <t>120mm Soltam K6 mortar launcher</t>
  </si>
  <si>
    <t>https://en.wikipedia.org/wiki/M142_HIMARS</t>
  </si>
  <si>
    <t>&gt;540</t>
  </si>
  <si>
    <t>HIMARS M142 rocket launcher</t>
  </si>
  <si>
    <t>227 mm unguided rocket MLRS</t>
  </si>
  <si>
    <t>227 mm guided rocket GMLRS</t>
  </si>
  <si>
    <t>https://www.newsweek.com/who-makes-himars-cost-launch-missile-fire-manufacture-1752295#:~:text=HIMARS%20carries%20a%20single%20six-pack%20of%20GMLRS%20rockets,Lockheed%20Martin.%20Individual%20GMLRS%20rockets%20cost%20about%20%24100%2C000.</t>
  </si>
  <si>
    <t>Rockets include M26, M26A1 ER, AT2 that are either cluster munitions or anti-tank mines</t>
  </si>
  <si>
    <t>&gt;30000</t>
  </si>
  <si>
    <t>https://en.wikipedia.org/wiki/M142_HIMARS#cite_note-Marine_Corps_Gazette-78</t>
  </si>
  <si>
    <t>https://en.wikipedia.org/wiki/Ground_Launched_Small_Diameter_Bomb</t>
  </si>
  <si>
    <t>93/16</t>
  </si>
  <si>
    <t>Armor pearcing warhead 0.91 meter , also fragmentation warhead Ground Launched Small Diameter Bomb</t>
  </si>
  <si>
    <t>50000</t>
  </si>
  <si>
    <t>91</t>
  </si>
  <si>
    <t>M30to M31 variants all kinds of warheads</t>
  </si>
  <si>
    <t>https://kyivindependent.com/why-is-russia-so-vulnerable-to-himars-in-ukraine/</t>
  </si>
  <si>
    <t>Time to target in minutes</t>
  </si>
  <si>
    <t>2M</t>
  </si>
  <si>
    <t>https://en.wikipedia.org/wiki/MGM-140_ATACMS</t>
  </si>
  <si>
    <t>6M</t>
  </si>
  <si>
    <t>200</t>
  </si>
  <si>
    <t>https://en.wikipedia.org/wiki/M142_HIMARS#</t>
  </si>
  <si>
    <t>Large long-range missiles</t>
  </si>
  <si>
    <t>https://en.wikipedia.org/wiki/Tomahawk_(missile)</t>
  </si>
  <si>
    <t>100M</t>
  </si>
  <si>
    <t>&gt;1000</t>
  </si>
  <si>
    <t>https://www.independent.co.uk/news/world/europe/storm-shadow-missiles-ukraine-uk-weapons-b2339703.html</t>
  </si>
  <si>
    <t>700-1000</t>
  </si>
  <si>
    <t>Lancet kamikaze drone</t>
  </si>
  <si>
    <t>M=million</t>
  </si>
  <si>
    <t>&gt;1M</t>
  </si>
  <si>
    <t>&gt;100.000</t>
  </si>
  <si>
    <t>https://www.kyivpost.com/post/29064</t>
  </si>
  <si>
    <t>https://www.washingtonpost.com/investigations/2023/08/17/russia-iran-drone-shahed-alabuga/</t>
  </si>
  <si>
    <t>&gt;10.000</t>
  </si>
  <si>
    <t>My best guess see also https://defence-industry.eu/russia-ramps-up-production-of-lancet-kamikaze-drones/</t>
  </si>
  <si>
    <t>&gt;50</t>
  </si>
  <si>
    <t>&gt;300</t>
  </si>
  <si>
    <t>My best guess only very few confirmed use by video of it attacking Russia</t>
  </si>
  <si>
    <t>My best guess . Has been used on docens of attacks in Russia in 2024 and late 2023</t>
  </si>
  <si>
    <t>4,900</t>
  </si>
  <si>
    <t>3,690</t>
  </si>
  <si>
    <t>https://en.wikipedia.org/wiki/General_Dynamics_F-16_Fighting_Falcon</t>
  </si>
  <si>
    <t>F16 (AM/BM Danish v. for UKR)</t>
  </si>
  <si>
    <t>https://en.wikipedia.org/wiki/General_Dynamics_F-16_Fighting_Falcon_variants#Specifications</t>
  </si>
  <si>
    <t>https://en.wikipedia.org/wiki/General_Dynamics_F-16_Fighting_Falcon_variants#F-16I_Sufa</t>
  </si>
  <si>
    <t>Anti-aircraft systems</t>
  </si>
  <si>
    <t>240</t>
  </si>
  <si>
    <t>https://www.reuters.com/world/europe/what-is-patriot-missile-defense-system-2022-12-21/</t>
  </si>
  <si>
    <t>Patriot battery w. radar launchers and control</t>
  </si>
  <si>
    <t>Patriot PAC-3 MSE missile</t>
  </si>
  <si>
    <t>https://en.wikipedia.org/wiki/MIM-104_Patriot</t>
  </si>
  <si>
    <t>https://en.wikipedia.org/wiki/MIM-104_Patriot#Variants</t>
  </si>
  <si>
    <t>50</t>
  </si>
  <si>
    <t>my best guess</t>
  </si>
  <si>
    <t>https://en.wikipedia.org/wiki/NASAMS</t>
  </si>
  <si>
    <t>30-50</t>
  </si>
  <si>
    <t>NASAMS system</t>
  </si>
  <si>
    <t>https://www.thenationalnews.com/world/europe/2022/10/12/explained-the-iris-t-slm-and-nasams-air-defence-systems-ukraine-needs/</t>
  </si>
  <si>
    <t>Iris-T SLM system</t>
  </si>
  <si>
    <t>https://en.wikipedia.org/wiki/AIM-120_AMRAAM</t>
  </si>
  <si>
    <t>&gt;20,000</t>
  </si>
  <si>
    <t>my best guess same as NASAMS just build by Germany instead of US and Norway</t>
  </si>
  <si>
    <t>1.2M</t>
  </si>
  <si>
    <t>Hawk missile (legacy no production)</t>
  </si>
  <si>
    <t>https://en.wikipedia.org/wiki/MIM-23_Hawk</t>
  </si>
  <si>
    <t>Gun trucks with radar, 30mm canon</t>
  </si>
  <si>
    <t>my guess see https://www.nationaldefensemagazine.org/articles/2023/5/22/us-made--counter-drone-trucks-head-for-ukraine</t>
  </si>
  <si>
    <t>https://en.wikipedia.org/wiki/M230_chain_gun</t>
  </si>
  <si>
    <t xml:space="preserve">30mm timer shells for M230 cannon </t>
  </si>
  <si>
    <t>&gt;5M</t>
  </si>
  <si>
    <t>35mm timer shells for Gepard</t>
  </si>
  <si>
    <t>Gepard armored vehicle (legacy)</t>
  </si>
  <si>
    <t>https://en.wikipedia.org/wiki/Flakpanzer_Gepard</t>
  </si>
  <si>
    <t>my best guess see https://en.wikipedia.org/wiki/Flakpanzer_Gepard#Guns</t>
  </si>
  <si>
    <t>https://en.wikipedia.org/wiki/Flakpanzer_Gepard#Guns</t>
  </si>
  <si>
    <t>&gt;200</t>
  </si>
  <si>
    <t>https://en.wikipedia.org/wiki/Oerlikon_GDF</t>
  </si>
  <si>
    <t>https://en.wikipedia.org/wiki/Joint_Direct_Attack_Munition</t>
  </si>
  <si>
    <t>230-910</t>
  </si>
  <si>
    <t>Bradley armored fighting vehicle</t>
  </si>
  <si>
    <t>https://en.wikipedia.org/wiki/M2_Bradley#Production_history</t>
  </si>
  <si>
    <t>25mm M242 Bushmaster for Bradley</t>
  </si>
  <si>
    <t>https://en.wikipedia.org/wiki/M242_Bushmaster</t>
  </si>
  <si>
    <t>3-6.8</t>
  </si>
  <si>
    <t>FGM-148 Javelin anti-tank launch unit</t>
  </si>
  <si>
    <t>&gt;9M</t>
  </si>
  <si>
    <t>&gt;50M</t>
  </si>
  <si>
    <t>0.33-0.7</t>
  </si>
  <si>
    <t>https://en.wikipedia.org/wiki/FGM-148_Javelin</t>
  </si>
  <si>
    <t>&gt;45,000</t>
  </si>
  <si>
    <t>&gt;12,000</t>
  </si>
  <si>
    <t>8.4</t>
  </si>
  <si>
    <t>3-5.5</t>
  </si>
  <si>
    <t>&gt;2,000</t>
  </si>
  <si>
    <t>https://en.wikipedia.org/wiki/Skif_(anti-tank_guided_missile)</t>
  </si>
  <si>
    <t>my guess see https://en.wikipedia.org/wiki/Skif_(anti-tank_guided_missile)</t>
  </si>
  <si>
    <t>Stugna P launch unit anti-tank</t>
  </si>
  <si>
    <t>Stugna P anti-tank missile</t>
  </si>
  <si>
    <t>NLAW anti-tank missile</t>
  </si>
  <si>
    <t>&gt;24,200</t>
  </si>
  <si>
    <t>1.8</t>
  </si>
  <si>
    <t>https://en.wikipedia.org/wiki/NLAW</t>
  </si>
  <si>
    <t>AMRAAM missile for NASAMS</t>
  </si>
  <si>
    <t>&gt;14,000</t>
  </si>
  <si>
    <t>20</t>
  </si>
  <si>
    <t>1M</t>
  </si>
  <si>
    <t>The US has developed a ground launched version of Tomahawk  see https://nationalinterest.org/blog/reboot/tomahawk-missile-can-now-be-launched-ground-too-173768</t>
  </si>
  <si>
    <t>https://en.wikipedia.org/wiki/M61_Vulcan</t>
  </si>
  <si>
    <t>https://www.gd-ots.com/armaments/aircraft-guns-gun-systems/f-16/</t>
  </si>
  <si>
    <t>https://en.wikipedia.org/wiki/AIM-9_Sidewinder</t>
  </si>
  <si>
    <t>9.4</t>
  </si>
  <si>
    <t>&gt;110,000</t>
  </si>
  <si>
    <t>https://en.wikipedia.org/wiki/AGM-65_Maverick</t>
  </si>
  <si>
    <t>&gt;550,000</t>
  </si>
  <si>
    <t>&gt;70,000</t>
  </si>
  <si>
    <t>57-136</t>
  </si>
  <si>
    <t>https://www.defensenews.com/pentagon/2023/03/13/pentagon-budget-aims-to-max-munitions-production-make-multiyear-buys/</t>
  </si>
  <si>
    <t>https://en.wikipedia.org/wiki/Joint_Strike_Missile</t>
  </si>
  <si>
    <t>31M</t>
  </si>
  <si>
    <t>120</t>
  </si>
  <si>
    <t>&gt;20</t>
  </si>
  <si>
    <t>https://en.wikipedia.org/wiki/Taurus_KEPD_350</t>
  </si>
  <si>
    <t>https://en.wikipedia.org/wiki/Taurus_KEPD_351</t>
  </si>
  <si>
    <t>https://en.wikipedia.org/wiki/Taurus_KEPD_353</t>
  </si>
  <si>
    <t>https://en.wikipedia.org/wiki/Taurus_KEPD_354</t>
  </si>
  <si>
    <t>https://english.elpais.com/international/2024-03-17/the-taurus-the-german-weapon-that-ukraine-wants-to-use-to-strike-russian-targets-away-from-the-front-lines.html#</t>
  </si>
  <si>
    <t>480</t>
  </si>
  <si>
    <t>28M</t>
  </si>
  <si>
    <t>https://euromaidanpress.com/2024/03/23/meet-liutyi-ukraines-homegrown-drone-behind-strikes-on-russian-oil-refineries/</t>
  </si>
  <si>
    <t>https://en.wikipedia.org/wiki/AGM-88_HARM</t>
  </si>
  <si>
    <t>68</t>
  </si>
  <si>
    <t>5M</t>
  </si>
  <si>
    <t>&gt;3000</t>
  </si>
  <si>
    <t>my gues see also https://en.wikipedia.org/wiki/AGM-88_HARM#Criticism</t>
  </si>
  <si>
    <t>Armement Air-Sol Modulaire - Wikipedia</t>
  </si>
  <si>
    <t>https://en.wikipedia.org/wiki/Armement_Air-Sol_Modulaire</t>
  </si>
  <si>
    <t>250</t>
  </si>
  <si>
    <t>Ukraine War - Kill ratios for airplanes, helicopters, UAVs and anti-aircraft #51/75</t>
  </si>
  <si>
    <t>I think the range claim on wiki is BS. More likely 1200km</t>
  </si>
  <si>
    <t>&gt;8.000</t>
  </si>
  <si>
    <t>Cost and specks of weapons used in Ukraine war and other potential future weapons in war</t>
  </si>
  <si>
    <t>Lancet when mass produced like car</t>
  </si>
  <si>
    <t>Shahed when mass produced like car</t>
  </si>
  <si>
    <t>See my video https://www.youtube.com/watch?v=bYiTZfBnXsY</t>
  </si>
  <si>
    <t>Not in production</t>
  </si>
  <si>
    <t>Large FPV when mass produced</t>
  </si>
  <si>
    <t>Mig-29 (Ukr main fighter)</t>
  </si>
  <si>
    <t xml:space="preserve"> - HAMMER rocket assisted bomb</t>
  </si>
  <si>
    <t xml:space="preserve"> - AGM-88 HARM anti-radar missile</t>
  </si>
  <si>
    <t xml:space="preserve"> - JDAM glider bomb for F16</t>
  </si>
  <si>
    <t xml:space="preserve"> - Joint Strike Missile cruise missile</t>
  </si>
  <si>
    <t xml:space="preserve"> - AGM-65 Maverick land rocket for F16 </t>
  </si>
  <si>
    <t xml:space="preserve"> - AMRAAM 120 anti-aircraft for F16</t>
  </si>
  <si>
    <t xml:space="preserve"> - AIM-9 Sidewinder anti-aircraft for F16</t>
  </si>
  <si>
    <t xml:space="preserve"> - 20mm gun M61 Vulcan for F16s</t>
  </si>
  <si>
    <t>Su-35 (Rus main fighter jet)</t>
  </si>
  <si>
    <t>&gt;151</t>
  </si>
  <si>
    <t>&gt;155</t>
  </si>
  <si>
    <t>https://en.wikipedia.org/wiki/Sukhoi_Su-35#Specifications_(Su-35S)</t>
  </si>
  <si>
    <t>https://aerocorner.com/aircraft/sukhoi-su-35/</t>
  </si>
  <si>
    <t>Su-34 (other Rus  main fighter jet)</t>
  </si>
  <si>
    <t>https://en.wikipedia.org/wiki/Sukhoi_Su-34</t>
  </si>
  <si>
    <t>https://www.airplaneupdate.com/2019/04/sukhoi-su-34.html</t>
  </si>
  <si>
    <t xml:space="preserve"> - UMPK Russia’s JDAM on FAB-500</t>
  </si>
  <si>
    <t>https://en.wikipedia.org/wiki/FAB-500</t>
  </si>
  <si>
    <t>https://www.popularmechanics.com/military/weapons/a43571893/how-dumb-are-russias-winged-smart-bombs/</t>
  </si>
  <si>
    <t>500</t>
  </si>
  <si>
    <t>I assume same as US JDAM</t>
  </si>
  <si>
    <t>my guess Ukraine is hit daily with 20 of these and the number is increasing</t>
  </si>
  <si>
    <t>&gt;1,000</t>
  </si>
  <si>
    <t>https://simpleflying.com/how-much-does-an-f-35-cost/#:~:text=Summary%20The%20F-35%20Lightning%20II%20is%20a%20multirole,currently%20costs%20up%20to%20%24109%20million%20per%20aircraft.</t>
  </si>
  <si>
    <t>https://en.wikipedia.org/wiki/Lockheed_Martin_F-35_Lightning_II#Specifications_(F-35A)</t>
  </si>
  <si>
    <t xml:space="preserve"> </t>
  </si>
  <si>
    <t>https://en.wikipedia.org/wiki/9K720_Iskander</t>
  </si>
  <si>
    <t>F35 NATO fighter jet radar invisible</t>
  </si>
  <si>
    <t>480-700</t>
  </si>
  <si>
    <t>Tomahawk US navy cruise missile</t>
  </si>
  <si>
    <t>Storm Shadow UK air launched cruise m.</t>
  </si>
  <si>
    <t>Taurus GE KEPD air launched cruise m.</t>
  </si>
  <si>
    <t>450-800</t>
  </si>
  <si>
    <t>https://euromaidanpress.com/2023/01/20/how-many-air-launched-kh-101-missiles-russia-is-able-to-produce-analysis/</t>
  </si>
  <si>
    <t xml:space="preserve">The larger warhead is achieved by reducing its range. </t>
  </si>
  <si>
    <t>https://en.wikipedia.org/wiki/Kh-55</t>
  </si>
  <si>
    <t>https://en.wikipedia.org/wiki/Kh-56</t>
  </si>
  <si>
    <t>https://en.wikipedia.org/wiki/Kh-58</t>
  </si>
  <si>
    <t>https://en.wikipedia.org/wiki/Kh-55#Kh-101/102_(X-101/102)</t>
  </si>
  <si>
    <t>3H</t>
  </si>
  <si>
    <t>310</t>
  </si>
  <si>
    <t>25M</t>
  </si>
  <si>
    <t>my guess production started in 2024 first use in february 2024 see https://euromaidanpress.com/2024/04/12/russias-new-kh-69-cruise-missiles-worse-than-kinzhal-used-in-trypilska-power-plant-strike/</t>
  </si>
  <si>
    <t>https://euromaidanpress.com/2024/04/12/russias-new-kh-69-cruise-missiles-worse-than-kinzhal-used-in-trypilska-power-plant-strike/</t>
  </si>
  <si>
    <t xml:space="preserve"> - Kh-69 small cruise missile</t>
  </si>
  <si>
    <t xml:space="preserve"> - 30mm Gryazev-Shipunov GSh-30-1</t>
  </si>
  <si>
    <t>https://en.wikipedia.org/wiki/Gryazev-Shipunov_GSh-30-1</t>
  </si>
  <si>
    <t>3 sec.</t>
  </si>
  <si>
    <t>2 sec.</t>
  </si>
  <si>
    <t>5 sec.</t>
  </si>
  <si>
    <t>1 sec.</t>
  </si>
  <si>
    <t xml:space="preserve"> - 25mm gun GAU-22/A</t>
  </si>
  <si>
    <t>3.5 sec.</t>
  </si>
  <si>
    <t>https://en.wikipedia.org/wiki/GAU-12_Equalizer#GAU-22/A</t>
  </si>
  <si>
    <t>https://en.wikipedia.org/wiki/Kh-47M2_Kinzhal</t>
  </si>
  <si>
    <t>my best guess can do nuclear or conventional</t>
  </si>
  <si>
    <t>my best estimate see https://twitter.com/oleksiireznikov/status/1594998365170896896</t>
  </si>
  <si>
    <t>Kh-47M2 Kinzhal air launched</t>
  </si>
  <si>
    <t>Kalibr sea launched</t>
  </si>
  <si>
    <t>Kh-101 cruise missile air launched</t>
  </si>
  <si>
    <t>Iskander Rus ballistic missile ground l.</t>
  </si>
  <si>
    <t>&gt;1100</t>
  </si>
  <si>
    <t>https://en.defence-ua.com/weapon_and_tech/how_many_iskander_and_calibr_cruise_missiles_has_russia_left_quantitative_research-2825.html see also https://twitter.com/oleksiireznikov/status/1594998365170896896</t>
  </si>
  <si>
    <t>https://twitter.com/oleksiireznikov/status/1594998365170896896</t>
  </si>
  <si>
    <t>3m-55 Onyx P-800 Oniks Rus ground l.</t>
  </si>
  <si>
    <t>300</t>
  </si>
  <si>
    <t>11M</t>
  </si>
  <si>
    <t>https://en.wikipedia.org/wiki/P-800_Oniks</t>
  </si>
  <si>
    <t>https://en.wikipedia.org/wiki/Kalibr_(missile_family)</t>
  </si>
  <si>
    <t>&gt;800</t>
  </si>
  <si>
    <t>32M</t>
  </si>
  <si>
    <t>https://en.wikipedia.org/wiki/S-200_missile_system</t>
  </si>
  <si>
    <t>S-200 missile used by Ukr (legacy)</t>
  </si>
  <si>
    <t>No longer produced</t>
  </si>
  <si>
    <t>&gt;2000</t>
  </si>
  <si>
    <t>S-300 missile 48N6P many versions</t>
  </si>
  <si>
    <t>https://en.wikipedia.org/wiki/S-300_missile_system#Specifications</t>
  </si>
  <si>
    <t>https://en.wikipedia.org/wiki/S-400_missile_system</t>
  </si>
  <si>
    <t>S-400 battery w. radar launchers&amp;control</t>
  </si>
  <si>
    <t>S-400 missile 40N6E many versions</t>
  </si>
  <si>
    <t>1 to 3 M</t>
  </si>
  <si>
    <t>best guess has been in production since 2001 and is a replacement for S-300 that nevertheless is still in production</t>
  </si>
  <si>
    <t>145</t>
  </si>
  <si>
    <t>https://en.wikipedia.org/wiki/Kh-35</t>
  </si>
  <si>
    <t>https://en.wikipedia.org/wiki/Kh-36</t>
  </si>
  <si>
    <t>https://en.wikipedia.org/wiki/Kh-37</t>
  </si>
  <si>
    <t>https://en.wikipedia.org/wiki/Kh-38</t>
  </si>
  <si>
    <t>&gt;1200</t>
  </si>
  <si>
    <t xml:space="preserve"> - Kh-35 small cruise missile</t>
  </si>
  <si>
    <t>17M</t>
  </si>
  <si>
    <t>https://en.wikipedia.org/wiki/Tupolev_Tu-22M#Specifications_(Tu-22M3)</t>
  </si>
  <si>
    <t>Tu-22M3 RUS strategic bomber (legacy)</t>
  </si>
  <si>
    <t>https://en.wikipedia.org/wiki/Boeing_B-52_Stratofortress#Specifications_(B-52H)</t>
  </si>
  <si>
    <t>B-52 US strategic bomber (legacy)</t>
  </si>
  <si>
    <t>Table 3: Comparing kill ratios - Entire war and last 10 months</t>
  </si>
  <si>
    <t>https://en.wikipedia.org/wiki/Beriev_A-50</t>
  </si>
  <si>
    <t>https://www.ukrainianworldcongress.org/belarus-partisans-blow-up-russias-330-million-beriev-a-50-aircraft/</t>
  </si>
  <si>
    <t>https://en.wikipedia.org/wiki/Beriev_A-51</t>
  </si>
  <si>
    <t>https://en.wikipedia.org/wiki/Boeing_E-3_Sentry</t>
  </si>
  <si>
    <t>https://militarymachine.com/boeing-e-3-sentry/#:~:text=Range%3A%20More%20than%205%2C000%20nautical%20miles%20%289%2C250%20kilometers%29,Cost%3A%20%24270%20million%20%28fiscal%2098%20constant%20dollars%20though%29</t>
  </si>
  <si>
    <t>Beriev A-50 (Russian AWACS, legacy)</t>
  </si>
  <si>
    <t>AWACS (radar and command legacy)</t>
  </si>
  <si>
    <t>Mi-28NM Russian combat helicopter</t>
  </si>
  <si>
    <t>Ka-52M Russian combat helicopter</t>
  </si>
  <si>
    <t xml:space="preserve"> - LMUR antitank missile</t>
  </si>
  <si>
    <t>https://www.businessinsider.com/russia-ka52m-helicopters-long-range-anti-tank-missile-ukraine-uk-2023-7</t>
  </si>
  <si>
    <t xml:space="preserve"> - Khrizantema-9M123 antitank missile</t>
  </si>
  <si>
    <t>https://en.wikipedia.org/wiki/9M123_Khrizantema</t>
  </si>
  <si>
    <t>8</t>
  </si>
  <si>
    <t>25 sec.</t>
  </si>
  <si>
    <t>https://en.wikipedia.org/wiki/LMUR</t>
  </si>
  <si>
    <t>https://en.wikipedia.org/wiki/LMUR (wiki say &gt;200 but it has been used a lot since summer 2023 so I guess over 1000)</t>
  </si>
  <si>
    <t>65 sec.</t>
  </si>
  <si>
    <t>25</t>
  </si>
  <si>
    <t>https://en.wikipedia.org/wiki/Kamov_Ka-50#Specifications_(Ka-50)</t>
  </si>
  <si>
    <t>My best guess there are some evidence of orders on https://en.wikipedia.org/wiki/Kamov_Ka-50#Specifications_(Ka-50)</t>
  </si>
  <si>
    <t>&gt;126</t>
  </si>
  <si>
    <t>https://en.wikipedia.org/wiki/Mil_Mi-28#Specifications</t>
  </si>
  <si>
    <t>my best guees is same as Ka-52</t>
  </si>
  <si>
    <t>B-2 Spirit strategic stealth bomber</t>
  </si>
  <si>
    <t>https://en.wikipedia.org/wiki/Northrop_B-2_Spirit</t>
  </si>
  <si>
    <t>https://en.wikipedia.org/wiki/AGM-158_JASSM</t>
  </si>
  <si>
    <t>AGM-158 JASSM stealth cruise m. F16</t>
  </si>
  <si>
    <t>&gt;3500</t>
  </si>
  <si>
    <t>&gt;7500</t>
  </si>
  <si>
    <t>https://www.airandspaceforces.com/weapons-platforms/agm-158-jassm/</t>
  </si>
  <si>
    <t>hours</t>
  </si>
  <si>
    <t>24M</t>
  </si>
  <si>
    <t>1H</t>
  </si>
  <si>
    <t>unknown</t>
  </si>
  <si>
    <t>24H</t>
  </si>
  <si>
    <t>RQ-180 US "armed" stealth drone</t>
  </si>
  <si>
    <t>https://www.youtube.com/watch?v=OFsJiZohVrI&amp;t=114s</t>
  </si>
  <si>
    <t>https://en.wikipedia.org/wiki/Northrop_Grumman_RQ-180</t>
  </si>
  <si>
    <t>IAI Heron Israeli armed drone</t>
  </si>
  <si>
    <t>45H</t>
  </si>
  <si>
    <t>https://en.wikipedia.org/wiki/IAI_Heron</t>
  </si>
  <si>
    <t>PrSM (ATACMS replacement)</t>
  </si>
  <si>
    <t>https://en.wikipedia.org/wiki/Precision_Strike_Missile</t>
  </si>
  <si>
    <t>seek and forget infrared camera</t>
  </si>
  <si>
    <t>https://en.wikipedia.org/wiki/Spike_(missile)#Variants</t>
  </si>
  <si>
    <t>&gt;40,000</t>
  </si>
  <si>
    <t>Javlin anti-tank missile</t>
  </si>
  <si>
    <t>11 sec.</t>
  </si>
  <si>
    <t>40 sec.</t>
  </si>
  <si>
    <t>https://www.army-technology.com/projects/spike-sr-anti-tank-guided-missile-system/?cf-view</t>
  </si>
  <si>
    <t xml:space="preserve"> is fire and forget infrared seeker 9kg rocket</t>
  </si>
  <si>
    <t>No line of sight. Target must be aquired by frontline infantry. Helicopter in the rear shot rocket that is optical wire guided for first 8 km then radio and my guess for final 2 km it is optical infrared with target info uploaded via radio.</t>
  </si>
  <si>
    <t xml:space="preserve"> - AGM-114 Hellfire missile, any aircraft</t>
  </si>
  <si>
    <t>https://en.wikipedia.org/wiki/AGM-114_Hellfire</t>
  </si>
  <si>
    <t>9</t>
  </si>
  <si>
    <t>&gt;24,000</t>
  </si>
  <si>
    <t xml:space="preserve"> - AGM-179 JAGM missile any aircraft</t>
  </si>
  <si>
    <t>Build in laser and radar seaker</t>
  </si>
  <si>
    <t>https://en.wikipedia.org/wiki/AGM-179_JAGM</t>
  </si>
  <si>
    <t>I guess same as Hellfire that it replaces</t>
  </si>
  <si>
    <t>18 sec.</t>
  </si>
  <si>
    <t>Laser or radar guided. No internal radar require external laser or radar/radio to guide to target</t>
  </si>
  <si>
    <t>Small short-range drone weapons</t>
  </si>
  <si>
    <t>Large long-range drone weapons</t>
  </si>
  <si>
    <t>https://www.airforce-technology.com/projects/heron-uav/?cf-view</t>
  </si>
  <si>
    <t>&gt;1 billion</t>
  </si>
  <si>
    <t>price is my guess https://en.wikipedia.org/wiki/Northrop_Grumman_RQ-180</t>
  </si>
  <si>
    <t>&lt;20</t>
  </si>
  <si>
    <t>12H</t>
  </si>
  <si>
    <t>https://www.youtube.com/watch?v=1DXpPmpmcak</t>
  </si>
  <si>
    <t>https://www.rheinmetall.com/en/products/air-defence/air-defence-systems/networked-air-defence-skynex</t>
  </si>
  <si>
    <t>My guess. This weapon it brand new from 2024</t>
  </si>
  <si>
    <t>https://www.msn.com/en-us/news/world/german-skynex-air-defense-systems-start-protecting-ukrainian-skies/ar-AA1ofiEM?ocid=BingNewsSerp#</t>
  </si>
  <si>
    <t>Skynex 35 mm anti-aircraft gun system</t>
  </si>
  <si>
    <t>3.4 sec.</t>
  </si>
  <si>
    <t>4.7 sec.</t>
  </si>
  <si>
    <t>Radar is 50 km fully automatic can shoot down even artillery shells. System is radar and control unit plus 4 units with the anti-aircraft guns.</t>
  </si>
  <si>
    <t>AGM-158 JASSM-ER stealth cruise m. F16</t>
  </si>
  <si>
    <t>MGM-140 ATACMS, land launched</t>
  </si>
  <si>
    <t xml:space="preserve"> is fire and forget infrared seeker 8kg rocket, system 10 kg and disposible</t>
  </si>
  <si>
    <t>Spike SR Israeli anti-tank/personel/structure</t>
  </si>
  <si>
    <t>Spike LR Israeli anti-tank/personel/structure</t>
  </si>
  <si>
    <t>Spike NLOS anti-tank/personel/structure</t>
  </si>
  <si>
    <t>The most likely assassination method for the political leader of Hamas #53/80</t>
  </si>
  <si>
    <t>&gt;3</t>
  </si>
  <si>
    <t>Newest 2022 german made 155mm gun fully automatic 9 rounds in a minute, can also be driven in remote control</t>
  </si>
  <si>
    <t>https://en.wikipedia.org/wiki/RCH_155</t>
  </si>
  <si>
    <t>https://en.wikipedia.org/wiki/RCH_156</t>
  </si>
  <si>
    <t>RCH155 Remote Controlled Howitzer155 mm</t>
  </si>
  <si>
    <t>&gt;17000</t>
  </si>
  <si>
    <t>93/17</t>
  </si>
  <si>
    <t xml:space="preserve"> - GBU-39 Small Glider Bomb/GLSDB</t>
  </si>
  <si>
    <t>227 mm guided rocket GLSDB/GBU-39</t>
  </si>
  <si>
    <t>https://en.wikipedia.org/wiki/GBU-39_Small_Diameter_Bomb#Operators</t>
  </si>
  <si>
    <t>This bomb is also used with a rocket engine and launched by HIMARS called GLSDB</t>
  </si>
  <si>
    <t>Electronic warfare systems</t>
  </si>
  <si>
    <t>Krasukha 4, mobile Russian AWACS jammer</t>
  </si>
  <si>
    <t>https://en.wikipedia.org/wiki/Krasukha</t>
  </si>
  <si>
    <t>Ilyushin Il-78 Russian fuel tanker</t>
  </si>
  <si>
    <t>https://nationalinterest.org/blog/buzz/russian-air-forces-biggest-problem-not-f-22-or-f-35-43882</t>
  </si>
  <si>
    <t>https://en.wikipedia.org/wiki/Ilyushin_Il-78#Current_operators</t>
  </si>
  <si>
    <t>https://en.wikipedia.org/wiki/Ilyushin_Il-78#</t>
  </si>
  <si>
    <t>8.6H</t>
  </si>
  <si>
    <t>https://aerocorner.com/aircraft/ilyushin-il-76/</t>
  </si>
  <si>
    <t>&gt;78</t>
  </si>
  <si>
    <t>US have plans to make 179 of these tankes by 2027</t>
  </si>
  <si>
    <t>https://en.wikipedia.org/wiki/Boeing_KC-46_Pegasus</t>
  </si>
  <si>
    <t>13H</t>
  </si>
  <si>
    <t>Boeing KC-46 Pegasus, fuel tanker, transport</t>
  </si>
  <si>
    <t>Russia has exported this airplane and only has 19 in their own air force</t>
  </si>
  <si>
    <t>no longer produced</t>
  </si>
  <si>
    <t>Su-25 old Rus fighter no midair refuel</t>
  </si>
  <si>
    <t>https://en.wikipedia.org/wiki/Sukhoi_Su-25</t>
  </si>
  <si>
    <t>https://en.wikipedia.org/wiki/Sukhoi_Su-25#Specifications_(Su-25/Su-25K,_late_production)</t>
  </si>
  <si>
    <t>https://en.wikipedia.org/wiki/Sukhoi_Su-25#</t>
  </si>
  <si>
    <t>1.3H</t>
  </si>
  <si>
    <t>30M</t>
  </si>
  <si>
    <t>8H</t>
  </si>
  <si>
    <t>Russia only got 6 of these aircraft left</t>
  </si>
  <si>
    <t>https://www.newsweek.com/russia-only-has-six-50-spy-planes-left-kyiv-1873164</t>
  </si>
  <si>
    <t xml:space="preserve">Ukraine war updates and more on game changing NATO missile to win war for Ukraine #58/85 </t>
  </si>
  <si>
    <t>30 left in Rus air forceRussia only has about 30 left of these airplanes</t>
  </si>
  <si>
    <t>https://newsukraine.rbc.ua/news/critical-loss-of-tu-22m3-bombers-russia-s-1723804376.html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</si>
</sst>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[$-409]d\-mmm\-yy;@"/>
    <numFmt numFmtId="167" formatCode="0.000"/>
    <numFmt numFmtId="168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2" fontId="0" fillId="0" borderId="0" xfId="0" applyNumberFormat="1"/>
    <xf numFmtId="4" fontId="0" fillId="0" borderId="0" xfId="0" applyNumberFormat="1"/>
    <xf numFmtId="0" fontId="1" fillId="2" borderId="4" xfId="0" applyFont="1" applyFill="1" applyBorder="1"/>
    <xf numFmtId="2" fontId="0" fillId="2" borderId="0" xfId="0" applyNumberFormat="1" applyFill="1"/>
    <xf numFmtId="4" fontId="0" fillId="2" borderId="0" xfId="0" applyNumberFormat="1" applyFill="1"/>
    <xf numFmtId="0" fontId="1" fillId="0" borderId="5" xfId="0" applyFont="1" applyBorder="1"/>
    <xf numFmtId="0" fontId="0" fillId="0" borderId="6" xfId="0" applyBorder="1"/>
    <xf numFmtId="0" fontId="1" fillId="0" borderId="2" xfId="0" applyFont="1" applyBorder="1"/>
    <xf numFmtId="4" fontId="0" fillId="0" borderId="4" xfId="0" applyNumberFormat="1" applyBorder="1"/>
    <xf numFmtId="0" fontId="0" fillId="0" borderId="5" xfId="0" applyBorder="1"/>
    <xf numFmtId="0" fontId="1" fillId="0" borderId="6" xfId="0" applyFont="1" applyBorder="1"/>
    <xf numFmtId="0" fontId="0" fillId="0" borderId="3" xfId="0" applyBorder="1"/>
    <xf numFmtId="0" fontId="4" fillId="0" borderId="0" xfId="1" applyFill="1" applyBorder="1"/>
    <xf numFmtId="0" fontId="1" fillId="0" borderId="1" xfId="0" applyFont="1" applyBorder="1"/>
    <xf numFmtId="0" fontId="0" fillId="0" borderId="7" xfId="0" applyBorder="1"/>
    <xf numFmtId="2" fontId="4" fillId="0" borderId="3" xfId="1" applyNumberFormat="1" applyBorder="1"/>
    <xf numFmtId="0" fontId="0" fillId="0" borderId="9" xfId="0" applyBorder="1"/>
    <xf numFmtId="0" fontId="0" fillId="0" borderId="10" xfId="0" applyBorder="1"/>
    <xf numFmtId="2" fontId="4" fillId="0" borderId="0" xfId="1" applyNumberFormat="1" applyBorder="1"/>
    <xf numFmtId="2" fontId="4" fillId="0" borderId="6" xfId="1" applyNumberFormat="1" applyBorder="1"/>
    <xf numFmtId="0" fontId="0" fillId="0" borderId="11" xfId="0" applyBorder="1"/>
    <xf numFmtId="0" fontId="4" fillId="0" borderId="2" xfId="1" applyBorder="1"/>
    <xf numFmtId="2" fontId="0" fillId="0" borderId="4" xfId="0" applyNumberFormat="1" applyBorder="1"/>
    <xf numFmtId="0" fontId="4" fillId="0" borderId="4" xfId="1" applyBorder="1"/>
    <xf numFmtId="0" fontId="4" fillId="0" borderId="5" xfId="1" applyBorder="1"/>
    <xf numFmtId="0" fontId="4" fillId="0" borderId="7" xfId="1" applyFill="1" applyBorder="1"/>
    <xf numFmtId="0" fontId="4" fillId="2" borderId="0" xfId="1" applyFill="1" applyBorder="1"/>
    <xf numFmtId="2" fontId="0" fillId="2" borderId="4" xfId="0" applyNumberFormat="1" applyFill="1" applyBorder="1"/>
    <xf numFmtId="0" fontId="0" fillId="2" borderId="10" xfId="0" applyFill="1" applyBorder="1"/>
    <xf numFmtId="2" fontId="4" fillId="2" borderId="0" xfId="1" applyNumberFormat="1" applyFill="1" applyBorder="1"/>
    <xf numFmtId="0" fontId="4" fillId="2" borderId="4" xfId="1" applyFill="1" applyBorder="1"/>
    <xf numFmtId="0" fontId="1" fillId="0" borderId="9" xfId="0" applyFont="1" applyBorder="1"/>
    <xf numFmtId="0" fontId="1" fillId="0" borderId="11" xfId="0" applyFont="1" applyBorder="1"/>
    <xf numFmtId="10" fontId="0" fillId="0" borderId="10" xfId="0" applyNumberFormat="1" applyBorder="1"/>
    <xf numFmtId="0" fontId="0" fillId="0" borderId="0" xfId="0" applyAlignment="1">
      <alignment horizontal="right"/>
    </xf>
    <xf numFmtId="4" fontId="1" fillId="2" borderId="0" xfId="0" applyNumberFormat="1" applyFont="1" applyFill="1"/>
    <xf numFmtId="4" fontId="1" fillId="0" borderId="4" xfId="0" applyNumberFormat="1" applyFont="1" applyBorder="1"/>
    <xf numFmtId="10" fontId="1" fillId="0" borderId="10" xfId="0" applyNumberFormat="1" applyFont="1" applyBorder="1"/>
    <xf numFmtId="2" fontId="1" fillId="2" borderId="0" xfId="0" applyNumberFormat="1" applyFont="1" applyFill="1"/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4" fontId="0" fillId="0" borderId="6" xfId="0" applyNumberFormat="1" applyBorder="1"/>
    <xf numFmtId="0" fontId="0" fillId="0" borderId="4" xfId="0" applyBorder="1"/>
    <xf numFmtId="4" fontId="4" fillId="0" borderId="3" xfId="1" applyNumberFormat="1" applyBorder="1"/>
    <xf numFmtId="4" fontId="5" fillId="0" borderId="0" xfId="1" applyNumberFormat="1" applyFont="1" applyBorder="1"/>
    <xf numFmtId="0" fontId="4" fillId="0" borderId="7" xfId="1" applyBorder="1"/>
    <xf numFmtId="4" fontId="1" fillId="0" borderId="6" xfId="0" applyNumberFormat="1" applyFont="1" applyBorder="1"/>
    <xf numFmtId="2" fontId="1" fillId="0" borderId="7" xfId="0" applyNumberFormat="1" applyFont="1" applyBorder="1"/>
    <xf numFmtId="4" fontId="1" fillId="0" borderId="7" xfId="0" applyNumberFormat="1" applyFont="1" applyBorder="1"/>
    <xf numFmtId="4" fontId="0" fillId="0" borderId="0" xfId="0" applyNumberFormat="1" applyAlignment="1">
      <alignment horizontal="right"/>
    </xf>
    <xf numFmtId="2" fontId="0" fillId="0" borderId="2" xfId="0" applyNumberFormat="1" applyBorder="1"/>
    <xf numFmtId="0" fontId="4" fillId="0" borderId="1" xfId="1" applyBorder="1"/>
    <xf numFmtId="2" fontId="1" fillId="0" borderId="11" xfId="0" applyNumberFormat="1" applyFont="1" applyBorder="1"/>
    <xf numFmtId="2" fontId="1" fillId="0" borderId="8" xfId="0" applyNumberFormat="1" applyFont="1" applyBorder="1"/>
    <xf numFmtId="4" fontId="1" fillId="0" borderId="1" xfId="0" applyNumberFormat="1" applyFont="1" applyBorder="1"/>
    <xf numFmtId="10" fontId="1" fillId="0" borderId="8" xfId="0" applyNumberFormat="1" applyFont="1" applyBorder="1"/>
    <xf numFmtId="0" fontId="1" fillId="3" borderId="4" xfId="0" applyFont="1" applyFill="1" applyBorder="1"/>
    <xf numFmtId="10" fontId="0" fillId="3" borderId="10" xfId="0" applyNumberFormat="1" applyFill="1" applyBorder="1"/>
    <xf numFmtId="0" fontId="5" fillId="0" borderId="5" xfId="1" applyFont="1" applyBorder="1"/>
    <xf numFmtId="2" fontId="0" fillId="0" borderId="6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3" borderId="2" xfId="0" applyFont="1" applyFill="1" applyBorder="1"/>
    <xf numFmtId="4" fontId="1" fillId="3" borderId="0" xfId="0" applyNumberFormat="1" applyFont="1" applyFill="1"/>
    <xf numFmtId="2" fontId="1" fillId="3" borderId="0" xfId="0" applyNumberFormat="1" applyFont="1" applyFill="1"/>
    <xf numFmtId="2" fontId="1" fillId="3" borderId="11" xfId="0" applyNumberFormat="1" applyFont="1" applyFill="1" applyBorder="1"/>
    <xf numFmtId="10" fontId="1" fillId="3" borderId="10" xfId="0" applyNumberFormat="1" applyFont="1" applyFill="1" applyBorder="1"/>
    <xf numFmtId="0" fontId="0" fillId="0" borderId="8" xfId="0" applyBorder="1"/>
    <xf numFmtId="0" fontId="0" fillId="0" borderId="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/>
    <xf numFmtId="4" fontId="1" fillId="0" borderId="0" xfId="0" applyNumberFormat="1" applyFont="1"/>
    <xf numFmtId="4" fontId="1" fillId="0" borderId="3" xfId="0" applyNumberFormat="1" applyFont="1" applyBorder="1"/>
    <xf numFmtId="4" fontId="1" fillId="0" borderId="9" xfId="0" applyNumberFormat="1" applyFont="1" applyBorder="1"/>
    <xf numFmtId="2" fontId="4" fillId="0" borderId="0" xfId="1" applyNumberFormat="1" applyFill="1" applyBorder="1"/>
    <xf numFmtId="0" fontId="4" fillId="0" borderId="4" xfId="1" applyFill="1" applyBorder="1"/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5" fillId="0" borderId="2" xfId="1" applyFont="1" applyBorder="1"/>
    <xf numFmtId="0" fontId="5" fillId="0" borderId="4" xfId="1" applyFont="1" applyBorder="1"/>
    <xf numFmtId="4" fontId="1" fillId="0" borderId="3" xfId="0" applyNumberFormat="1" applyFon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4" fillId="0" borderId="10" xfId="1" applyNumberFormat="1" applyBorder="1"/>
    <xf numFmtId="10" fontId="0" fillId="0" borderId="4" xfId="0" applyNumberFormat="1" applyBorder="1"/>
    <xf numFmtId="10" fontId="1" fillId="0" borderId="0" xfId="0" applyNumberFormat="1" applyFont="1"/>
    <xf numFmtId="10" fontId="0" fillId="0" borderId="0" xfId="0" applyNumberFormat="1"/>
    <xf numFmtId="0" fontId="4" fillId="0" borderId="0" xfId="1" applyBorder="1"/>
    <xf numFmtId="10" fontId="1" fillId="0" borderId="10" xfId="0" applyNumberFormat="1" applyFont="1" applyBorder="1" applyAlignment="1">
      <alignment horizontal="right"/>
    </xf>
    <xf numFmtId="3" fontId="0" fillId="0" borderId="4" xfId="0" applyNumberForma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10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/>
    <xf numFmtId="3" fontId="0" fillId="0" borderId="14" xfId="0" applyNumberForma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3" fontId="0" fillId="0" borderId="12" xfId="0" applyNumberFormat="1" applyBorder="1"/>
    <xf numFmtId="0" fontId="4" fillId="0" borderId="12" xfId="1" applyBorder="1"/>
    <xf numFmtId="0" fontId="0" fillId="0" borderId="13" xfId="0" applyBorder="1"/>
    <xf numFmtId="2" fontId="1" fillId="0" borderId="9" xfId="0" applyNumberFormat="1" applyFont="1" applyBorder="1" applyAlignment="1">
      <alignment horizontal="right"/>
    </xf>
    <xf numFmtId="10" fontId="1" fillId="0" borderId="9" xfId="0" applyNumberFormat="1" applyFont="1" applyBorder="1" applyAlignment="1">
      <alignment horizontal="right"/>
    </xf>
    <xf numFmtId="10" fontId="1" fillId="0" borderId="2" xfId="0" applyNumberFormat="1" applyFont="1" applyBorder="1"/>
    <xf numFmtId="10" fontId="1" fillId="0" borderId="3" xfId="0" applyNumberFormat="1" applyFont="1" applyBorder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1" applyFill="1" applyBorder="1"/>
    <xf numFmtId="10" fontId="0" fillId="0" borderId="9" xfId="0" applyNumberFormat="1" applyBorder="1"/>
    <xf numFmtId="4" fontId="4" fillId="0" borderId="0" xfId="1" applyNumberFormat="1" applyBorder="1"/>
    <xf numFmtId="0" fontId="0" fillId="0" borderId="14" xfId="0" applyBorder="1"/>
    <xf numFmtId="10" fontId="0" fillId="0" borderId="2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1" fillId="0" borderId="4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3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11" xfId="0" applyNumberFormat="1" applyBorder="1"/>
    <xf numFmtId="3" fontId="1" fillId="0" borderId="0" xfId="0" applyNumberFormat="1" applyFont="1"/>
    <xf numFmtId="0" fontId="1" fillId="0" borderId="2" xfId="0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3" fontId="4" fillId="0" borderId="5" xfId="1" applyNumberFormat="1" applyBorder="1"/>
    <xf numFmtId="0" fontId="0" fillId="0" borderId="12" xfId="0" applyBorder="1"/>
    <xf numFmtId="0" fontId="1" fillId="3" borderId="14" xfId="0" applyFont="1" applyFill="1" applyBorder="1"/>
    <xf numFmtId="0" fontId="1" fillId="3" borderId="12" xfId="0" applyFont="1" applyFill="1" applyBorder="1"/>
    <xf numFmtId="0" fontId="1" fillId="0" borderId="10" xfId="0" applyFont="1" applyBorder="1"/>
    <xf numFmtId="0" fontId="1" fillId="0" borderId="14" xfId="0" applyFont="1" applyBorder="1" applyAlignment="1">
      <alignment horizontal="right"/>
    </xf>
    <xf numFmtId="2" fontId="0" fillId="0" borderId="10" xfId="0" applyNumberFormat="1" applyBorder="1"/>
    <xf numFmtId="4" fontId="0" fillId="0" borderId="10" xfId="0" applyNumberFormat="1" applyBorder="1"/>
    <xf numFmtId="4" fontId="1" fillId="0" borderId="10" xfId="0" applyNumberFormat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4" xfId="1" applyBorder="1"/>
    <xf numFmtId="4" fontId="0" fillId="0" borderId="4" xfId="0" applyNumberForma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3" fontId="0" fillId="0" borderId="0" xfId="0" applyNumberFormat="1"/>
    <xf numFmtId="3" fontId="0" fillId="0" borderId="6" xfId="0" applyNumberFormat="1" applyBorder="1"/>
    <xf numFmtId="0" fontId="4" fillId="0" borderId="3" xfId="1" applyBorder="1"/>
    <xf numFmtId="3" fontId="4" fillId="0" borderId="6" xfId="1" applyNumberFormat="1" applyBorder="1"/>
    <xf numFmtId="0" fontId="1" fillId="0" borderId="12" xfId="0" applyFont="1" applyBorder="1" applyAlignment="1">
      <alignment horizontal="left"/>
    </xf>
    <xf numFmtId="10" fontId="0" fillId="0" borderId="9" xfId="0" applyNumberFormat="1" applyBorder="1" applyAlignment="1">
      <alignment horizontal="right"/>
    </xf>
    <xf numFmtId="0" fontId="1" fillId="0" borderId="14" xfId="0" applyFont="1" applyBorder="1" applyAlignment="1">
      <alignment horizontal="lef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2" xfId="0" applyNumberFormat="1" applyBorder="1" applyAlignment="1">
      <alignment horizontal="right"/>
    </xf>
    <xf numFmtId="1" fontId="0" fillId="0" borderId="10" xfId="0" applyNumberFormat="1" applyBorder="1"/>
    <xf numFmtId="1" fontId="0" fillId="0" borderId="6" xfId="0" applyNumberFormat="1" applyBorder="1"/>
    <xf numFmtId="1" fontId="0" fillId="0" borderId="11" xfId="0" applyNumberFormat="1" applyBorder="1"/>
    <xf numFmtId="4" fontId="4" fillId="0" borderId="4" xfId="1" applyNumberFormat="1" applyBorder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4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3" fontId="7" fillId="0" borderId="0" xfId="0" applyNumberFormat="1" applyFont="1"/>
    <xf numFmtId="165" fontId="0" fillId="0" borderId="14" xfId="0" applyNumberForma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0" fontId="5" fillId="0" borderId="0" xfId="1" applyFont="1"/>
    <xf numFmtId="0" fontId="1" fillId="4" borderId="4" xfId="0" applyFont="1" applyFill="1" applyBorder="1"/>
    <xf numFmtId="3" fontId="0" fillId="4" borderId="4" xfId="0" applyNumberFormat="1" applyFill="1" applyBorder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4" borderId="0" xfId="0" applyNumberFormat="1" applyFill="1"/>
    <xf numFmtId="1" fontId="0" fillId="4" borderId="10" xfId="0" applyNumberFormat="1" applyFill="1" applyBorder="1"/>
    <xf numFmtId="0" fontId="0" fillId="4" borderId="14" xfId="0" applyFill="1" applyBorder="1"/>
    <xf numFmtId="3" fontId="0" fillId="4" borderId="4" xfId="0" applyNumberFormat="1" applyFill="1" applyBorder="1"/>
    <xf numFmtId="164" fontId="0" fillId="4" borderId="0" xfId="0" applyNumberFormat="1" applyFill="1"/>
    <xf numFmtId="4" fontId="0" fillId="4" borderId="0" xfId="0" applyNumberFormat="1" applyFill="1"/>
    <xf numFmtId="0" fontId="1" fillId="4" borderId="14" xfId="0" applyFont="1" applyFill="1" applyBorder="1"/>
    <xf numFmtId="49" fontId="0" fillId="4" borderId="14" xfId="0" applyNumberFormat="1" applyFill="1" applyBorder="1" applyAlignment="1">
      <alignment horizontal="right"/>
    </xf>
    <xf numFmtId="4" fontId="0" fillId="4" borderId="4" xfId="0" applyNumberFormat="1" applyFill="1" applyBorder="1"/>
    <xf numFmtId="2" fontId="0" fillId="4" borderId="0" xfId="0" applyNumberFormat="1" applyFill="1" applyAlignment="1">
      <alignment horizontal="right"/>
    </xf>
    <xf numFmtId="0" fontId="0" fillId="4" borderId="0" xfId="0" applyFill="1"/>
    <xf numFmtId="4" fontId="0" fillId="4" borderId="4" xfId="0" applyNumberFormat="1" applyFill="1" applyBorder="1" applyAlignment="1">
      <alignment horizontal="right"/>
    </xf>
    <xf numFmtId="4" fontId="0" fillId="4" borderId="0" xfId="0" applyNumberFormat="1" applyFill="1" applyAlignment="1">
      <alignment horizontal="right"/>
    </xf>
    <xf numFmtId="10" fontId="0" fillId="0" borderId="4" xfId="0" applyNumberForma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0" fontId="1" fillId="0" borderId="4" xfId="0" applyNumberFormat="1" applyFont="1" applyBorder="1"/>
    <xf numFmtId="0" fontId="1" fillId="3" borderId="15" xfId="0" applyFont="1" applyFill="1" applyBorder="1"/>
    <xf numFmtId="4" fontId="0" fillId="0" borderId="15" xfId="0" applyNumberFormat="1" applyBorder="1"/>
    <xf numFmtId="4" fontId="0" fillId="0" borderId="16" xfId="0" applyNumberFormat="1" applyBorder="1"/>
    <xf numFmtId="4" fontId="1" fillId="0" borderId="15" xfId="0" applyNumberFormat="1" applyFont="1" applyBorder="1"/>
    <xf numFmtId="4" fontId="1" fillId="0" borderId="17" xfId="0" applyNumberFormat="1" applyFont="1" applyBorder="1"/>
    <xf numFmtId="3" fontId="1" fillId="0" borderId="16" xfId="0" applyNumberFormat="1" applyFont="1" applyBorder="1"/>
    <xf numFmtId="10" fontId="1" fillId="3" borderId="17" xfId="0" applyNumberFormat="1" applyFont="1" applyFill="1" applyBorder="1"/>
    <xf numFmtId="10" fontId="1" fillId="0" borderId="15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right"/>
    </xf>
    <xf numFmtId="10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/>
    <xf numFmtId="3" fontId="1" fillId="0" borderId="17" xfId="0" applyNumberFormat="1" applyFont="1" applyBorder="1"/>
    <xf numFmtId="4" fontId="4" fillId="0" borderId="6" xfId="1" applyNumberFormat="1" applyBorder="1"/>
    <xf numFmtId="0" fontId="4" fillId="0" borderId="6" xfId="1" applyBorder="1"/>
    <xf numFmtId="10" fontId="4" fillId="0" borderId="11" xfId="1" applyNumberFormat="1" applyBorder="1"/>
    <xf numFmtId="2" fontId="1" fillId="0" borderId="14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10" fontId="4" fillId="0" borderId="0" xfId="1" applyNumberFormat="1" applyBorder="1"/>
    <xf numFmtId="10" fontId="6" fillId="0" borderId="0" xfId="1" applyNumberFormat="1" applyFont="1" applyBorder="1" applyAlignment="1">
      <alignment horizontal="right"/>
    </xf>
    <xf numFmtId="10" fontId="4" fillId="0" borderId="6" xfId="1" applyNumberForma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9" fontId="1" fillId="5" borderId="5" xfId="0" applyNumberFormat="1" applyFont="1" applyFill="1" applyBorder="1"/>
    <xf numFmtId="9" fontId="1" fillId="5" borderId="11" xfId="0" applyNumberFormat="1" applyFont="1" applyFill="1" applyBorder="1"/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10" fontId="0" fillId="0" borderId="15" xfId="0" applyNumberFormat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2" xfId="0" applyFont="1" applyFill="1" applyBorder="1"/>
    <xf numFmtId="0" fontId="1" fillId="4" borderId="9" xfId="0" applyFont="1" applyFill="1" applyBorder="1"/>
    <xf numFmtId="0" fontId="9" fillId="0" borderId="0" xfId="0" applyFont="1"/>
    <xf numFmtId="0" fontId="10" fillId="6" borderId="0" xfId="0" applyFont="1" applyFill="1"/>
    <xf numFmtId="0" fontId="0" fillId="7" borderId="2" xfId="0" applyFill="1" applyBorder="1" applyAlignment="1">
      <alignment horizontal="right"/>
    </xf>
    <xf numFmtId="0" fontId="1" fillId="7" borderId="3" xfId="0" applyFont="1" applyFill="1" applyBorder="1"/>
    <xf numFmtId="0" fontId="1" fillId="9" borderId="7" xfId="0" applyFont="1" applyFill="1" applyBorder="1"/>
    <xf numFmtId="0" fontId="0" fillId="9" borderId="7" xfId="0" applyFill="1" applyBorder="1"/>
    <xf numFmtId="0" fontId="1" fillId="10" borderId="1" xfId="0" applyFont="1" applyFill="1" applyBorder="1" applyAlignment="1">
      <alignment horizontal="left"/>
    </xf>
    <xf numFmtId="0" fontId="0" fillId="10" borderId="7" xfId="0" applyFill="1" applyBorder="1"/>
    <xf numFmtId="0" fontId="0" fillId="10" borderId="8" xfId="0" applyFill="1" applyBorder="1"/>
    <xf numFmtId="0" fontId="1" fillId="11" borderId="7" xfId="0" applyFont="1" applyFill="1" applyBorder="1"/>
    <xf numFmtId="0" fontId="0" fillId="11" borderId="7" xfId="0" applyFill="1" applyBorder="1"/>
    <xf numFmtId="0" fontId="0" fillId="11" borderId="8" xfId="0" applyFill="1" applyBorder="1"/>
    <xf numFmtId="0" fontId="1" fillId="8" borderId="2" xfId="0" applyFont="1" applyFill="1" applyBorder="1"/>
    <xf numFmtId="0" fontId="1" fillId="9" borderId="3" xfId="0" applyFont="1" applyFill="1" applyBorder="1"/>
    <xf numFmtId="0" fontId="1" fillId="9" borderId="9" xfId="0" applyFont="1" applyFill="1" applyBorder="1"/>
    <xf numFmtId="0" fontId="1" fillId="10" borderId="2" xfId="0" applyFont="1" applyFill="1" applyBorder="1"/>
    <xf numFmtId="0" fontId="1" fillId="10" borderId="3" xfId="0" applyFont="1" applyFill="1" applyBorder="1"/>
    <xf numFmtId="0" fontId="1" fillId="10" borderId="9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9" xfId="0" applyFont="1" applyFill="1" applyBorder="1"/>
    <xf numFmtId="0" fontId="0" fillId="7" borderId="4" xfId="0" applyFill="1" applyBorder="1" applyAlignment="1">
      <alignment horizontal="center"/>
    </xf>
    <xf numFmtId="0" fontId="1" fillId="7" borderId="0" xfId="0" applyFont="1" applyFill="1"/>
    <xf numFmtId="0" fontId="1" fillId="8" borderId="4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1" fillId="9" borderId="0" xfId="0" applyFont="1" applyFill="1"/>
    <xf numFmtId="0" fontId="1" fillId="9" borderId="10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1" fillId="10" borderId="10" xfId="0" applyFont="1" applyFill="1" applyBorder="1"/>
    <xf numFmtId="0" fontId="1" fillId="11" borderId="4" xfId="0" applyFont="1" applyFill="1" applyBorder="1"/>
    <xf numFmtId="0" fontId="1" fillId="11" borderId="0" xfId="0" applyFont="1" applyFill="1"/>
    <xf numFmtId="0" fontId="1" fillId="11" borderId="10" xfId="0" applyFont="1" applyFill="1" applyBorder="1"/>
    <xf numFmtId="0" fontId="0" fillId="7" borderId="5" xfId="0" applyFill="1" applyBorder="1" applyAlignment="1">
      <alignment horizontal="center"/>
    </xf>
    <xf numFmtId="0" fontId="1" fillId="7" borderId="6" xfId="0" applyFont="1" applyFill="1" applyBorder="1"/>
    <xf numFmtId="0" fontId="1" fillId="8" borderId="6" xfId="0" applyFont="1" applyFill="1" applyBorder="1"/>
    <xf numFmtId="0" fontId="1" fillId="9" borderId="6" xfId="0" applyFont="1" applyFill="1" applyBorder="1"/>
    <xf numFmtId="0" fontId="1" fillId="9" borderId="11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11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11" xfId="0" applyFont="1" applyFill="1" applyBorder="1"/>
    <xf numFmtId="0" fontId="0" fillId="7" borderId="4" xfId="0" applyFill="1" applyBorder="1"/>
    <xf numFmtId="3" fontId="1" fillId="12" borderId="4" xfId="0" applyNumberFormat="1" applyFont="1" applyFill="1" applyBorder="1"/>
    <xf numFmtId="3" fontId="1" fillId="12" borderId="0" xfId="0" applyNumberFormat="1" applyFont="1" applyFill="1"/>
    <xf numFmtId="165" fontId="1" fillId="12" borderId="10" xfId="0" applyNumberFormat="1" applyFont="1" applyFill="1" applyBorder="1"/>
    <xf numFmtId="0" fontId="0" fillId="7" borderId="0" xfId="0" applyFill="1"/>
    <xf numFmtId="3" fontId="0" fillId="12" borderId="4" xfId="0" applyNumberFormat="1" applyFill="1" applyBorder="1"/>
    <xf numFmtId="3" fontId="0" fillId="12" borderId="0" xfId="0" applyNumberFormat="1" applyFill="1"/>
    <xf numFmtId="165" fontId="0" fillId="12" borderId="10" xfId="0" applyNumberFormat="1" applyFill="1" applyBorder="1"/>
    <xf numFmtId="165" fontId="0" fillId="12" borderId="10" xfId="0" applyNumberFormat="1" applyFill="1" applyBorder="1" applyAlignment="1">
      <alignment horizontal="right"/>
    </xf>
    <xf numFmtId="165" fontId="0" fillId="0" borderId="10" xfId="0" applyNumberFormat="1" applyBorder="1"/>
    <xf numFmtId="165" fontId="0" fillId="0" borderId="10" xfId="0" applyNumberFormat="1" applyBorder="1" applyAlignment="1">
      <alignment horizontal="right"/>
    </xf>
    <xf numFmtId="3" fontId="1" fillId="12" borderId="0" xfId="0" applyNumberFormat="1" applyFont="1" applyFill="1" applyAlignment="1">
      <alignment horizontal="right"/>
    </xf>
    <xf numFmtId="165" fontId="1" fillId="12" borderId="10" xfId="0" applyNumberFormat="1" applyFont="1" applyFill="1" applyBorder="1" applyAlignment="1">
      <alignment horizontal="right"/>
    </xf>
    <xf numFmtId="3" fontId="1" fillId="5" borderId="4" xfId="0" applyNumberFormat="1" applyFont="1" applyFill="1" applyBorder="1"/>
    <xf numFmtId="3" fontId="1" fillId="5" borderId="0" xfId="0" applyNumberFormat="1" applyFont="1" applyFill="1"/>
    <xf numFmtId="165" fontId="1" fillId="13" borderId="10" xfId="0" applyNumberFormat="1" applyFont="1" applyFill="1" applyBorder="1"/>
    <xf numFmtId="0" fontId="0" fillId="13" borderId="4" xfId="0" applyFill="1" applyBorder="1"/>
    <xf numFmtId="0" fontId="0" fillId="13" borderId="0" xfId="0" applyFill="1"/>
    <xf numFmtId="3" fontId="1" fillId="13" borderId="0" xfId="0" applyNumberFormat="1" applyFont="1" applyFill="1"/>
    <xf numFmtId="0" fontId="0" fillId="13" borderId="5" xfId="0" applyFill="1" applyBorder="1"/>
    <xf numFmtId="0" fontId="0" fillId="13" borderId="6" xfId="0" applyFill="1" applyBorder="1"/>
    <xf numFmtId="3" fontId="1" fillId="13" borderId="6" xfId="0" applyNumberFormat="1" applyFont="1" applyFill="1" applyBorder="1"/>
    <xf numFmtId="165" fontId="1" fillId="13" borderId="11" xfId="0" applyNumberFormat="1" applyFont="1" applyFill="1" applyBorder="1"/>
    <xf numFmtId="3" fontId="1" fillId="5" borderId="6" xfId="0" applyNumberFormat="1" applyFont="1" applyFill="1" applyBorder="1"/>
    <xf numFmtId="0" fontId="0" fillId="6" borderId="0" xfId="0" applyFill="1"/>
    <xf numFmtId="165" fontId="0" fillId="0" borderId="0" xfId="0" applyNumberFormat="1"/>
    <xf numFmtId="0" fontId="11" fillId="0" borderId="0" xfId="0" applyFont="1"/>
    <xf numFmtId="15" fontId="1" fillId="9" borderId="3" xfId="0" applyNumberFormat="1" applyFont="1" applyFill="1" applyBorder="1"/>
    <xf numFmtId="0" fontId="0" fillId="9" borderId="2" xfId="0" applyFill="1" applyBorder="1" applyAlignment="1">
      <alignment horizontal="center"/>
    </xf>
    <xf numFmtId="0" fontId="1" fillId="9" borderId="2" xfId="0" applyFont="1" applyFill="1" applyBorder="1"/>
    <xf numFmtId="0" fontId="0" fillId="9" borderId="4" xfId="0" applyFill="1" applyBorder="1" applyAlignment="1">
      <alignment horizontal="center"/>
    </xf>
    <xf numFmtId="0" fontId="1" fillId="9" borderId="4" xfId="0" applyFont="1" applyFill="1" applyBorder="1"/>
    <xf numFmtId="0" fontId="0" fillId="9" borderId="5" xfId="0" applyFill="1" applyBorder="1" applyAlignment="1">
      <alignment horizontal="center"/>
    </xf>
    <xf numFmtId="3" fontId="4" fillId="12" borderId="4" xfId="1" applyNumberFormat="1" applyFill="1" applyBorder="1"/>
    <xf numFmtId="3" fontId="4" fillId="12" borderId="0" xfId="1" applyNumberFormat="1" applyFill="1" applyBorder="1"/>
    <xf numFmtId="3" fontId="0" fillId="12" borderId="10" xfId="0" applyNumberFormat="1" applyFill="1" applyBorder="1"/>
    <xf numFmtId="3" fontId="6" fillId="12" borderId="0" xfId="1" applyNumberFormat="1" applyFont="1" applyFill="1" applyBorder="1"/>
    <xf numFmtId="3" fontId="12" fillId="0" borderId="4" xfId="1" applyNumberFormat="1" applyFont="1" applyFill="1" applyBorder="1"/>
    <xf numFmtId="165" fontId="1" fillId="12" borderId="0" xfId="0" applyNumberFormat="1" applyFont="1" applyFill="1"/>
    <xf numFmtId="3" fontId="0" fillId="12" borderId="6" xfId="0" applyNumberFormat="1" applyFill="1" applyBorder="1"/>
    <xf numFmtId="3" fontId="0" fillId="12" borderId="11" xfId="0" applyNumberFormat="1" applyFill="1" applyBorder="1"/>
    <xf numFmtId="0" fontId="1" fillId="6" borderId="3" xfId="0" applyFont="1" applyFill="1" applyBorder="1"/>
    <xf numFmtId="4" fontId="0" fillId="12" borderId="0" xfId="0" applyNumberFormat="1" applyFill="1"/>
    <xf numFmtId="0" fontId="0" fillId="0" borderId="0" xfId="0" applyAlignment="1">
      <alignment horizontal="center"/>
    </xf>
    <xf numFmtId="0" fontId="1" fillId="8" borderId="12" xfId="0" applyFont="1" applyFill="1" applyBorder="1"/>
    <xf numFmtId="0" fontId="1" fillId="8" borderId="14" xfId="0" applyFont="1" applyFill="1" applyBorder="1"/>
    <xf numFmtId="3" fontId="0" fillId="12" borderId="14" xfId="0" applyNumberFormat="1" applyFill="1" applyBorder="1"/>
    <xf numFmtId="3" fontId="1" fillId="12" borderId="14" xfId="0" applyNumberFormat="1" applyFont="1" applyFill="1" applyBorder="1"/>
    <xf numFmtId="3" fontId="1" fillId="12" borderId="14" xfId="0" applyNumberFormat="1" applyFont="1" applyFill="1" applyBorder="1" applyAlignment="1">
      <alignment horizontal="right"/>
    </xf>
    <xf numFmtId="3" fontId="1" fillId="5" borderId="14" xfId="0" applyNumberFormat="1" applyFont="1" applyFill="1" applyBorder="1"/>
    <xf numFmtId="0" fontId="0" fillId="13" borderId="13" xfId="0" applyFill="1" applyBorder="1"/>
    <xf numFmtId="164" fontId="1" fillId="12" borderId="0" xfId="0" applyNumberFormat="1" applyFont="1" applyFill="1"/>
    <xf numFmtId="3" fontId="1" fillId="12" borderId="3" xfId="0" applyNumberFormat="1" applyFont="1" applyFill="1" applyBorder="1"/>
    <xf numFmtId="164" fontId="1" fillId="12" borderId="9" xfId="0" applyNumberFormat="1" applyFont="1" applyFill="1" applyBorder="1"/>
    <xf numFmtId="164" fontId="1" fillId="12" borderId="10" xfId="0" applyNumberFormat="1" applyFont="1" applyFill="1" applyBorder="1"/>
    <xf numFmtId="164" fontId="1" fillId="12" borderId="10" xfId="0" applyNumberFormat="1" applyFont="1" applyFill="1" applyBorder="1" applyAlignment="1">
      <alignment horizontal="right"/>
    </xf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6" fontId="1" fillId="8" borderId="5" xfId="0" applyNumberFormat="1" applyFont="1" applyFill="1" applyBorder="1"/>
    <xf numFmtId="166" fontId="1" fillId="8" borderId="6" xfId="0" applyNumberFormat="1" applyFont="1" applyFill="1" applyBorder="1"/>
    <xf numFmtId="166" fontId="1" fillId="8" borderId="11" xfId="0" applyNumberFormat="1" applyFont="1" applyFill="1" applyBorder="1"/>
    <xf numFmtId="0" fontId="5" fillId="0" borderId="0" xfId="1" applyFont="1" applyBorder="1"/>
    <xf numFmtId="166" fontId="1" fillId="8" borderId="13" xfId="0" applyNumberFormat="1" applyFont="1" applyFill="1" applyBorder="1"/>
    <xf numFmtId="0" fontId="1" fillId="7" borderId="0" xfId="0" applyFont="1" applyFill="1" applyAlignment="1">
      <alignment horizontal="left"/>
    </xf>
    <xf numFmtId="2" fontId="1" fillId="12" borderId="0" xfId="0" applyNumberFormat="1" applyFont="1" applyFill="1"/>
    <xf numFmtId="4" fontId="1" fillId="12" borderId="0" xfId="0" applyNumberFormat="1" applyFont="1" applyFill="1"/>
    <xf numFmtId="164" fontId="1" fillId="5" borderId="0" xfId="0" applyNumberFormat="1" applyFont="1" applyFill="1"/>
    <xf numFmtId="164" fontId="1" fillId="5" borderId="6" xfId="0" applyNumberFormat="1" applyFont="1" applyFill="1" applyBorder="1"/>
    <xf numFmtId="165" fontId="0" fillId="12" borderId="0" xfId="0" applyNumberFormat="1" applyFill="1"/>
    <xf numFmtId="165" fontId="1" fillId="5" borderId="0" xfId="0" applyNumberFormat="1" applyFont="1" applyFill="1"/>
    <xf numFmtId="165" fontId="1" fillId="5" borderId="6" xfId="0" applyNumberFormat="1" applyFont="1" applyFill="1" applyBorder="1"/>
    <xf numFmtId="164" fontId="1" fillId="12" borderId="3" xfId="0" applyNumberFormat="1" applyFont="1" applyFill="1" applyBorder="1"/>
    <xf numFmtId="0" fontId="0" fillId="7" borderId="4" xfId="0" applyFill="1" applyBorder="1" applyAlignment="1">
      <alignment horizontal="right"/>
    </xf>
    <xf numFmtId="0" fontId="1" fillId="7" borderId="9" xfId="0" applyFont="1" applyFill="1" applyBorder="1"/>
    <xf numFmtId="0" fontId="1" fillId="7" borderId="10" xfId="0" applyFont="1" applyFill="1" applyBorder="1"/>
    <xf numFmtId="0" fontId="11" fillId="8" borderId="3" xfId="0" applyFont="1" applyFill="1" applyBorder="1"/>
    <xf numFmtId="0" fontId="0" fillId="8" borderId="9" xfId="0" applyFill="1" applyBorder="1"/>
    <xf numFmtId="0" fontId="0" fillId="7" borderId="5" xfId="0" applyFill="1" applyBorder="1" applyAlignment="1">
      <alignment horizontal="right"/>
    </xf>
    <xf numFmtId="0" fontId="1" fillId="7" borderId="11" xfId="0" applyFont="1" applyFill="1" applyBorder="1"/>
    <xf numFmtId="0" fontId="1" fillId="8" borderId="3" xfId="0" applyFont="1" applyFill="1" applyBorder="1"/>
    <xf numFmtId="0" fontId="1" fillId="8" borderId="9" xfId="0" applyFont="1" applyFill="1" applyBorder="1"/>
    <xf numFmtId="0" fontId="11" fillId="7" borderId="11" xfId="0" applyFont="1" applyFill="1" applyBorder="1"/>
    <xf numFmtId="0" fontId="1" fillId="7" borderId="10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9" xfId="0" applyFill="1" applyBorder="1"/>
    <xf numFmtId="0" fontId="13" fillId="6" borderId="3" xfId="0" applyFont="1" applyFill="1" applyBorder="1"/>
    <xf numFmtId="4" fontId="1" fillId="12" borderId="0" xfId="0" applyNumberFormat="1" applyFont="1" applyFill="1" applyAlignment="1">
      <alignment horizontal="right"/>
    </xf>
    <xf numFmtId="0" fontId="1" fillId="8" borderId="13" xfId="0" applyFont="1" applyFill="1" applyBorder="1"/>
    <xf numFmtId="3" fontId="1" fillId="12" borderId="2" xfId="0" applyNumberFormat="1" applyFont="1" applyFill="1" applyBorder="1"/>
    <xf numFmtId="3" fontId="1" fillId="12" borderId="4" xfId="0" applyNumberFormat="1" applyFont="1" applyFill="1" applyBorder="1" applyAlignment="1">
      <alignment horizontal="right"/>
    </xf>
    <xf numFmtId="0" fontId="1" fillId="10" borderId="7" xfId="0" applyFont="1" applyFill="1" applyBorder="1" applyAlignment="1">
      <alignment horizontal="left"/>
    </xf>
    <xf numFmtId="4" fontId="1" fillId="12" borderId="14" xfId="0" applyNumberFormat="1" applyFont="1" applyFill="1" applyBorder="1"/>
    <xf numFmtId="4" fontId="0" fillId="12" borderId="14" xfId="0" applyNumberFormat="1" applyFill="1" applyBorder="1"/>
    <xf numFmtId="4" fontId="0" fillId="0" borderId="14" xfId="0" applyNumberFormat="1" applyBorder="1"/>
    <xf numFmtId="4" fontId="1" fillId="12" borderId="14" xfId="0" applyNumberFormat="1" applyFont="1" applyFill="1" applyBorder="1" applyAlignment="1">
      <alignment horizontal="right"/>
    </xf>
    <xf numFmtId="164" fontId="0" fillId="12" borderId="0" xfId="0" applyNumberFormat="1" applyFill="1"/>
    <xf numFmtId="164" fontId="0" fillId="12" borderId="10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0" xfId="0" applyNumberFormat="1" applyBorder="1" applyAlignment="1">
      <alignment horizontal="right"/>
    </xf>
    <xf numFmtId="164" fontId="0" fillId="12" borderId="10" xfId="0" applyNumberFormat="1" applyFill="1" applyBorder="1"/>
    <xf numFmtId="2" fontId="0" fillId="0" borderId="14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4" borderId="14" xfId="0" applyNumberFormat="1" applyFill="1" applyBorder="1"/>
    <xf numFmtId="165" fontId="0" fillId="4" borderId="14" xfId="0" applyNumberFormat="1" applyFill="1" applyBorder="1" applyAlignment="1">
      <alignment horizontal="right"/>
    </xf>
    <xf numFmtId="0" fontId="0" fillId="4" borderId="4" xfId="0" applyFill="1" applyBorder="1"/>
    <xf numFmtId="165" fontId="0" fillId="4" borderId="4" xfId="0" applyNumberFormat="1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0" fontId="5" fillId="0" borderId="14" xfId="1" applyFont="1" applyBorder="1"/>
    <xf numFmtId="3" fontId="0" fillId="0" borderId="13" xfId="0" applyNumberFormat="1" applyBorder="1"/>
    <xf numFmtId="3" fontId="0" fillId="4" borderId="14" xfId="0" applyNumberFormat="1" applyFill="1" applyBorder="1"/>
    <xf numFmtId="3" fontId="0" fillId="0" borderId="14" xfId="0" applyNumberFormat="1" applyBorder="1" applyAlignment="1">
      <alignment horizontal="right"/>
    </xf>
    <xf numFmtId="3" fontId="0" fillId="4" borderId="14" xfId="0" applyNumberFormat="1" applyFill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0" borderId="0" xfId="1" applyFill="1"/>
    <xf numFmtId="0" fontId="1" fillId="13" borderId="13" xfId="0" applyFont="1" applyFill="1" applyBorder="1"/>
    <xf numFmtId="4" fontId="1" fillId="5" borderId="0" xfId="0" applyNumberFormat="1" applyFont="1" applyFill="1"/>
    <xf numFmtId="4" fontId="1" fillId="5" borderId="14" xfId="0" applyNumberFormat="1" applyFont="1" applyFill="1" applyBorder="1"/>
    <xf numFmtId="14" fontId="1" fillId="9" borderId="5" xfId="0" applyNumberFormat="1" applyFont="1" applyFill="1" applyBorder="1"/>
    <xf numFmtId="14" fontId="1" fillId="9" borderId="6" xfId="0" applyNumberFormat="1" applyFont="1" applyFill="1" applyBorder="1"/>
    <xf numFmtId="3" fontId="0" fillId="12" borderId="0" xfId="0" applyNumberFormat="1" applyFill="1" applyAlignment="1">
      <alignment horizontal="right"/>
    </xf>
    <xf numFmtId="165" fontId="1" fillId="5" borderId="10" xfId="0" applyNumberFormat="1" applyFont="1" applyFill="1" applyBorder="1"/>
    <xf numFmtId="0" fontId="4" fillId="13" borderId="0" xfId="1" applyFill="1"/>
    <xf numFmtId="1" fontId="1" fillId="13" borderId="0" xfId="0" applyNumberFormat="1" applyFont="1" applyFill="1"/>
    <xf numFmtId="3" fontId="1" fillId="13" borderId="14" xfId="0" applyNumberFormat="1" applyFont="1" applyFill="1" applyBorder="1"/>
    <xf numFmtId="0" fontId="1" fillId="13" borderId="5" xfId="0" applyFont="1" applyFill="1" applyBorder="1"/>
    <xf numFmtId="3" fontId="1" fillId="13" borderId="4" xfId="0" applyNumberFormat="1" applyFont="1" applyFill="1" applyBorder="1"/>
    <xf numFmtId="1" fontId="1" fillId="13" borderId="14" xfId="0" applyNumberFormat="1" applyFont="1" applyFill="1" applyBorder="1"/>
    <xf numFmtId="164" fontId="0" fillId="12" borderId="6" xfId="0" applyNumberFormat="1" applyFill="1" applyBorder="1"/>
    <xf numFmtId="165" fontId="0" fillId="12" borderId="0" xfId="0" applyNumberFormat="1" applyFill="1" applyAlignment="1">
      <alignment horizontal="right"/>
    </xf>
    <xf numFmtId="165" fontId="1" fillId="12" borderId="0" xfId="0" applyNumberFormat="1" applyFont="1" applyFill="1" applyAlignment="1">
      <alignment horizontal="right"/>
    </xf>
    <xf numFmtId="167" fontId="1" fillId="12" borderId="0" xfId="0" applyNumberFormat="1" applyFont="1" applyFill="1"/>
    <xf numFmtId="168" fontId="1" fillId="12" borderId="0" xfId="0" applyNumberFormat="1" applyFont="1" applyFill="1"/>
    <xf numFmtId="164" fontId="0" fillId="4" borderId="0" xfId="0" applyNumberFormat="1" applyFill="1" applyAlignment="1">
      <alignment horizontal="right"/>
    </xf>
    <xf numFmtId="1" fontId="0" fillId="4" borderId="10" xfId="0" applyNumberFormat="1" applyFill="1" applyBorder="1" applyAlignment="1">
      <alignment horizontal="right"/>
    </xf>
    <xf numFmtId="1" fontId="0" fillId="4" borderId="0" xfId="0" applyNumberFormat="1" applyFill="1" applyAlignment="1">
      <alignment horizontal="righ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4" xfId="0" applyFont="1" applyBorder="1"/>
    <xf numFmtId="0" fontId="4" fillId="0" borderId="14" xfId="1" applyFill="1" applyBorder="1"/>
    <xf numFmtId="2" fontId="5" fillId="0" borderId="0" xfId="0" applyNumberFormat="1" applyFont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14" xfId="0" applyNumberFormat="1" applyBorder="1"/>
    <xf numFmtId="2" fontId="4" fillId="0" borderId="0" xfId="1" applyNumberFormat="1" applyAlignment="1">
      <alignment horizontal="left"/>
    </xf>
    <xf numFmtId="3" fontId="0" fillId="0" borderId="14" xfId="0" applyNumberFormat="1" applyBorder="1" applyAlignment="1">
      <alignment horizontal="left"/>
    </xf>
    <xf numFmtId="164" fontId="0" fillId="0" borderId="14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0" fontId="4" fillId="0" borderId="14" xfId="1" applyBorder="1" applyAlignment="1">
      <alignment horizontal="left"/>
    </xf>
    <xf numFmtId="0" fontId="0" fillId="2" borderId="14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164" fontId="0" fillId="2" borderId="14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1" fontId="0" fillId="2" borderId="10" xfId="0" applyNumberFormat="1" applyFill="1" applyBorder="1" applyAlignment="1">
      <alignment horizontal="right"/>
    </xf>
    <xf numFmtId="3" fontId="0" fillId="2" borderId="14" xfId="0" applyNumberFormat="1" applyFill="1" applyBorder="1"/>
    <xf numFmtId="2" fontId="0" fillId="2" borderId="14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5" fillId="2" borderId="14" xfId="0" applyFont="1" applyFill="1" applyBorder="1"/>
    <xf numFmtId="0" fontId="4" fillId="2" borderId="0" xfId="1" applyFill="1"/>
    <xf numFmtId="4" fontId="4" fillId="0" borderId="0" xfId="1" applyNumberFormat="1" applyAlignment="1">
      <alignment horizontal="right"/>
    </xf>
    <xf numFmtId="0" fontId="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xe.com/currencyconverter/convert/?Amount=1&amp;From=USD&amp;To=EUR" TargetMode="External"/><Relationship Id="rId13" Type="http://schemas.openxmlformats.org/officeDocument/2006/relationships/hyperlink" Target="https://tradingeconomics.com/japan/gdp" TargetMode="External"/><Relationship Id="rId18" Type="http://schemas.openxmlformats.org/officeDocument/2006/relationships/hyperlink" Target="https://tradingeconomics.com/sweden/gdp" TargetMode="External"/><Relationship Id="rId26" Type="http://schemas.openxmlformats.org/officeDocument/2006/relationships/hyperlink" Target="https://www.ifw-kiel.de/topics/war-against-ukraine/ukraine-support-tracker/" TargetMode="External"/><Relationship Id="rId3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finland/gdp" TargetMode="External"/><Relationship Id="rId7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orway/gdp" TargetMode="External"/><Relationship Id="rId17" Type="http://schemas.openxmlformats.org/officeDocument/2006/relationships/hyperlink" Target="https://tradingeconomics.com/denmark/gdp" TargetMode="External"/><Relationship Id="rId25" Type="http://schemas.openxmlformats.org/officeDocument/2006/relationships/hyperlink" Target="https://www.ifw-kiel.de/topics/war-against-ukraine/ukraine-support-tracker/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netherlands/gdp" TargetMode="External"/><Relationship Id="rId20" Type="http://schemas.openxmlformats.org/officeDocument/2006/relationships/hyperlink" Target="https://tradingeconomics.com/france/gdp" TargetMode="External"/><Relationship Id="rId29" Type="http://schemas.openxmlformats.org/officeDocument/2006/relationships/hyperlink" Target="https://tradingeconomics.com/russia/gdp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www.ifw-kiel.de/topics/war-against-ukraine/ukraine-support-tracker/" TargetMode="External"/><Relationship Id="rId11" Type="http://schemas.openxmlformats.org/officeDocument/2006/relationships/hyperlink" Target="https://tradingeconomics.com/united-kingdom/gdp" TargetMode="External"/><Relationship Id="rId24" Type="http://schemas.openxmlformats.org/officeDocument/2006/relationships/hyperlink" Target="https://en.wikipedia.org/wiki/Military_budget_of_Russi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ifw-kiel.de/topics/war-against-ukraine/ukraine-support-tracker/" TargetMode="External"/><Relationship Id="rId15" Type="http://schemas.openxmlformats.org/officeDocument/2006/relationships/hyperlink" Target="https://tradingeconomics.com/poland/gdp" TargetMode="External"/><Relationship Id="rId23" Type="http://schemas.openxmlformats.org/officeDocument/2006/relationships/hyperlink" Target="https://tradingeconomics.com/italy/gdp" TargetMode="External"/><Relationship Id="rId28" Type="http://schemas.openxmlformats.org/officeDocument/2006/relationships/hyperlink" Target="https://www.wilsoncenter.org/blog-post/russias-unprecedented-war-budget-explained" TargetMode="External"/><Relationship Id="rId10" Type="http://schemas.openxmlformats.org/officeDocument/2006/relationships/hyperlink" Target="https://tradingeconomics.com/germany/gdp" TargetMode="External"/><Relationship Id="rId19" Type="http://schemas.openxmlformats.org/officeDocument/2006/relationships/hyperlink" Target="https://tradingeconomics.com/switzerland/gdp" TargetMode="External"/><Relationship Id="rId31" Type="http://schemas.openxmlformats.org/officeDocument/2006/relationships/hyperlink" Target="https://en.wikipedia.org/wiki/Economy_of_the_European_Union" TargetMode="External"/><Relationship Id="rId4" Type="http://schemas.openxmlformats.org/officeDocument/2006/relationships/hyperlink" Target="https://www.ifw-kiel.de/topics/war-against-ukraine/ukraine-support-tracker/" TargetMode="External"/><Relationship Id="rId9" Type="http://schemas.openxmlformats.org/officeDocument/2006/relationships/hyperlink" Target="https://tradingeconomics.com/united-states/gdp" TargetMode="External"/><Relationship Id="rId14" Type="http://schemas.openxmlformats.org/officeDocument/2006/relationships/hyperlink" Target="https://tradingeconomics.com/canada/gdp" TargetMode="External"/><Relationship Id="rId22" Type="http://schemas.openxmlformats.org/officeDocument/2006/relationships/hyperlink" Target="https://tradingeconomics.com/czech-republic/gdp" TargetMode="External"/><Relationship Id="rId27" Type="http://schemas.openxmlformats.org/officeDocument/2006/relationships/hyperlink" Target="https://tradingeconomics.com/ukraine/military-expenditure" TargetMode="External"/><Relationship Id="rId30" Type="http://schemas.openxmlformats.org/officeDocument/2006/relationships/hyperlink" Target="https://tradingeconomics.com/ukraine/gd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dingeconomics.com/sweden/gdp" TargetMode="External"/><Relationship Id="rId18" Type="http://schemas.openxmlformats.org/officeDocument/2006/relationships/hyperlink" Target="https://tradingeconomics.com/italy/gdp" TargetMode="External"/><Relationship Id="rId26" Type="http://schemas.openxmlformats.org/officeDocument/2006/relationships/hyperlink" Target="https://www.statista.com/chart/14636/defense-expenditures-of-nato-countries/" TargetMode="External"/><Relationship Id="rId39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ukraine/military-expenditure" TargetMode="External"/><Relationship Id="rId34" Type="http://schemas.openxmlformats.org/officeDocument/2006/relationships/hyperlink" Target="https://www.wilsoncenter.org/blog-post/russias-unprecedented-war-budget-explained" TargetMode="External"/><Relationship Id="rId42" Type="http://schemas.openxmlformats.org/officeDocument/2006/relationships/hyperlink" Target="https://tradingeconomics.com/france/population" TargetMode="External"/><Relationship Id="rId7" Type="http://schemas.openxmlformats.org/officeDocument/2006/relationships/hyperlink" Target="https://tradingeconomics.com/united-kingdom/gdp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finland/gdp" TargetMode="External"/><Relationship Id="rId20" Type="http://schemas.openxmlformats.org/officeDocument/2006/relationships/hyperlink" Target="https://www.ifw-kiel.de/topics/war-against-ukraine/ukraine-support-tracker/" TargetMode="External"/><Relationship Id="rId29" Type="http://schemas.openxmlformats.org/officeDocument/2006/relationships/hyperlink" Target="https://tradingeconomics.com/ukraine/military-expenditure-percent-of-gdp-wb-data.html" TargetMode="External"/><Relationship Id="rId41" Type="http://schemas.openxmlformats.org/officeDocument/2006/relationships/hyperlink" Target="https://www.ifw-kiel.de/topics/war-against-ukraine/ukraine-support-tracker/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tradingeconomics.com/germany/gdp" TargetMode="External"/><Relationship Id="rId11" Type="http://schemas.openxmlformats.org/officeDocument/2006/relationships/hyperlink" Target="https://tradingeconomics.com/poland/gdp" TargetMode="External"/><Relationship Id="rId24" Type="http://schemas.openxmlformats.org/officeDocument/2006/relationships/hyperlink" Target="https://en.wikipedia.org/wiki/Economy_of_the_European_Union" TargetMode="External"/><Relationship Id="rId32" Type="http://schemas.openxmlformats.org/officeDocument/2006/relationships/hyperlink" Target="https://tradingeconomics.com/united-kingdom/military-expenditure-percent-of-gdp-wb-data.html" TargetMode="External"/><Relationship Id="rId37" Type="http://schemas.openxmlformats.org/officeDocument/2006/relationships/hyperlink" Target="https://tradingeconomics.com/china/gdp" TargetMode="External"/><Relationship Id="rId40" Type="http://schemas.openxmlformats.org/officeDocument/2006/relationships/hyperlink" Target="https://tradingeconomics.com/denmark/gdp" TargetMode="External"/><Relationship Id="rId5" Type="http://schemas.openxmlformats.org/officeDocument/2006/relationships/hyperlink" Target="https://tradingeconomics.com/united-states/gdp" TargetMode="External"/><Relationship Id="rId15" Type="http://schemas.openxmlformats.org/officeDocument/2006/relationships/hyperlink" Target="https://tradingeconomics.com/france/gdp" TargetMode="External"/><Relationship Id="rId23" Type="http://schemas.openxmlformats.org/officeDocument/2006/relationships/hyperlink" Target="https://tradingeconomics.com/ukraine/gdp" TargetMode="External"/><Relationship Id="rId28" Type="http://schemas.openxmlformats.org/officeDocument/2006/relationships/hyperlink" Target="https://tradingeconomics.com/sweden/military-expenditure-percent-of-gdp-wb-data.html" TargetMode="External"/><Relationship Id="rId36" Type="http://schemas.openxmlformats.org/officeDocument/2006/relationships/hyperlink" Target="https://tradingeconomics.com/czech-republic/military-expenditure-percent-of-gdp-wb-data.html" TargetMode="External"/><Relationship Id="rId10" Type="http://schemas.openxmlformats.org/officeDocument/2006/relationships/hyperlink" Target="https://tradingeconomics.com/canada/gdp" TargetMode="External"/><Relationship Id="rId19" Type="http://schemas.openxmlformats.org/officeDocument/2006/relationships/hyperlink" Target="https://www.ifw-kiel.de/topics/war-against-ukraine/ukraine-support-tracker/" TargetMode="External"/><Relationship Id="rId31" Type="http://schemas.openxmlformats.org/officeDocument/2006/relationships/hyperlink" Target="https://www.reuters.com/world/europe/ukraine-approves-increase-2023-defence-spending-2023-10-06/" TargetMode="External"/><Relationship Id="rId4" Type="http://schemas.openxmlformats.org/officeDocument/2006/relationships/hyperlink" Target="https://www.xe.com/currencyconverter/convert/?Amount=1&amp;From=USD&amp;To=EUR" TargetMode="External"/><Relationship Id="rId9" Type="http://schemas.openxmlformats.org/officeDocument/2006/relationships/hyperlink" Target="https://tradingeconomics.com/japan/gdp" TargetMode="External"/><Relationship Id="rId14" Type="http://schemas.openxmlformats.org/officeDocument/2006/relationships/hyperlink" Target="https://tradingeconomics.com/switzerland/gdp" TargetMode="External"/><Relationship Id="rId22" Type="http://schemas.openxmlformats.org/officeDocument/2006/relationships/hyperlink" Target="https://tradingeconomics.com/russia/gdp" TargetMode="External"/><Relationship Id="rId27" Type="http://schemas.openxmlformats.org/officeDocument/2006/relationships/hyperlink" Target="https://tradingeconomics.com/sweden/military-expenditure-percent-of-gdp-wb-data.html" TargetMode="External"/><Relationship Id="rId30" Type="http://schemas.openxmlformats.org/officeDocument/2006/relationships/hyperlink" Target="https://tradingeconomics.com/ukraine/military-expenditure-percent-of-gdp-wb-data.html" TargetMode="External"/><Relationship Id="rId35" Type="http://schemas.openxmlformats.org/officeDocument/2006/relationships/hyperlink" Target="https://www.wilsoncenter.org/blog-post/russias-unprecedented-war-budget-explained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tradingeconomics.com/norway/gdp" TargetMode="External"/><Relationship Id="rId3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etherlands/gdp" TargetMode="External"/><Relationship Id="rId17" Type="http://schemas.openxmlformats.org/officeDocument/2006/relationships/hyperlink" Target="https://tradingeconomics.com/czech-republic/gdp" TargetMode="External"/><Relationship Id="rId25" Type="http://schemas.openxmlformats.org/officeDocument/2006/relationships/hyperlink" Target="https://www.statista.com/chart/14636/defense-expenditures-of-nato-countries/" TargetMode="External"/><Relationship Id="rId33" Type="http://schemas.openxmlformats.org/officeDocument/2006/relationships/hyperlink" Target="https://tradingeconomics.com/united-kingdom/military-expenditure-percent-of-gdp-wb-data.html" TargetMode="External"/><Relationship Id="rId38" Type="http://schemas.openxmlformats.org/officeDocument/2006/relationships/hyperlink" Target="https://www.wilsoncenter.org/blog-post/russias-unprecedented-war-budget-explained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Panzerhaubitze_2000" TargetMode="External"/><Relationship Id="rId21" Type="http://schemas.openxmlformats.org/officeDocument/2006/relationships/hyperlink" Target="https://en.wikipedia.org/wiki/MAGURA_V5" TargetMode="External"/><Relationship Id="rId42" Type="http://schemas.openxmlformats.org/officeDocument/2006/relationships/hyperlink" Target="https://euromaidanpress.com/2024/03/23/meet-liutyi-ukraines-homegrown-drone-behind-strikes-on-russian-oil-refineries/" TargetMode="External"/><Relationship Id="rId47" Type="http://schemas.openxmlformats.org/officeDocument/2006/relationships/hyperlink" Target="https://www.airplaneupdate.com/2019/04/sukhoi-su-34.html" TargetMode="External"/><Relationship Id="rId63" Type="http://schemas.openxmlformats.org/officeDocument/2006/relationships/hyperlink" Target="https://www.msn.com/en-us/news/world/german-skynex-air-defense-systems-start-protecting-ukrainian-skies/ar-AA1ofiEM?ocid=BingNewsSerp" TargetMode="External"/><Relationship Id="rId68" Type="http://schemas.openxmlformats.org/officeDocument/2006/relationships/hyperlink" Target="https://en.wikipedia.org/wiki/Joint_Direct_Attack_Munition" TargetMode="External"/><Relationship Id="rId2" Type="http://schemas.openxmlformats.org/officeDocument/2006/relationships/hyperlink" Target="https://en.wikipedia.org/wiki/Harpoon_(missile)" TargetMode="External"/><Relationship Id="rId16" Type="http://schemas.openxmlformats.org/officeDocument/2006/relationships/hyperlink" Target="https://en.wikipedia.org/wiki/M982_Excalibur" TargetMode="External"/><Relationship Id="rId29" Type="http://schemas.openxmlformats.org/officeDocument/2006/relationships/hyperlink" Target="https://en.wikipedia.org/wiki/CAESAR_self-propelled_howitzer" TargetMode="External"/><Relationship Id="rId11" Type="http://schemas.openxmlformats.org/officeDocument/2006/relationships/hyperlink" Target="https://en.wikipedia.org/wiki/M15_mine" TargetMode="External"/><Relationship Id="rId24" Type="http://schemas.openxmlformats.org/officeDocument/2006/relationships/hyperlink" Target="https://en.wikipedia.org/wiki/M549" TargetMode="External"/><Relationship Id="rId32" Type="http://schemas.openxmlformats.org/officeDocument/2006/relationships/hyperlink" Target="https://en.wikipedia.org/wiki/Mikoyan_MiG-29" TargetMode="External"/><Relationship Id="rId37" Type="http://schemas.openxmlformats.org/officeDocument/2006/relationships/hyperlink" Target="https://en.wikipedia.org/wiki/HESA_Shahed_136" TargetMode="External"/><Relationship Id="rId40" Type="http://schemas.openxmlformats.org/officeDocument/2006/relationships/hyperlink" Target="https://en.wikipedia.org/wiki/Storm_Shadow" TargetMode="External"/><Relationship Id="rId45" Type="http://schemas.openxmlformats.org/officeDocument/2006/relationships/hyperlink" Target="https://en.wikipedia.org/wiki/General_Dynamics_F-16_Fighting_Falcon" TargetMode="External"/><Relationship Id="rId53" Type="http://schemas.openxmlformats.org/officeDocument/2006/relationships/hyperlink" Target="https://www.nextbigfuture.com/2024/01/ukraines-one-million-fpv-drones-will-be-outnumbered-by-5-million-russian-drones.html" TargetMode="External"/><Relationship Id="rId58" Type="http://schemas.openxmlformats.org/officeDocument/2006/relationships/hyperlink" Target="https://en.wikipedia.org/wiki/Precision_Strike_Missile" TargetMode="External"/><Relationship Id="rId66" Type="http://schemas.openxmlformats.org/officeDocument/2006/relationships/hyperlink" Target="https://en.wikipedia.org/wiki/Oerlikon_GDF" TargetMode="External"/><Relationship Id="rId74" Type="http://schemas.openxmlformats.org/officeDocument/2006/relationships/printerSettings" Target="../printerSettings/printerSettings3.bin"/><Relationship Id="rId5" Type="http://schemas.openxmlformats.org/officeDocument/2006/relationships/hyperlink" Target="https://en.wikipedia.org/wiki/MAGURA_V5" TargetMode="External"/><Relationship Id="rId61" Type="http://schemas.openxmlformats.org/officeDocument/2006/relationships/hyperlink" Target="https://www.youtube.com/watch?v=1DXpPmpmcak" TargetMode="External"/><Relationship Id="rId19" Type="http://schemas.openxmlformats.org/officeDocument/2006/relationships/hyperlink" Target="https://en.wikipedia.org/wiki/CAESAR_self-propelled_howitzer" TargetMode="External"/><Relationship Id="rId14" Type="http://schemas.openxmlformats.org/officeDocument/2006/relationships/hyperlink" Target="https://www.pmulcahy.com/ammunition/mortar_rounds.html" TargetMode="External"/><Relationship Id="rId22" Type="http://schemas.openxmlformats.org/officeDocument/2006/relationships/hyperlink" Target="https://en.wikipedia.org/wiki/MAGURA_V5" TargetMode="External"/><Relationship Id="rId27" Type="http://schemas.openxmlformats.org/officeDocument/2006/relationships/hyperlink" Target="https://en.wikipedia.org/wiki/Panzerhaubitze_2000" TargetMode="External"/><Relationship Id="rId30" Type="http://schemas.openxmlformats.org/officeDocument/2006/relationships/hyperlink" Target="https://www.pmulcahy.com/ammunition/mortar_rounds.html" TargetMode="External"/><Relationship Id="rId35" Type="http://schemas.openxmlformats.org/officeDocument/2006/relationships/hyperlink" Target="https://en.wikipedia.org/wiki/M142_HIMARS" TargetMode="External"/><Relationship Id="rId43" Type="http://schemas.openxmlformats.org/officeDocument/2006/relationships/hyperlink" Target="https://en.wikipedia.org/wiki/General_Dynamics_F-16_Fighting_Falcon_variants" TargetMode="External"/><Relationship Id="rId48" Type="http://schemas.openxmlformats.org/officeDocument/2006/relationships/hyperlink" Target="https://en.wikipedia.org/wiki/Sukhoi_Su-34" TargetMode="External"/><Relationship Id="rId56" Type="http://schemas.openxmlformats.org/officeDocument/2006/relationships/hyperlink" Target="https://en.wikipedia.org/wiki/IAI_Heron" TargetMode="External"/><Relationship Id="rId64" Type="http://schemas.openxmlformats.org/officeDocument/2006/relationships/hyperlink" Target="https://en.wikipedia.org/wiki/Oerlikon_GDF" TargetMode="External"/><Relationship Id="rId69" Type="http://schemas.openxmlformats.org/officeDocument/2006/relationships/hyperlink" Target="https://en.wikipedia.org/wiki/AGM-158_JASSM" TargetMode="External"/><Relationship Id="rId8" Type="http://schemas.openxmlformats.org/officeDocument/2006/relationships/hyperlink" Target="https://en.wikipedia.org/wiki/Anti-personnel_mine" TargetMode="External"/><Relationship Id="rId51" Type="http://schemas.openxmlformats.org/officeDocument/2006/relationships/hyperlink" Target="https://twitter.com/oleksiireznikov/status/1594998365170896896" TargetMode="External"/><Relationship Id="rId72" Type="http://schemas.openxmlformats.org/officeDocument/2006/relationships/hyperlink" Target="https://en.wikipedia.org/wiki/Beriev_A-50" TargetMode="External"/><Relationship Id="rId3" Type="http://schemas.openxmlformats.org/officeDocument/2006/relationships/hyperlink" Target="https://en.wikipedia.org/wiki/Soltam_K6" TargetMode="External"/><Relationship Id="rId12" Type="http://schemas.openxmlformats.org/officeDocument/2006/relationships/hyperlink" Target="https://en.wikipedia.org/wiki/Archer_Artillery_System" TargetMode="External"/><Relationship Id="rId17" Type="http://schemas.openxmlformats.org/officeDocument/2006/relationships/hyperlink" Target="https://en.wikipedia.org/wiki/M107_projectile" TargetMode="External"/><Relationship Id="rId25" Type="http://schemas.openxmlformats.org/officeDocument/2006/relationships/hyperlink" Target="https://en.wikipedia.org/wiki/Panzerhaubitze_2000" TargetMode="External"/><Relationship Id="rId33" Type="http://schemas.openxmlformats.org/officeDocument/2006/relationships/hyperlink" Target="https://en.wikipedia.org/wiki/M142_HIMARS" TargetMode="External"/><Relationship Id="rId38" Type="http://schemas.openxmlformats.org/officeDocument/2006/relationships/hyperlink" Target="https://en.wikipedia.org/wiki/RPG-7" TargetMode="External"/><Relationship Id="rId46" Type="http://schemas.openxmlformats.org/officeDocument/2006/relationships/hyperlink" Target="https://en.wikipedia.org/wiki/Sukhoi_Su-34" TargetMode="External"/><Relationship Id="rId59" Type="http://schemas.openxmlformats.org/officeDocument/2006/relationships/hyperlink" Target="https://en.wikipedia.org/wiki/Northrop_B-2_Spirit" TargetMode="External"/><Relationship Id="rId67" Type="http://schemas.openxmlformats.org/officeDocument/2006/relationships/hyperlink" Target="https://en.wikipedia.org/wiki/Spike_(missile)" TargetMode="External"/><Relationship Id="rId20" Type="http://schemas.openxmlformats.org/officeDocument/2006/relationships/hyperlink" Target="https://store.dji.com/product/dji-inspire-3?vid=136551" TargetMode="External"/><Relationship Id="rId41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54" Type="http://schemas.openxmlformats.org/officeDocument/2006/relationships/hyperlink" Target="https://en.wikipedia.org/wiki/LMUR" TargetMode="External"/><Relationship Id="rId62" Type="http://schemas.openxmlformats.org/officeDocument/2006/relationships/hyperlink" Target="https://www.msn.com/en-us/news/world/german-skynex-air-defense-systems-start-protecting-ukrainian-skies/ar-AA1ofiEM?ocid=BingNewsSerp" TargetMode="External"/><Relationship Id="rId70" Type="http://schemas.openxmlformats.org/officeDocument/2006/relationships/hyperlink" Target="https://en.wikipedia.org/wiki/GBU-39_Small_Diameter_Bomb" TargetMode="External"/><Relationship Id="rId1" Type="http://schemas.openxmlformats.org/officeDocument/2006/relationships/hyperlink" Target="https://en.wikipedia.org/wiki/R-360_Neptune" TargetMode="External"/><Relationship Id="rId6" Type="http://schemas.openxmlformats.org/officeDocument/2006/relationships/hyperlink" Target="https://en.wikipedia.org/wiki/R-360_Neptune" TargetMode="External"/><Relationship Id="rId15" Type="http://schemas.openxmlformats.org/officeDocument/2006/relationships/hyperlink" Target="https://en.wikipedia.org/wiki/CAESAR_self-propelled_howitzer" TargetMode="External"/><Relationship Id="rId23" Type="http://schemas.openxmlformats.org/officeDocument/2006/relationships/hyperlink" Target="https://en.wikipedia.org/wiki/MAGURA_V5" TargetMode="External"/><Relationship Id="rId28" Type="http://schemas.openxmlformats.org/officeDocument/2006/relationships/hyperlink" Target="https://en.wikipedia.org/wiki/Panzerhaubitze_2000" TargetMode="External"/><Relationship Id="rId36" Type="http://schemas.openxmlformats.org/officeDocument/2006/relationships/hyperlink" Target="https://en.wikipedia.org/wiki/Storm_Shadow" TargetMode="External"/><Relationship Id="rId49" Type="http://schemas.openxmlformats.org/officeDocument/2006/relationships/hyperlink" Target="https://en.wikipedia.org/wiki/Sukhoi_Su-34" TargetMode="External"/><Relationship Id="rId57" Type="http://schemas.openxmlformats.org/officeDocument/2006/relationships/hyperlink" Target="https://en.wikipedia.org/wiki/MGM-140_ATACMS" TargetMode="External"/><Relationship Id="rId10" Type="http://schemas.openxmlformats.org/officeDocument/2006/relationships/hyperlink" Target="https://ruavia.su/fpv-drones-hortensia-with-increased-payload-are-preparing-to-be-sent-to-the-frontline/" TargetMode="External"/><Relationship Id="rId31" Type="http://schemas.openxmlformats.org/officeDocument/2006/relationships/hyperlink" Target="https://weaponsystems.net/system/171-60mm%2BM224" TargetMode="External"/><Relationship Id="rId44" Type="http://schemas.openxmlformats.org/officeDocument/2006/relationships/hyperlink" Target="https://en.wikipedia.org/wiki/Mikoyan_MiG-29" TargetMode="External"/><Relationship Id="rId52" Type="http://schemas.openxmlformats.org/officeDocument/2006/relationships/hyperlink" Target="https://en.wikipedia.org/wiki/Lockheed_Martin_F-35_Lightning_II" TargetMode="External"/><Relationship Id="rId60" Type="http://schemas.openxmlformats.org/officeDocument/2006/relationships/hyperlink" Target="https://www.rheinmetall.com/en/products/air-defence/air-defence-systems/networked-air-defence-skynex" TargetMode="External"/><Relationship Id="rId65" Type="http://schemas.openxmlformats.org/officeDocument/2006/relationships/hyperlink" Target="https://en.wikipedia.org/wiki/Oerlikon_GDF" TargetMode="External"/><Relationship Id="rId73" Type="http://schemas.openxmlformats.org/officeDocument/2006/relationships/hyperlink" Target="https://www.ukrainianworldcongress.org/belarus-partisans-blow-up-russias-330-million-beriev-a-50-aircraft/" TargetMode="External"/><Relationship Id="rId4" Type="http://schemas.openxmlformats.org/officeDocument/2006/relationships/hyperlink" Target="https://www.newsweek.com/ukraine-fpv-drones-mykhailo-fedorov-russia-avdiivka-1853646" TargetMode="External"/><Relationship Id="rId9" Type="http://schemas.openxmlformats.org/officeDocument/2006/relationships/hyperlink" Target="https://en.defence-ua.com/analysis/how_much_155mm_ammunition_costs_now_an_example_of_the_rheinmetall_contract_for_10000_shells-5178.html" TargetMode="External"/><Relationship Id="rId13" Type="http://schemas.openxmlformats.org/officeDocument/2006/relationships/hyperlink" Target="https://en.wikipedia.org/wiki/Panzerhaubitze_2000" TargetMode="External"/><Relationship Id="rId18" Type="http://schemas.openxmlformats.org/officeDocument/2006/relationships/hyperlink" Target="https://en.wikipedia.org/wiki/Archer_Artillery_System" TargetMode="External"/><Relationship Id="rId39" Type="http://schemas.openxmlformats.org/officeDocument/2006/relationships/hyperlink" Target="https://en.wikipedia.org/wiki/Tomahawk_(missile)" TargetMode="External"/><Relationship Id="rId34" Type="http://schemas.openxmlformats.org/officeDocument/2006/relationships/hyperlink" Target="https://en.wikipedia.org/wiki/M142_HIMARS" TargetMode="External"/><Relationship Id="rId50" Type="http://schemas.openxmlformats.org/officeDocument/2006/relationships/hyperlink" Target="https://en.wikipedia.org/wiki/Lockheed_Martin_F-35_Lightning_II" TargetMode="External"/><Relationship Id="rId55" Type="http://schemas.openxmlformats.org/officeDocument/2006/relationships/hyperlink" Target="https://en.wikipedia.org/wiki/FGM-148_Javelin" TargetMode="External"/><Relationship Id="rId7" Type="http://schemas.openxmlformats.org/officeDocument/2006/relationships/hyperlink" Target="https://en.wikipedia.org/wiki/M15_mine" TargetMode="External"/><Relationship Id="rId71" Type="http://schemas.openxmlformats.org/officeDocument/2006/relationships/hyperlink" Target="https://en.wikipedia.org/wiki/Sukhoi_Su-35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l.gov.ua/en/news/2023/06/15/the-total-combat-losses-of-the-enemy-from-24-02-2022-to-15-06-2023/" TargetMode="External"/><Relationship Id="rId18" Type="http://schemas.openxmlformats.org/officeDocument/2006/relationships/hyperlink" Target="https://twitter.com/HMexperienceDK/status/1768915880694391294" TargetMode="External"/><Relationship Id="rId26" Type="http://schemas.openxmlformats.org/officeDocument/2006/relationships/hyperlink" Target="https://www.oryxspioenkop.com/2022/02/attack-on-europe-documenting-equipment.html" TargetMode="External"/><Relationship Id="rId39" Type="http://schemas.openxmlformats.org/officeDocument/2006/relationships/hyperlink" Target="https://twitter.com/EuromaidanPress/status/1778299697494462846" TargetMode="External"/><Relationship Id="rId21" Type="http://schemas.openxmlformats.org/officeDocument/2006/relationships/hyperlink" Target="https://www.oryxspioenkop.com/2022/02/attack-on-europe-documenting-equipment.html" TargetMode="External"/><Relationship Id="rId34" Type="http://schemas.openxmlformats.org/officeDocument/2006/relationships/hyperlink" Target="https://www.oryxspioenkop.com/2022/02/attack-on-europe-documenting-equipment.html" TargetMode="External"/><Relationship Id="rId42" Type="http://schemas.openxmlformats.org/officeDocument/2006/relationships/hyperlink" Target="https://twitter.com/EuromaidanPress/status/1778299697494462846" TargetMode="External"/><Relationship Id="rId7" Type="http://schemas.openxmlformats.org/officeDocument/2006/relationships/hyperlink" Target="https://www.minusrus.com/en" TargetMode="External"/><Relationship Id="rId2" Type="http://schemas.openxmlformats.org/officeDocument/2006/relationships/hyperlink" Target="https://www.mil.gov.ua/en/news/2023/06/15/the-total-combat-losses-of-the-enemy-from-24-02-2022-to-15-06-2023/" TargetMode="External"/><Relationship Id="rId16" Type="http://schemas.openxmlformats.org/officeDocument/2006/relationships/hyperlink" Target="https://twitter.com/HMexperienceDK/status/1768915880694391294" TargetMode="External"/><Relationship Id="rId20" Type="http://schemas.openxmlformats.org/officeDocument/2006/relationships/hyperlink" Target="https://twitter.com/HMexperienceDK/status/1768915880694391294" TargetMode="External"/><Relationship Id="rId29" Type="http://schemas.openxmlformats.org/officeDocument/2006/relationships/hyperlink" Target="https://www.oryxspioenkop.com/2022/02/attack-on-europe-documenting-ukrainian.html" TargetMode="External"/><Relationship Id="rId41" Type="http://schemas.openxmlformats.org/officeDocument/2006/relationships/hyperlink" Target="https://www.mil.gov.ua/en/news/2023/06/15/the-total-combat-losses-of-the-enemy-from-24-02-2022-to-15-06-2023/" TargetMode="External"/><Relationship Id="rId1" Type="http://schemas.openxmlformats.org/officeDocument/2006/relationships/hyperlink" Target="https://militarywatchmagazine.com/article/850-obsolete-tanks-can-t-stop-russia-ukraine-chose-sheer-numbers-over-modernisation-and-suffered" TargetMode="External"/><Relationship Id="rId6" Type="http://schemas.openxmlformats.org/officeDocument/2006/relationships/hyperlink" Target="https://www.minusrus.com/en" TargetMode="External"/><Relationship Id="rId11" Type="http://schemas.openxmlformats.org/officeDocument/2006/relationships/hyperlink" Target="https://www.minusrus.com/en" TargetMode="External"/><Relationship Id="rId24" Type="http://schemas.openxmlformats.org/officeDocument/2006/relationships/hyperlink" Target="https://www.mil.gov.ua/en/news/2023/06/15/the-total-combat-losses-of-the-enemy-from-24-02-2022-to-15-06-2023/" TargetMode="External"/><Relationship Id="rId32" Type="http://schemas.openxmlformats.org/officeDocument/2006/relationships/hyperlink" Target="https://twitter.com/HMexperienceDK/status/1768915880694391294" TargetMode="External"/><Relationship Id="rId37" Type="http://schemas.openxmlformats.org/officeDocument/2006/relationships/hyperlink" Target="https://www.oryxspioenkop.com/2022/02/attack-on-europe-documenting-ukrainian.html" TargetMode="External"/><Relationship Id="rId40" Type="http://schemas.openxmlformats.org/officeDocument/2006/relationships/hyperlink" Target="https://twitter.com/HMexperienceDK/status/1768915880694391294" TargetMode="External"/><Relationship Id="rId5" Type="http://schemas.openxmlformats.org/officeDocument/2006/relationships/hyperlink" Target="https://www.mil.gov.ua/en/news/2023/06/15/the-total-combat-losses-of-the-enemy-from-24-02-2022-to-15-06-2023/" TargetMode="External"/><Relationship Id="rId15" Type="http://schemas.openxmlformats.org/officeDocument/2006/relationships/hyperlink" Target="https://twitter.com/HMexperienceDK/status/1768915880694391294" TargetMode="External"/><Relationship Id="rId23" Type="http://schemas.openxmlformats.org/officeDocument/2006/relationships/hyperlink" Target="https://www.oryxspioenkop.com/2022/02/attack-on-europe-documenting-ukrainian.html" TargetMode="External"/><Relationship Id="rId28" Type="http://schemas.openxmlformats.org/officeDocument/2006/relationships/hyperlink" Target="https://twitter.com/HMexperienceDK/status/1768915880694391294" TargetMode="External"/><Relationship Id="rId36" Type="http://schemas.openxmlformats.org/officeDocument/2006/relationships/hyperlink" Target="https://www.oryxspioenkop.com/2022/02/attack-on-europe-documenting-equipment.html" TargetMode="External"/><Relationship Id="rId10" Type="http://schemas.openxmlformats.org/officeDocument/2006/relationships/hyperlink" Target="https://www.minusrus.com/en" TargetMode="External"/><Relationship Id="rId19" Type="http://schemas.openxmlformats.org/officeDocument/2006/relationships/hyperlink" Target="https://twitter.com/HMexperienceDK/status/1768915880694391294" TargetMode="External"/><Relationship Id="rId31" Type="http://schemas.openxmlformats.org/officeDocument/2006/relationships/hyperlink" Target="https://www.oryxspioenkop.com/2022/02/attack-on-europe-documenting-ukrainian.html" TargetMode="External"/><Relationship Id="rId44" Type="http://schemas.openxmlformats.org/officeDocument/2006/relationships/printerSettings" Target="../printerSettings/printerSettings4.bin"/><Relationship Id="rId4" Type="http://schemas.openxmlformats.org/officeDocument/2006/relationships/hyperlink" Target="https://www.mil.gov.ua/en/news/2023/06/15/the-total-combat-losses-of-the-enemy-from-24-02-2022-to-15-06-2023/" TargetMode="External"/><Relationship Id="rId9" Type="http://schemas.openxmlformats.org/officeDocument/2006/relationships/hyperlink" Target="https://www.minusrus.com/en" TargetMode="External"/><Relationship Id="rId14" Type="http://schemas.openxmlformats.org/officeDocument/2006/relationships/hyperlink" Target="https://www.mil.gov.ua/en/news/2023/06/15/the-total-combat-losses-of-the-enemy-from-24-02-2022-to-15-06-2023/" TargetMode="External"/><Relationship Id="rId22" Type="http://schemas.openxmlformats.org/officeDocument/2006/relationships/hyperlink" Target="https://www.oryxspioenkop.com/2022/02/attack-on-europe-documenting-equipment.html" TargetMode="External"/><Relationship Id="rId27" Type="http://schemas.openxmlformats.org/officeDocument/2006/relationships/hyperlink" Target="https://twitter.com/HMexperienceDK/status/1768915880694391294" TargetMode="External"/><Relationship Id="rId30" Type="http://schemas.openxmlformats.org/officeDocument/2006/relationships/hyperlink" Target="https://www.oryxspioenkop.com/2022/02/attack-on-europe-documenting-equipment.html" TargetMode="External"/><Relationship Id="rId35" Type="http://schemas.openxmlformats.org/officeDocument/2006/relationships/hyperlink" Target="https://www.oryxspioenkop.com/2022/02/attack-on-europe-documenting-ukrainian.html" TargetMode="External"/><Relationship Id="rId43" Type="http://schemas.openxmlformats.org/officeDocument/2006/relationships/hyperlink" Target="https://www.businessinsider.com/russia-recruiting-30000-troops-a-month-ukraine-frontline-losses-analysts-2024-1" TargetMode="External"/><Relationship Id="rId8" Type="http://schemas.openxmlformats.org/officeDocument/2006/relationships/hyperlink" Target="https://www.minusrus.com/en" TargetMode="External"/><Relationship Id="rId3" Type="http://schemas.openxmlformats.org/officeDocument/2006/relationships/hyperlink" Target="https://www.mil.gov.ua/en/news/2023/06/15/the-total-combat-losses-of-the-enemy-from-24-02-2022-to-15-06-2023/" TargetMode="External"/><Relationship Id="rId12" Type="http://schemas.openxmlformats.org/officeDocument/2006/relationships/hyperlink" Target="https://www.mil.gov.ua/en/news/2023/06/15/the-total-combat-losses-of-the-enemy-from-24-02-2022-to-15-06-2023/" TargetMode="External"/><Relationship Id="rId17" Type="http://schemas.openxmlformats.org/officeDocument/2006/relationships/hyperlink" Target="https://twitter.com/HMexperienceDK/status/1768915880694391294" TargetMode="External"/><Relationship Id="rId25" Type="http://schemas.openxmlformats.org/officeDocument/2006/relationships/hyperlink" Target="https://www.oryxspioenkop.com/2022/02/attack-on-europe-documenting-equipment.html" TargetMode="External"/><Relationship Id="rId33" Type="http://schemas.openxmlformats.org/officeDocument/2006/relationships/hyperlink" Target="https://www.oryxspioenkop.com/2022/02/attack-on-europe-documenting-equipment.html" TargetMode="External"/><Relationship Id="rId38" Type="http://schemas.openxmlformats.org/officeDocument/2006/relationships/hyperlink" Target="https://twitter.com/EuromaidanPress/status/1778299697494462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152" zoomScaleNormal="152" workbookViewId="0"/>
  </sheetViews>
  <sheetFormatPr defaultRowHeight="14.5" x14ac:dyDescent="0.35"/>
  <cols>
    <col min="1" max="1" width="15.453125" customWidth="1"/>
    <col min="2" max="2" width="26.6328125" customWidth="1"/>
    <col min="3" max="3" width="24.1796875" customWidth="1"/>
    <col min="4" max="4" width="10.453125" customWidth="1"/>
    <col min="5" max="5" width="30.6328125" customWidth="1"/>
    <col min="6" max="6" width="24.90625" customWidth="1"/>
    <col min="7" max="7" width="16" customWidth="1"/>
    <col min="8" max="8" width="11.1796875" customWidth="1"/>
    <col min="9" max="9" width="11.26953125" customWidth="1"/>
    <col min="10" max="10" width="12.453125" customWidth="1"/>
    <col min="11" max="11" width="8.81640625" bestFit="1" customWidth="1"/>
  </cols>
  <sheetData>
    <row r="1" spans="1:13" ht="28.5" x14ac:dyDescent="0.65">
      <c r="A1" s="1" t="s">
        <v>766</v>
      </c>
    </row>
    <row r="2" spans="1:13" x14ac:dyDescent="0.35">
      <c r="H2" t="s">
        <v>26</v>
      </c>
      <c r="J2" t="s">
        <v>27</v>
      </c>
      <c r="L2" t="s">
        <v>30</v>
      </c>
      <c r="M2" s="4" t="s">
        <v>31</v>
      </c>
    </row>
    <row r="3" spans="1:13" x14ac:dyDescent="0.35">
      <c r="H3">
        <f>(11+10)/12</f>
        <v>1.75</v>
      </c>
      <c r="J3" t="s">
        <v>28</v>
      </c>
      <c r="K3">
        <v>0.93</v>
      </c>
      <c r="L3" t="s">
        <v>29</v>
      </c>
      <c r="M3" t="s">
        <v>32</v>
      </c>
    </row>
    <row r="4" spans="1:13" ht="24" thickBot="1" x14ac:dyDescent="0.6">
      <c r="B4" s="2" t="s">
        <v>80</v>
      </c>
      <c r="C4" s="2"/>
      <c r="D4" s="2"/>
    </row>
    <row r="5" spans="1:13" ht="15" thickTop="1" x14ac:dyDescent="0.35">
      <c r="B5" s="5"/>
      <c r="C5" s="6" t="s">
        <v>22</v>
      </c>
      <c r="D5" s="6" t="s">
        <v>8</v>
      </c>
      <c r="E5" s="6" t="s">
        <v>69</v>
      </c>
      <c r="F5" s="6" t="s">
        <v>22</v>
      </c>
      <c r="G5" s="6" t="s">
        <v>71</v>
      </c>
      <c r="H5" s="6" t="s">
        <v>8</v>
      </c>
      <c r="I5" s="6" t="s">
        <v>8</v>
      </c>
      <c r="J5" s="15" t="s">
        <v>23</v>
      </c>
      <c r="K5" s="39" t="s">
        <v>74</v>
      </c>
    </row>
    <row r="6" spans="1:13" ht="15" thickBot="1" x14ac:dyDescent="0.4">
      <c r="B6" s="17"/>
      <c r="C6" s="18" t="s">
        <v>68</v>
      </c>
      <c r="D6" s="18" t="s">
        <v>79</v>
      </c>
      <c r="E6" s="18" t="s">
        <v>15</v>
      </c>
      <c r="F6" s="18" t="s">
        <v>70</v>
      </c>
      <c r="G6" s="18" t="s">
        <v>20</v>
      </c>
      <c r="H6" s="18" t="s">
        <v>72</v>
      </c>
      <c r="I6" s="18" t="s">
        <v>77</v>
      </c>
      <c r="J6" s="13" t="s">
        <v>60</v>
      </c>
      <c r="K6" s="40" t="s">
        <v>34</v>
      </c>
    </row>
    <row r="7" spans="1:13" ht="15" thickTop="1" x14ac:dyDescent="0.35">
      <c r="B7" s="65" t="s">
        <v>42</v>
      </c>
      <c r="C7" s="42" t="s">
        <v>35</v>
      </c>
      <c r="D7" s="42"/>
      <c r="E7" s="8">
        <v>84.9</v>
      </c>
      <c r="F7" s="8">
        <v>0</v>
      </c>
      <c r="G7" s="8">
        <f>E7+F7</f>
        <v>84.9</v>
      </c>
      <c r="H7" s="8">
        <f>G7/H$3</f>
        <v>48.51428571428572</v>
      </c>
      <c r="I7" s="8">
        <f t="shared" ref="I7:I30" si="0">H7*(1/K$3)</f>
        <v>52.165898617511523</v>
      </c>
      <c r="J7" s="16">
        <v>19350</v>
      </c>
      <c r="K7" s="66">
        <f t="shared" ref="K7:K12" si="1">I7/J7</f>
        <v>2.6959120732564096E-3</v>
      </c>
    </row>
    <row r="8" spans="1:13" x14ac:dyDescent="0.35">
      <c r="B8" s="7" t="s">
        <v>61</v>
      </c>
      <c r="C8" s="9">
        <f>SUM(C12:C25)</f>
        <v>44.000000000000007</v>
      </c>
      <c r="D8" s="9">
        <f>(C8*(1/K$3))/H$3</f>
        <v>27.035330261136718</v>
      </c>
      <c r="E8" s="8">
        <f>SUM(E12:E25)</f>
        <v>77.979999999999961</v>
      </c>
      <c r="F8" s="8">
        <f>SUM(F12:F25)</f>
        <v>43.680000000000007</v>
      </c>
      <c r="G8" s="8">
        <f t="shared" ref="G8:G25" si="2">E8+F8</f>
        <v>121.65999999999997</v>
      </c>
      <c r="H8" s="8">
        <f t="shared" ref="H8:H26" si="3">G8/H$3</f>
        <v>69.519999999999982</v>
      </c>
      <c r="I8" s="8">
        <f t="shared" si="0"/>
        <v>74.75268817204298</v>
      </c>
      <c r="J8" s="16">
        <f>SUM(J12:J25)</f>
        <v>23029</v>
      </c>
      <c r="K8" s="41">
        <f t="shared" si="1"/>
        <v>3.2460240640949664E-3</v>
      </c>
    </row>
    <row r="9" spans="1:13" x14ac:dyDescent="0.35">
      <c r="B9" s="10" t="s">
        <v>76</v>
      </c>
      <c r="C9" s="12">
        <f>SUM(C7:C8)</f>
        <v>44.000000000000007</v>
      </c>
      <c r="D9" s="12">
        <f t="shared" ref="D9:D26" si="4">(C9*(1/K$3))/H$3</f>
        <v>27.035330261136718</v>
      </c>
      <c r="E9" s="11">
        <f>SUM(E7:E8)</f>
        <v>162.87999999999997</v>
      </c>
      <c r="F9" s="11">
        <f>SUM(F7:F8)</f>
        <v>43.680000000000007</v>
      </c>
      <c r="G9" s="11">
        <f t="shared" si="2"/>
        <v>206.55999999999997</v>
      </c>
      <c r="H9" s="11">
        <f>G9/H$3</f>
        <v>118.0342857142857</v>
      </c>
      <c r="I9" s="11">
        <f t="shared" si="0"/>
        <v>126.91858678955451</v>
      </c>
      <c r="J9" s="16">
        <f>SUM(J7:J8)</f>
        <v>42379</v>
      </c>
      <c r="K9" s="41">
        <f t="shared" si="1"/>
        <v>2.9948461924432976E-3</v>
      </c>
    </row>
    <row r="10" spans="1:13" x14ac:dyDescent="0.35">
      <c r="B10" s="10" t="s">
        <v>82</v>
      </c>
      <c r="C10" s="12">
        <v>43.9</v>
      </c>
      <c r="D10" s="12">
        <f t="shared" si="4"/>
        <v>26.973886328725037</v>
      </c>
      <c r="E10" s="11">
        <v>71.400000000000006</v>
      </c>
      <c r="F10" s="11">
        <v>0</v>
      </c>
      <c r="G10" s="11">
        <f t="shared" si="2"/>
        <v>71.400000000000006</v>
      </c>
      <c r="H10" s="11">
        <f t="shared" si="3"/>
        <v>40.800000000000004</v>
      </c>
      <c r="I10" s="11">
        <f t="shared" si="0"/>
        <v>43.870967741935488</v>
      </c>
      <c r="J10" s="16">
        <v>25440</v>
      </c>
      <c r="K10" s="41">
        <f t="shared" si="1"/>
        <v>1.7244877257050113E-3</v>
      </c>
    </row>
    <row r="11" spans="1:13" x14ac:dyDescent="0.35">
      <c r="B11" s="10" t="s">
        <v>78</v>
      </c>
      <c r="C11" s="43">
        <f>SUM(C9:C10)</f>
        <v>87.9</v>
      </c>
      <c r="D11" s="43">
        <f t="shared" si="4"/>
        <v>54.009216589861751</v>
      </c>
      <c r="E11" s="43">
        <f t="shared" ref="E11:G11" si="5">SUM(E9:E10)</f>
        <v>234.27999999999997</v>
      </c>
      <c r="F11" s="43">
        <f t="shared" si="5"/>
        <v>43.680000000000007</v>
      </c>
      <c r="G11" s="43">
        <f t="shared" si="5"/>
        <v>277.95999999999998</v>
      </c>
      <c r="H11" s="46">
        <f t="shared" si="3"/>
        <v>158.8342857142857</v>
      </c>
      <c r="I11" s="46">
        <f t="shared" si="0"/>
        <v>170.78955453148998</v>
      </c>
      <c r="J11" s="44">
        <f>SUM(J9:J10)</f>
        <v>67819</v>
      </c>
      <c r="K11" s="45">
        <f t="shared" si="1"/>
        <v>2.5183142560564146E-3</v>
      </c>
    </row>
    <row r="12" spans="1:13" x14ac:dyDescent="0.35">
      <c r="B12" s="65" t="s">
        <v>1</v>
      </c>
      <c r="C12" s="9">
        <v>17.100000000000001</v>
      </c>
      <c r="D12" s="9">
        <f t="shared" si="4"/>
        <v>10.506912442396313</v>
      </c>
      <c r="E12" s="8">
        <v>21</v>
      </c>
      <c r="F12" s="8">
        <v>13.9</v>
      </c>
      <c r="G12" s="8">
        <f t="shared" si="2"/>
        <v>34.9</v>
      </c>
      <c r="H12" s="8">
        <f t="shared" si="3"/>
        <v>19.942857142857143</v>
      </c>
      <c r="I12" s="8">
        <f t="shared" si="0"/>
        <v>21.443932411674346</v>
      </c>
      <c r="J12" s="16">
        <v>4082</v>
      </c>
      <c r="K12" s="66">
        <f t="shared" si="1"/>
        <v>5.2532906447021917E-3</v>
      </c>
    </row>
    <row r="13" spans="1:13" x14ac:dyDescent="0.35">
      <c r="B13" s="65" t="s">
        <v>83</v>
      </c>
      <c r="C13" s="9">
        <v>6.6</v>
      </c>
      <c r="D13" s="9">
        <f t="shared" si="4"/>
        <v>4.0552995391705062</v>
      </c>
      <c r="E13" s="8">
        <v>13.3</v>
      </c>
      <c r="F13" s="8">
        <v>1.04</v>
      </c>
      <c r="G13" s="8">
        <f t="shared" si="2"/>
        <v>14.34</v>
      </c>
      <c r="H13" s="8">
        <f t="shared" si="3"/>
        <v>8.194285714285714</v>
      </c>
      <c r="I13" s="8">
        <f t="shared" si="0"/>
        <v>8.8110599078340996</v>
      </c>
      <c r="J13" s="16">
        <v>3089</v>
      </c>
      <c r="K13" s="66">
        <f t="shared" ref="K13:K28" si="6">I13/J13</f>
        <v>2.8523988047374879E-3</v>
      </c>
    </row>
    <row r="14" spans="1:13" x14ac:dyDescent="0.35">
      <c r="B14" s="65" t="s">
        <v>4</v>
      </c>
      <c r="C14" s="9">
        <v>3.6</v>
      </c>
      <c r="D14" s="9">
        <f t="shared" si="4"/>
        <v>2.2119815668202762</v>
      </c>
      <c r="E14" s="8">
        <v>7.3</v>
      </c>
      <c r="F14" s="8">
        <v>0.73</v>
      </c>
      <c r="G14" s="8">
        <f t="shared" si="2"/>
        <v>8.0299999999999994</v>
      </c>
      <c r="H14" s="8">
        <f>G14/H$3</f>
        <v>4.5885714285714281</v>
      </c>
      <c r="I14" s="8">
        <f t="shared" si="0"/>
        <v>4.933947772657449</v>
      </c>
      <c r="J14" s="16">
        <v>579</v>
      </c>
      <c r="K14" s="66">
        <f t="shared" si="6"/>
        <v>8.5214987437952482E-3</v>
      </c>
    </row>
    <row r="15" spans="1:13" x14ac:dyDescent="0.35">
      <c r="B15" s="7" t="s">
        <v>11</v>
      </c>
      <c r="C15" s="9">
        <v>0</v>
      </c>
      <c r="D15" s="9">
        <f t="shared" si="4"/>
        <v>0</v>
      </c>
      <c r="E15" s="8">
        <v>6.8</v>
      </c>
      <c r="F15" s="8">
        <v>0</v>
      </c>
      <c r="G15" s="8">
        <f t="shared" si="2"/>
        <v>6.8</v>
      </c>
      <c r="H15" s="8">
        <f t="shared" si="3"/>
        <v>3.8857142857142857</v>
      </c>
      <c r="I15" s="8">
        <f t="shared" si="0"/>
        <v>4.1781874039938556</v>
      </c>
      <c r="J15" s="16">
        <v>4232</v>
      </c>
      <c r="K15" s="41">
        <f t="shared" si="6"/>
        <v>9.8728435822161053E-4</v>
      </c>
    </row>
    <row r="16" spans="1:13" x14ac:dyDescent="0.35">
      <c r="B16" s="7" t="s">
        <v>12</v>
      </c>
      <c r="C16" s="9">
        <v>2.1</v>
      </c>
      <c r="D16" s="9">
        <f t="shared" si="4"/>
        <v>1.2903225806451613</v>
      </c>
      <c r="E16" s="8">
        <v>6</v>
      </c>
      <c r="F16" s="8">
        <v>0</v>
      </c>
      <c r="G16" s="8">
        <f t="shared" si="2"/>
        <v>6</v>
      </c>
      <c r="H16" s="8">
        <f t="shared" si="3"/>
        <v>3.4285714285714284</v>
      </c>
      <c r="I16" s="8">
        <f t="shared" si="0"/>
        <v>3.6866359447004604</v>
      </c>
      <c r="J16" s="16">
        <v>2138</v>
      </c>
      <c r="K16" s="41">
        <f t="shared" si="6"/>
        <v>1.7243386083725259E-3</v>
      </c>
    </row>
    <row r="17" spans="2:11" x14ac:dyDescent="0.35">
      <c r="B17" s="65" t="s">
        <v>3</v>
      </c>
      <c r="C17" s="9">
        <v>3</v>
      </c>
      <c r="D17" s="9">
        <f t="shared" si="4"/>
        <v>1.8433179723502302</v>
      </c>
      <c r="E17" s="8">
        <v>4.3</v>
      </c>
      <c r="F17" s="8">
        <v>15.65</v>
      </c>
      <c r="G17" s="8">
        <f t="shared" si="2"/>
        <v>19.95</v>
      </c>
      <c r="H17" s="8">
        <f t="shared" si="3"/>
        <v>11.4</v>
      </c>
      <c r="I17" s="8">
        <f t="shared" si="0"/>
        <v>12.258064516129032</v>
      </c>
      <c r="J17" s="16">
        <v>688</v>
      </c>
      <c r="K17" s="66">
        <f t="shared" si="6"/>
        <v>1.781695423855964E-2</v>
      </c>
    </row>
    <row r="18" spans="2:11" x14ac:dyDescent="0.35">
      <c r="B18" s="65" t="s">
        <v>19</v>
      </c>
      <c r="C18" s="9">
        <v>2.5</v>
      </c>
      <c r="D18" s="9">
        <f t="shared" si="4"/>
        <v>1.5360983102918586</v>
      </c>
      <c r="E18" s="8">
        <v>4.0999999999999996</v>
      </c>
      <c r="F18" s="8">
        <v>1.03</v>
      </c>
      <c r="G18" s="8">
        <f t="shared" si="2"/>
        <v>5.13</v>
      </c>
      <c r="H18" s="8">
        <f t="shared" si="3"/>
        <v>2.9314285714285715</v>
      </c>
      <c r="I18" s="8">
        <f t="shared" si="0"/>
        <v>3.1520737327188937</v>
      </c>
      <c r="J18" s="16">
        <v>1009</v>
      </c>
      <c r="K18" s="66">
        <f t="shared" si="6"/>
        <v>3.1239581097313117E-3</v>
      </c>
    </row>
    <row r="19" spans="2:11" x14ac:dyDescent="0.35">
      <c r="B19" s="65" t="s">
        <v>5</v>
      </c>
      <c r="C19" s="9">
        <v>3.5</v>
      </c>
      <c r="D19" s="9">
        <f t="shared" si="4"/>
        <v>2.150537634408602</v>
      </c>
      <c r="E19" s="8">
        <v>3.9</v>
      </c>
      <c r="F19" s="8">
        <v>0.49</v>
      </c>
      <c r="G19" s="8">
        <f t="shared" si="2"/>
        <v>4.3899999999999997</v>
      </c>
      <c r="H19" s="8">
        <f>G19/H$3</f>
        <v>2.5085714285714285</v>
      </c>
      <c r="I19" s="8">
        <f t="shared" si="0"/>
        <v>2.6973886328725034</v>
      </c>
      <c r="J19" s="16">
        <v>400</v>
      </c>
      <c r="K19" s="66">
        <f t="shared" si="6"/>
        <v>6.7434715821812589E-3</v>
      </c>
    </row>
    <row r="20" spans="2:11" x14ac:dyDescent="0.35">
      <c r="B20" s="65" t="s">
        <v>6</v>
      </c>
      <c r="C20" s="9">
        <v>1.9</v>
      </c>
      <c r="D20" s="9">
        <f t="shared" si="4"/>
        <v>1.1674347158218126</v>
      </c>
      <c r="E20" s="8">
        <v>2.8</v>
      </c>
      <c r="F20" s="8">
        <v>0.59</v>
      </c>
      <c r="G20" s="8">
        <f t="shared" si="2"/>
        <v>3.3899999999999997</v>
      </c>
      <c r="H20" s="8">
        <f t="shared" si="3"/>
        <v>1.9371428571428571</v>
      </c>
      <c r="I20" s="8">
        <f t="shared" si="0"/>
        <v>2.0829493087557602</v>
      </c>
      <c r="J20" s="16">
        <v>591</v>
      </c>
      <c r="K20" s="66">
        <f t="shared" si="6"/>
        <v>3.524448914984366E-3</v>
      </c>
    </row>
    <row r="21" spans="2:11" x14ac:dyDescent="0.35">
      <c r="B21" s="7" t="s">
        <v>13</v>
      </c>
      <c r="C21" s="9">
        <v>0</v>
      </c>
      <c r="D21" s="9">
        <f t="shared" si="4"/>
        <v>0</v>
      </c>
      <c r="E21" s="8">
        <v>2.2999999999999998</v>
      </c>
      <c r="F21" s="8">
        <v>1.5</v>
      </c>
      <c r="G21" s="8">
        <f t="shared" si="2"/>
        <v>3.8</v>
      </c>
      <c r="H21" s="8">
        <f t="shared" si="3"/>
        <v>2.1714285714285713</v>
      </c>
      <c r="I21" s="8">
        <f t="shared" si="0"/>
        <v>2.3348694316436247</v>
      </c>
      <c r="J21" s="16">
        <v>818</v>
      </c>
      <c r="K21" s="41">
        <f t="shared" si="6"/>
        <v>2.8543636083662892E-3</v>
      </c>
    </row>
    <row r="22" spans="2:11" x14ac:dyDescent="0.35">
      <c r="B22" s="7" t="s">
        <v>84</v>
      </c>
      <c r="C22" s="9">
        <v>0.5</v>
      </c>
      <c r="D22" s="9">
        <f t="shared" si="4"/>
        <v>0.3072196620583717</v>
      </c>
      <c r="E22" s="8">
        <v>1.71</v>
      </c>
      <c r="F22" s="8">
        <v>3.03</v>
      </c>
      <c r="G22" s="8">
        <f t="shared" si="2"/>
        <v>4.74</v>
      </c>
      <c r="H22" s="8">
        <f t="shared" si="3"/>
        <v>2.7085714285714286</v>
      </c>
      <c r="I22" s="8">
        <f t="shared" si="0"/>
        <v>2.9124423963133639</v>
      </c>
      <c r="J22" s="16">
        <v>2779</v>
      </c>
      <c r="K22" s="41">
        <f t="shared" si="6"/>
        <v>1.0480181346935458E-3</v>
      </c>
    </row>
    <row r="23" spans="2:11" x14ac:dyDescent="0.35">
      <c r="B23" s="65" t="s">
        <v>16</v>
      </c>
      <c r="C23" s="9">
        <v>1.4</v>
      </c>
      <c r="D23" s="9">
        <f t="shared" si="4"/>
        <v>0.86021505376344076</v>
      </c>
      <c r="E23" s="8">
        <v>1.66</v>
      </c>
      <c r="F23" s="8">
        <v>0.37</v>
      </c>
      <c r="G23" s="8">
        <f t="shared" si="2"/>
        <v>2.0299999999999998</v>
      </c>
      <c r="H23" s="8">
        <f t="shared" si="3"/>
        <v>1.1599999999999999</v>
      </c>
      <c r="I23" s="8">
        <f t="shared" si="0"/>
        <v>1.247311827956989</v>
      </c>
      <c r="J23" s="16">
        <v>283</v>
      </c>
      <c r="K23" s="66">
        <f t="shared" si="6"/>
        <v>4.4074622896006681E-3</v>
      </c>
    </row>
    <row r="24" spans="2:11" x14ac:dyDescent="0.35">
      <c r="B24" s="65" t="s">
        <v>17</v>
      </c>
      <c r="C24" s="9">
        <v>1.1000000000000001</v>
      </c>
      <c r="D24" s="9">
        <f t="shared" si="4"/>
        <v>0.67588325652841785</v>
      </c>
      <c r="E24" s="8">
        <v>1.49</v>
      </c>
      <c r="F24">
        <v>3.85</v>
      </c>
      <c r="G24" s="8">
        <f t="shared" si="2"/>
        <v>5.34</v>
      </c>
      <c r="H24" s="8">
        <f t="shared" si="3"/>
        <v>3.0514285714285712</v>
      </c>
      <c r="I24" s="8">
        <f t="shared" si="0"/>
        <v>3.2811059907834097</v>
      </c>
      <c r="J24" s="16">
        <v>291</v>
      </c>
      <c r="K24" s="66">
        <f t="shared" si="6"/>
        <v>1.1275278318843332E-2</v>
      </c>
    </row>
    <row r="25" spans="2:11" x14ac:dyDescent="0.35">
      <c r="B25" s="7" t="s">
        <v>18</v>
      </c>
      <c r="C25" s="9">
        <v>0.7</v>
      </c>
      <c r="D25" s="9">
        <f t="shared" si="4"/>
        <v>0.43010752688172038</v>
      </c>
      <c r="E25" s="8">
        <v>1.32</v>
      </c>
      <c r="F25" s="8">
        <v>1.5</v>
      </c>
      <c r="G25" s="8">
        <f t="shared" si="2"/>
        <v>2.8200000000000003</v>
      </c>
      <c r="H25" s="8">
        <f t="shared" si="3"/>
        <v>1.6114285714285717</v>
      </c>
      <c r="I25" s="8">
        <f t="shared" si="0"/>
        <v>1.7327188940092166</v>
      </c>
      <c r="J25" s="16">
        <v>2050</v>
      </c>
      <c r="K25" s="41">
        <f t="shared" si="6"/>
        <v>8.452287287849837E-4</v>
      </c>
    </row>
    <row r="26" spans="2:11" ht="15" thickBot="1" x14ac:dyDescent="0.4">
      <c r="B26" s="65" t="s">
        <v>81</v>
      </c>
      <c r="C26" s="73">
        <f>SUM(C7,C12:C14,C17:C20,C23:C24)</f>
        <v>40.700000000000003</v>
      </c>
      <c r="D26" s="73">
        <f t="shared" si="4"/>
        <v>25.007680491551461</v>
      </c>
      <c r="E26" s="73">
        <f>SUM(E7,E12:E14,E17:E20,E23:E24)</f>
        <v>144.75000000000003</v>
      </c>
      <c r="F26" s="73">
        <f>SUM(F7,F12:F14,F17:F20,F23:F24)</f>
        <v>37.650000000000006</v>
      </c>
      <c r="G26" s="73">
        <f>SUM(G7,G12:G14,G17:G20,G23:G24)</f>
        <v>182.39999999999998</v>
      </c>
      <c r="H26" s="74">
        <f t="shared" si="3"/>
        <v>104.22857142857141</v>
      </c>
      <c r="I26" s="75">
        <f t="shared" si="0"/>
        <v>112.07373271889399</v>
      </c>
      <c r="J26" s="73">
        <f>SUM(J7,J12:J14,J17:J20,J23:J24)-SUM(J12,J17,J19,J20,J23,J24)</f>
        <v>24027</v>
      </c>
      <c r="K26" s="76">
        <f t="shared" si="6"/>
        <v>4.6644913105628669E-3</v>
      </c>
    </row>
    <row r="27" spans="2:11" ht="15.5" thickTop="1" thickBot="1" x14ac:dyDescent="0.4">
      <c r="B27" s="21" t="s">
        <v>47</v>
      </c>
      <c r="C27" s="57"/>
      <c r="D27" s="57"/>
      <c r="E27" s="47" t="s">
        <v>35</v>
      </c>
      <c r="F27" s="47" t="s">
        <v>35</v>
      </c>
      <c r="G27" s="47" t="s">
        <v>35</v>
      </c>
      <c r="H27" s="56">
        <f>160*K3</f>
        <v>148.80000000000001</v>
      </c>
      <c r="I27" s="62">
        <f t="shared" si="0"/>
        <v>160</v>
      </c>
      <c r="J27" s="63">
        <v>2240</v>
      </c>
      <c r="K27" s="64">
        <f t="shared" si="6"/>
        <v>7.1428571428571425E-2</v>
      </c>
    </row>
    <row r="28" spans="2:11" ht="15" thickTop="1" x14ac:dyDescent="0.35">
      <c r="B28" s="15" t="s">
        <v>62</v>
      </c>
      <c r="C28" s="48" t="s">
        <v>35</v>
      </c>
      <c r="D28" s="48"/>
      <c r="E28" s="19"/>
      <c r="F28" s="19"/>
      <c r="G28" s="19"/>
      <c r="H28" s="49">
        <f>44*K3</f>
        <v>40.92</v>
      </c>
      <c r="I28" s="8">
        <f t="shared" si="0"/>
        <v>44</v>
      </c>
      <c r="J28" s="59">
        <v>161</v>
      </c>
      <c r="K28" s="41">
        <f t="shared" si="6"/>
        <v>0.27329192546583853</v>
      </c>
    </row>
    <row r="29" spans="2:11" x14ac:dyDescent="0.35">
      <c r="B29" s="7" t="s">
        <v>63</v>
      </c>
      <c r="C29" s="9">
        <f>C11</f>
        <v>87.9</v>
      </c>
      <c r="D29" s="9">
        <f t="shared" ref="D29" si="7">(C29*(1/K$3))/H$3</f>
        <v>54.009216589861751</v>
      </c>
      <c r="H29" s="9">
        <f>C29/H3</f>
        <v>50.228571428571435</v>
      </c>
      <c r="I29" s="8">
        <f t="shared" si="0"/>
        <v>54.009216589861758</v>
      </c>
      <c r="J29" s="51"/>
      <c r="K29" s="25"/>
    </row>
    <row r="30" spans="2:11" ht="15" thickBot="1" x14ac:dyDescent="0.4">
      <c r="B30" s="13" t="s">
        <v>64</v>
      </c>
      <c r="C30" s="14"/>
      <c r="D30" s="14"/>
      <c r="E30" s="14"/>
      <c r="F30" s="14"/>
      <c r="G30" s="14"/>
      <c r="H30" s="55">
        <f>SUM(H28:H29)</f>
        <v>91.148571428571444</v>
      </c>
      <c r="I30" s="61">
        <f t="shared" si="0"/>
        <v>98.009216589861765</v>
      </c>
      <c r="J30" s="17"/>
      <c r="K30" s="28"/>
    </row>
    <row r="31" spans="2:11" ht="15.5" thickTop="1" thickBot="1" x14ac:dyDescent="0.4">
      <c r="B31" s="21" t="s">
        <v>85</v>
      </c>
      <c r="C31" s="22"/>
      <c r="D31" s="22"/>
      <c r="E31" s="22"/>
      <c r="F31" s="22"/>
      <c r="G31" s="22"/>
      <c r="H31" s="22"/>
      <c r="I31" s="56">
        <f>I30-D10</f>
        <v>71.035330261136721</v>
      </c>
      <c r="J31" s="78"/>
      <c r="K31" s="77"/>
    </row>
    <row r="32" spans="2:11" ht="15" thickTop="1" x14ac:dyDescent="0.35"/>
    <row r="34" spans="2:11" ht="15" thickBot="1" x14ac:dyDescent="0.4">
      <c r="B34" s="3" t="s">
        <v>21</v>
      </c>
      <c r="C34" s="3"/>
      <c r="D34" s="3"/>
    </row>
    <row r="35" spans="2:11" ht="15" thickTop="1" x14ac:dyDescent="0.35">
      <c r="B35" s="5"/>
      <c r="C35" s="6" t="s">
        <v>22</v>
      </c>
      <c r="D35" s="6"/>
      <c r="E35" s="6" t="s">
        <v>57</v>
      </c>
      <c r="F35" s="6" t="s">
        <v>22</v>
      </c>
      <c r="G35" s="6" t="s">
        <v>59</v>
      </c>
      <c r="H35" s="6" t="s">
        <v>8</v>
      </c>
      <c r="I35" s="6" t="s">
        <v>8</v>
      </c>
      <c r="J35" s="15" t="s">
        <v>23</v>
      </c>
      <c r="K35" s="39" t="s">
        <v>33</v>
      </c>
    </row>
    <row r="36" spans="2:11" ht="15" thickBot="1" x14ac:dyDescent="0.4">
      <c r="B36" s="17"/>
      <c r="C36" s="18" t="s">
        <v>56</v>
      </c>
      <c r="D36" s="18"/>
      <c r="E36" s="18" t="s">
        <v>15</v>
      </c>
      <c r="F36" s="18" t="s">
        <v>58</v>
      </c>
      <c r="G36" s="18" t="s">
        <v>20</v>
      </c>
      <c r="H36" s="18" t="s">
        <v>72</v>
      </c>
      <c r="I36" s="18" t="s">
        <v>77</v>
      </c>
      <c r="J36" s="13" t="s">
        <v>60</v>
      </c>
      <c r="K36" s="40" t="s">
        <v>34</v>
      </c>
    </row>
    <row r="37" spans="2:11" ht="15" thickTop="1" x14ac:dyDescent="0.35">
      <c r="B37" s="72" t="s">
        <v>0</v>
      </c>
      <c r="C37" s="6"/>
      <c r="D37" s="6"/>
      <c r="E37" s="23" t="s">
        <v>25</v>
      </c>
      <c r="F37" s="23" t="s">
        <v>25</v>
      </c>
      <c r="G37" s="69" t="s">
        <v>24</v>
      </c>
      <c r="H37" s="69" t="s">
        <v>24</v>
      </c>
      <c r="I37" s="69" t="s">
        <v>24</v>
      </c>
      <c r="J37" s="29" t="s">
        <v>75</v>
      </c>
      <c r="K37" s="24" t="s">
        <v>36</v>
      </c>
    </row>
    <row r="38" spans="2:11" x14ac:dyDescent="0.35">
      <c r="B38" s="7" t="s">
        <v>9</v>
      </c>
      <c r="C38" s="70" t="s">
        <v>24</v>
      </c>
      <c r="D38" s="70"/>
      <c r="E38" s="70" t="s">
        <v>24</v>
      </c>
      <c r="F38" s="70" t="s">
        <v>24</v>
      </c>
      <c r="G38" s="70" t="s">
        <v>24</v>
      </c>
      <c r="H38" s="70" t="s">
        <v>24</v>
      </c>
      <c r="I38" s="70" t="s">
        <v>24</v>
      </c>
      <c r="J38" s="30" t="s">
        <v>36</v>
      </c>
      <c r="K38" s="25" t="s">
        <v>36</v>
      </c>
    </row>
    <row r="39" spans="2:11" x14ac:dyDescent="0.35">
      <c r="B39" s="10" t="s">
        <v>10</v>
      </c>
      <c r="C39" s="71" t="s">
        <v>24</v>
      </c>
      <c r="D39" s="71"/>
      <c r="E39" s="71" t="s">
        <v>24</v>
      </c>
      <c r="F39" s="71" t="s">
        <v>24</v>
      </c>
      <c r="G39" s="71" t="s">
        <v>24</v>
      </c>
      <c r="H39" s="71" t="s">
        <v>24</v>
      </c>
      <c r="I39" s="71" t="s">
        <v>24</v>
      </c>
      <c r="J39" s="35" t="s">
        <v>36</v>
      </c>
      <c r="K39" s="36" t="s">
        <v>36</v>
      </c>
    </row>
    <row r="40" spans="2:11" x14ac:dyDescent="0.35">
      <c r="B40" s="10" t="s">
        <v>7</v>
      </c>
      <c r="C40" s="34" t="s">
        <v>25</v>
      </c>
      <c r="D40" s="34"/>
      <c r="E40" s="37" t="s">
        <v>25</v>
      </c>
      <c r="F40" s="37" t="s">
        <v>25</v>
      </c>
      <c r="G40" s="71" t="s">
        <v>24</v>
      </c>
      <c r="H40" s="71" t="s">
        <v>24</v>
      </c>
      <c r="I40" s="71" t="s">
        <v>24</v>
      </c>
      <c r="J40" s="38" t="s">
        <v>37</v>
      </c>
      <c r="K40" s="36" t="s">
        <v>36</v>
      </c>
    </row>
    <row r="41" spans="2:11" x14ac:dyDescent="0.35">
      <c r="B41" s="65" t="s">
        <v>1</v>
      </c>
      <c r="C41" s="20" t="s">
        <v>25</v>
      </c>
      <c r="D41" s="20"/>
      <c r="E41" s="26" t="s">
        <v>25</v>
      </c>
      <c r="F41" s="26" t="s">
        <v>25</v>
      </c>
      <c r="G41" s="70" t="s">
        <v>24</v>
      </c>
      <c r="H41" s="70" t="s">
        <v>24</v>
      </c>
      <c r="I41" s="70" t="s">
        <v>24</v>
      </c>
      <c r="J41" s="31" t="s">
        <v>38</v>
      </c>
      <c r="K41" s="25" t="s">
        <v>36</v>
      </c>
    </row>
    <row r="42" spans="2:11" x14ac:dyDescent="0.35">
      <c r="B42" s="65" t="s">
        <v>2</v>
      </c>
      <c r="C42" s="20" t="s">
        <v>25</v>
      </c>
      <c r="D42" s="20"/>
      <c r="E42" s="26" t="s">
        <v>25</v>
      </c>
      <c r="F42" s="26" t="s">
        <v>25</v>
      </c>
      <c r="G42" s="70" t="s">
        <v>24</v>
      </c>
      <c r="H42" s="70" t="s">
        <v>24</v>
      </c>
      <c r="I42" s="70" t="s">
        <v>24</v>
      </c>
      <c r="J42" s="31" t="s">
        <v>39</v>
      </c>
      <c r="K42" s="25" t="s">
        <v>36</v>
      </c>
    </row>
    <row r="43" spans="2:11" x14ac:dyDescent="0.35">
      <c r="B43" s="65" t="s">
        <v>4</v>
      </c>
      <c r="C43" s="20" t="s">
        <v>25</v>
      </c>
      <c r="D43" s="20"/>
      <c r="E43" s="26" t="s">
        <v>25</v>
      </c>
      <c r="F43" s="26" t="s">
        <v>25</v>
      </c>
      <c r="G43" s="70" t="s">
        <v>24</v>
      </c>
      <c r="H43" s="70" t="s">
        <v>24</v>
      </c>
      <c r="I43" s="70" t="s">
        <v>24</v>
      </c>
      <c r="J43" s="31" t="s">
        <v>40</v>
      </c>
      <c r="K43" s="25" t="s">
        <v>36</v>
      </c>
    </row>
    <row r="44" spans="2:11" x14ac:dyDescent="0.35">
      <c r="B44" s="7" t="s">
        <v>11</v>
      </c>
      <c r="C44" s="20" t="s">
        <v>25</v>
      </c>
      <c r="D44" s="20"/>
      <c r="E44" s="26" t="s">
        <v>25</v>
      </c>
      <c r="F44" s="26" t="s">
        <v>25</v>
      </c>
      <c r="G44" s="70" t="s">
        <v>24</v>
      </c>
      <c r="H44" s="70" t="s">
        <v>24</v>
      </c>
      <c r="I44" s="70" t="s">
        <v>24</v>
      </c>
      <c r="J44" s="31" t="s">
        <v>41</v>
      </c>
      <c r="K44" s="25" t="s">
        <v>36</v>
      </c>
    </row>
    <row r="45" spans="2:11" x14ac:dyDescent="0.35">
      <c r="B45" s="7" t="s">
        <v>12</v>
      </c>
      <c r="C45" s="20" t="s">
        <v>25</v>
      </c>
      <c r="D45" s="20"/>
      <c r="E45" s="26" t="s">
        <v>25</v>
      </c>
      <c r="F45" s="26" t="s">
        <v>25</v>
      </c>
      <c r="G45" s="70" t="s">
        <v>24</v>
      </c>
      <c r="H45" s="70" t="s">
        <v>24</v>
      </c>
      <c r="I45" s="70" t="s">
        <v>24</v>
      </c>
      <c r="J45" s="31" t="s">
        <v>43</v>
      </c>
      <c r="K45" s="25" t="s">
        <v>36</v>
      </c>
    </row>
    <row r="46" spans="2:11" x14ac:dyDescent="0.35">
      <c r="B46" s="65" t="s">
        <v>3</v>
      </c>
      <c r="C46" s="20" t="s">
        <v>25</v>
      </c>
      <c r="D46" s="20"/>
      <c r="E46" s="26" t="s">
        <v>25</v>
      </c>
      <c r="F46" s="26" t="s">
        <v>25</v>
      </c>
      <c r="G46" s="70" t="s">
        <v>24</v>
      </c>
      <c r="H46" s="70" t="s">
        <v>24</v>
      </c>
      <c r="I46" s="70" t="s">
        <v>24</v>
      </c>
      <c r="J46" s="31" t="s">
        <v>44</v>
      </c>
      <c r="K46" s="25" t="s">
        <v>36</v>
      </c>
    </row>
    <row r="47" spans="2:11" x14ac:dyDescent="0.35">
      <c r="B47" s="65" t="s">
        <v>19</v>
      </c>
      <c r="C47" s="20" t="s">
        <v>25</v>
      </c>
      <c r="D47" s="20"/>
      <c r="E47" s="26" t="s">
        <v>25</v>
      </c>
      <c r="F47" s="26" t="s">
        <v>25</v>
      </c>
      <c r="G47" s="70" t="s">
        <v>24</v>
      </c>
      <c r="H47" s="70" t="s">
        <v>24</v>
      </c>
      <c r="I47" s="70" t="s">
        <v>24</v>
      </c>
      <c r="J47" s="31" t="s">
        <v>45</v>
      </c>
      <c r="K47" s="25" t="s">
        <v>36</v>
      </c>
    </row>
    <row r="48" spans="2:11" x14ac:dyDescent="0.35">
      <c r="B48" s="65" t="s">
        <v>5</v>
      </c>
      <c r="C48" s="20" t="s">
        <v>25</v>
      </c>
      <c r="D48" s="20"/>
      <c r="E48" s="26" t="s">
        <v>25</v>
      </c>
      <c r="F48" s="26" t="s">
        <v>25</v>
      </c>
      <c r="G48" s="70" t="s">
        <v>24</v>
      </c>
      <c r="H48" s="70" t="s">
        <v>24</v>
      </c>
      <c r="I48" s="70" t="s">
        <v>24</v>
      </c>
      <c r="J48" s="31" t="s">
        <v>46</v>
      </c>
      <c r="K48" s="25" t="s">
        <v>36</v>
      </c>
    </row>
    <row r="49" spans="2:11" x14ac:dyDescent="0.35">
      <c r="B49" s="7" t="s">
        <v>6</v>
      </c>
      <c r="C49" s="20" t="s">
        <v>25</v>
      </c>
      <c r="D49" s="20"/>
      <c r="E49" s="26" t="s">
        <v>25</v>
      </c>
      <c r="F49" s="26" t="s">
        <v>25</v>
      </c>
      <c r="G49" s="70" t="s">
        <v>24</v>
      </c>
      <c r="H49" s="70" t="s">
        <v>24</v>
      </c>
      <c r="I49" s="70" t="s">
        <v>24</v>
      </c>
      <c r="J49" s="31" t="s">
        <v>48</v>
      </c>
      <c r="K49" s="25" t="s">
        <v>36</v>
      </c>
    </row>
    <row r="50" spans="2:11" x14ac:dyDescent="0.35">
      <c r="B50" s="7" t="s">
        <v>13</v>
      </c>
      <c r="C50" s="20" t="s">
        <v>25</v>
      </c>
      <c r="D50" s="20"/>
      <c r="E50" s="26" t="s">
        <v>25</v>
      </c>
      <c r="F50" s="26" t="s">
        <v>25</v>
      </c>
      <c r="G50" s="70" t="s">
        <v>24</v>
      </c>
      <c r="H50" s="70" t="s">
        <v>24</v>
      </c>
      <c r="I50" s="70" t="s">
        <v>24</v>
      </c>
      <c r="J50" s="31" t="s">
        <v>49</v>
      </c>
      <c r="K50" s="25" t="s">
        <v>36</v>
      </c>
    </row>
    <row r="51" spans="2:11" x14ac:dyDescent="0.35">
      <c r="B51" s="7" t="s">
        <v>14</v>
      </c>
      <c r="C51" s="20" t="s">
        <v>25</v>
      </c>
      <c r="D51" s="20"/>
      <c r="E51" s="26" t="s">
        <v>25</v>
      </c>
      <c r="F51" s="26" t="s">
        <v>25</v>
      </c>
      <c r="G51" s="70" t="s">
        <v>24</v>
      </c>
      <c r="H51" s="70" t="s">
        <v>24</v>
      </c>
      <c r="I51" s="70" t="s">
        <v>24</v>
      </c>
      <c r="J51" s="31" t="s">
        <v>50</v>
      </c>
      <c r="K51" s="25" t="s">
        <v>36</v>
      </c>
    </row>
    <row r="52" spans="2:11" x14ac:dyDescent="0.35">
      <c r="B52" s="7" t="s">
        <v>16</v>
      </c>
      <c r="C52" s="20" t="s">
        <v>25</v>
      </c>
      <c r="D52" s="20"/>
      <c r="E52" s="26" t="s">
        <v>25</v>
      </c>
      <c r="F52" s="26" t="s">
        <v>25</v>
      </c>
      <c r="G52" s="70" t="s">
        <v>24</v>
      </c>
      <c r="H52" s="70" t="s">
        <v>24</v>
      </c>
      <c r="I52" s="70" t="s">
        <v>24</v>
      </c>
      <c r="J52" s="31" t="s">
        <v>51</v>
      </c>
      <c r="K52" s="25" t="s">
        <v>36</v>
      </c>
    </row>
    <row r="53" spans="2:11" x14ac:dyDescent="0.35">
      <c r="B53" s="7" t="s">
        <v>17</v>
      </c>
      <c r="C53" s="20" t="s">
        <v>25</v>
      </c>
      <c r="D53" s="20"/>
      <c r="E53" s="26" t="s">
        <v>25</v>
      </c>
      <c r="F53" s="26" t="s">
        <v>25</v>
      </c>
      <c r="G53" s="70" t="s">
        <v>24</v>
      </c>
      <c r="H53" s="70" t="s">
        <v>24</v>
      </c>
      <c r="I53" s="70" t="s">
        <v>24</v>
      </c>
      <c r="J53" s="31" t="s">
        <v>52</v>
      </c>
      <c r="K53" s="25" t="s">
        <v>36</v>
      </c>
    </row>
    <row r="54" spans="2:11" ht="15" thickBot="1" x14ac:dyDescent="0.4">
      <c r="B54" s="13" t="s">
        <v>18</v>
      </c>
      <c r="C54" s="20" t="s">
        <v>25</v>
      </c>
      <c r="D54" s="20"/>
      <c r="E54" s="27" t="s">
        <v>25</v>
      </c>
      <c r="F54" s="27" t="s">
        <v>25</v>
      </c>
      <c r="G54" s="68" t="s">
        <v>24</v>
      </c>
      <c r="H54" s="68" t="s">
        <v>24</v>
      </c>
      <c r="I54" s="68" t="s">
        <v>24</v>
      </c>
      <c r="J54" s="32" t="s">
        <v>53</v>
      </c>
      <c r="K54" s="28" t="s">
        <v>36</v>
      </c>
    </row>
    <row r="55" spans="2:11" ht="15.5" thickTop="1" thickBot="1" x14ac:dyDescent="0.4">
      <c r="B55" s="65" t="s">
        <v>81</v>
      </c>
      <c r="C55" s="68" t="s">
        <v>24</v>
      </c>
      <c r="D55" s="68" t="s">
        <v>24</v>
      </c>
      <c r="E55" s="68" t="s">
        <v>24</v>
      </c>
      <c r="F55" s="68" t="s">
        <v>24</v>
      </c>
      <c r="G55" s="68" t="s">
        <v>24</v>
      </c>
      <c r="H55" s="68" t="s">
        <v>24</v>
      </c>
      <c r="I55" s="68" t="s">
        <v>24</v>
      </c>
      <c r="J55" s="67" t="s">
        <v>36</v>
      </c>
      <c r="K55" s="28" t="s">
        <v>36</v>
      </c>
    </row>
    <row r="56" spans="2:11" ht="15.5" thickTop="1" thickBot="1" x14ac:dyDescent="0.4">
      <c r="B56" s="21" t="s">
        <v>47</v>
      </c>
      <c r="C56" s="33" t="s">
        <v>54</v>
      </c>
      <c r="D56" s="33"/>
      <c r="E56" s="22" t="s">
        <v>35</v>
      </c>
      <c r="F56" s="22"/>
      <c r="G56" s="22"/>
      <c r="H56" s="54" t="s">
        <v>67</v>
      </c>
      <c r="I56" s="54"/>
      <c r="J56" s="60" t="s">
        <v>55</v>
      </c>
      <c r="K56" s="28" t="s">
        <v>36</v>
      </c>
    </row>
    <row r="57" spans="2:11" ht="15" thickTop="1" x14ac:dyDescent="0.35">
      <c r="B57" s="15" t="s">
        <v>62</v>
      </c>
      <c r="C57" s="48"/>
      <c r="D57" s="48"/>
      <c r="E57" s="19"/>
      <c r="F57" s="19"/>
      <c r="G57" s="19"/>
      <c r="H57" s="52" t="s">
        <v>65</v>
      </c>
      <c r="I57" s="52"/>
      <c r="J57" s="29" t="s">
        <v>73</v>
      </c>
      <c r="K57" s="24" t="s">
        <v>36</v>
      </c>
    </row>
    <row r="58" spans="2:11" x14ac:dyDescent="0.35">
      <c r="B58" s="7" t="s">
        <v>63</v>
      </c>
      <c r="C58" s="58" t="s">
        <v>66</v>
      </c>
      <c r="D58" s="58" t="s">
        <v>36</v>
      </c>
      <c r="H58" s="53" t="s">
        <v>36</v>
      </c>
      <c r="I58" s="53"/>
      <c r="J58" s="51" t="s">
        <v>35</v>
      </c>
      <c r="K58" s="25"/>
    </row>
    <row r="59" spans="2:11" ht="15" thickBot="1" x14ac:dyDescent="0.4">
      <c r="B59" s="13" t="s">
        <v>64</v>
      </c>
      <c r="C59" s="14"/>
      <c r="D59" s="14"/>
      <c r="E59" s="14"/>
      <c r="F59" s="14"/>
      <c r="G59" s="14"/>
      <c r="H59" s="50" t="s">
        <v>36</v>
      </c>
      <c r="I59" s="50"/>
      <c r="J59" s="17"/>
      <c r="K59" s="28"/>
    </row>
    <row r="60" spans="2:11" ht="15" thickTop="1" x14ac:dyDescent="0.35"/>
  </sheetData>
  <hyperlinks>
    <hyperlink ref="E37" r:id="rId1" xr:uid="{C53CBA6F-AB57-4D46-B843-83F696AA224C}"/>
    <hyperlink ref="F37" r:id="rId2" xr:uid="{381463F3-93AF-4B73-BAC4-B3DF9AB19950}"/>
    <hyperlink ref="E40" r:id="rId3" xr:uid="{43B80D13-A428-494F-B1AC-1CBFA419E2AB}"/>
    <hyperlink ref="F40" r:id="rId4" xr:uid="{1BA59BEA-87F1-4147-9BDF-89A118EB2C50}"/>
    <hyperlink ref="E41:E54" r:id="rId5" display="https://www.ifw-kiel.de/topics/war-against-ukraine/ukraine-support-tracker/" xr:uid="{CF121361-B350-4C1C-8D2D-AD7066942F6D}"/>
    <hyperlink ref="F41:F54" r:id="rId6" display="https://www.ifw-kiel.de/topics/war-against-ukraine/ukraine-support-tracker/" xr:uid="{6DF7C0F7-C4E5-499D-8DD6-B598BB4799E7}"/>
    <hyperlink ref="F54" r:id="rId7" xr:uid="{2FF52A1B-D3F6-42F3-A4AF-C2960EC559B9}"/>
    <hyperlink ref="M2" r:id="rId8" xr:uid="{380927E2-0A4B-4A00-ABDD-75D91CF6FD06}"/>
    <hyperlink ref="J40" r:id="rId9" xr:uid="{1699FD11-969B-482F-A97D-565F240DA15E}"/>
    <hyperlink ref="J41" r:id="rId10" xr:uid="{71B1E3F3-47D1-4852-8143-FF2C86C07E25}"/>
    <hyperlink ref="J42" r:id="rId11" xr:uid="{EB9E93D5-C319-4E8F-9DA1-530523589AB3}"/>
    <hyperlink ref="J43" r:id="rId12" xr:uid="{5C35BDDB-4E45-4A78-9273-5737121F3F8F}"/>
    <hyperlink ref="J44" r:id="rId13" xr:uid="{72331938-4162-4E7C-B055-6296F78166C9}"/>
    <hyperlink ref="J45" r:id="rId14" xr:uid="{C0519665-F6E4-4C2C-BC2F-4549FCAE1A2F}"/>
    <hyperlink ref="J46" r:id="rId15" xr:uid="{BAE2FAFF-8A15-40D4-BF5A-AC4B2161A512}"/>
    <hyperlink ref="J47" r:id="rId16" xr:uid="{A5EAD438-7758-4367-9FE8-CFF9A33C3018}"/>
    <hyperlink ref="J48" r:id="rId17" xr:uid="{D53E14E4-C9C8-4952-AE1C-A299EA028C6F}"/>
    <hyperlink ref="J49" r:id="rId18" xr:uid="{4B888A37-6862-46F6-B62D-E93879C0DE6E}"/>
    <hyperlink ref="J50" r:id="rId19" xr:uid="{6A33CF34-2919-4255-A2D2-9BAD3B69479A}"/>
    <hyperlink ref="J51" r:id="rId20" xr:uid="{10B604DE-3216-4585-BA77-5723760DA247}"/>
    <hyperlink ref="J52" r:id="rId21" xr:uid="{2897ECC8-5919-4293-9806-85B2810CCDE4}"/>
    <hyperlink ref="J53" r:id="rId22" xr:uid="{877FB08D-61EE-4E83-8553-337637574B99}"/>
    <hyperlink ref="J54" r:id="rId23" xr:uid="{B2D7AB37-7C5C-4F59-9BA6-39A0927CBA24}"/>
    <hyperlink ref="C56" r:id="rId24" xr:uid="{BB5D330E-33EA-4014-A325-DEA59228906C}"/>
    <hyperlink ref="C40" r:id="rId25" xr:uid="{1F85E3F6-6C41-4CC6-A0B6-7EA44DC18307}"/>
    <hyperlink ref="C41:C54" r:id="rId26" display="https://www.ifw-kiel.de/topics/war-against-ukraine/ukraine-support-tracker/" xr:uid="{EC12049E-19F5-492D-8733-0A1DA52CF1B5}"/>
    <hyperlink ref="H57" r:id="rId27" xr:uid="{61FB4EEB-9570-4464-BF6E-731D4B35D860}"/>
    <hyperlink ref="H56" r:id="rId28" xr:uid="{9F1067ED-92FA-4B61-BC6E-50A8D6713DF6}"/>
    <hyperlink ref="J56" r:id="rId29" xr:uid="{3D721CB3-C3A6-4722-8652-2E0D66EBA2DE}"/>
    <hyperlink ref="J57" r:id="rId30" xr:uid="{FEC595D5-0C7E-4F07-9503-11A521888282}"/>
    <hyperlink ref="J37" r:id="rId31" xr:uid="{5D0F0A0F-B341-440B-9DC2-F2C4D7F77320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B5E-CF0C-422E-AA40-D05BC4CCEDC8}">
  <dimension ref="A1:V77"/>
  <sheetViews>
    <sheetView zoomScale="154" zoomScaleNormal="154" workbookViewId="0">
      <selection activeCell="B1" sqref="B1"/>
    </sheetView>
  </sheetViews>
  <sheetFormatPr defaultRowHeight="14.5" x14ac:dyDescent="0.35"/>
  <cols>
    <col min="1" max="1" width="1" customWidth="1"/>
    <col min="2" max="2" width="26.453125" customWidth="1"/>
    <col min="3" max="3" width="19.36328125" customWidth="1"/>
    <col min="4" max="4" width="17.36328125" customWidth="1"/>
    <col min="5" max="5" width="10.453125" customWidth="1"/>
    <col min="6" max="6" width="11.7265625" customWidth="1"/>
    <col min="7" max="7" width="12" customWidth="1"/>
    <col min="8" max="8" width="9.81640625" customWidth="1"/>
    <col min="9" max="9" width="10" customWidth="1"/>
    <col min="10" max="13" width="8.36328125" customWidth="1"/>
    <col min="14" max="14" width="8.7265625" customWidth="1"/>
    <col min="15" max="16" width="7.54296875" customWidth="1"/>
    <col min="17" max="17" width="100.7265625" customWidth="1"/>
    <col min="18" max="18" width="28.1796875" customWidth="1"/>
    <col min="19" max="21" width="12.54296875" customWidth="1"/>
  </cols>
  <sheetData>
    <row r="1" spans="1:21" ht="28.5" x14ac:dyDescent="0.65">
      <c r="A1" s="1" t="s">
        <v>173</v>
      </c>
    </row>
    <row r="2" spans="1:21" x14ac:dyDescent="0.35">
      <c r="F2" t="s">
        <v>26</v>
      </c>
      <c r="G2" t="s">
        <v>27</v>
      </c>
      <c r="M2" t="s">
        <v>30</v>
      </c>
      <c r="O2" s="4" t="s">
        <v>31</v>
      </c>
      <c r="P2" s="4"/>
      <c r="Q2" s="4"/>
    </row>
    <row r="3" spans="1:21" x14ac:dyDescent="0.35">
      <c r="F3">
        <f>(11+12+0.5)/12</f>
        <v>1.9583333333333333</v>
      </c>
      <c r="G3" t="s">
        <v>28</v>
      </c>
      <c r="J3">
        <v>0.93</v>
      </c>
      <c r="M3" t="s">
        <v>29</v>
      </c>
      <c r="O3" t="s">
        <v>32</v>
      </c>
    </row>
    <row r="4" spans="1:21" ht="24" thickBot="1" x14ac:dyDescent="0.6">
      <c r="B4" s="2" t="s">
        <v>175</v>
      </c>
      <c r="C4" s="2"/>
      <c r="E4" s="2"/>
      <c r="R4" s="2" t="str">
        <f>B4</f>
        <v>Top 15 donar countries plus EU supporting Ukraine</v>
      </c>
      <c r="S4" s="2"/>
      <c r="T4" s="2"/>
    </row>
    <row r="5" spans="1:21" ht="15" thickTop="1" x14ac:dyDescent="0.35">
      <c r="B5" s="5"/>
      <c r="C5" s="237" t="s">
        <v>169</v>
      </c>
      <c r="D5" s="238"/>
      <c r="E5" s="15" t="s">
        <v>8</v>
      </c>
      <c r="F5" s="6" t="s">
        <v>8</v>
      </c>
      <c r="G5" s="15" t="s">
        <v>23</v>
      </c>
      <c r="H5" s="6" t="s">
        <v>251</v>
      </c>
      <c r="I5" s="15" t="s">
        <v>166</v>
      </c>
      <c r="J5" s="39" t="s">
        <v>166</v>
      </c>
      <c r="K5" s="239" t="s">
        <v>96</v>
      </c>
      <c r="L5" s="239"/>
      <c r="M5" s="237"/>
      <c r="N5" s="240"/>
      <c r="O5" s="163" t="s">
        <v>243</v>
      </c>
      <c r="P5" s="103"/>
      <c r="Q5" s="146"/>
      <c r="R5" s="137"/>
      <c r="S5" s="6" t="str">
        <f>C5</f>
        <v>Jan. 24, 2022 to Jan. 15 2024 in billion EUR</v>
      </c>
      <c r="T5" s="6"/>
      <c r="U5" s="39"/>
    </row>
    <row r="6" spans="1:21" x14ac:dyDescent="0.35">
      <c r="B6" s="51"/>
      <c r="C6" s="7" t="s">
        <v>161</v>
      </c>
      <c r="D6" s="3" t="s">
        <v>167</v>
      </c>
      <c r="E6" s="7" t="s">
        <v>161</v>
      </c>
      <c r="F6" s="3" t="s">
        <v>164</v>
      </c>
      <c r="G6" s="7" t="s">
        <v>165</v>
      </c>
      <c r="H6" s="3" t="s">
        <v>258</v>
      </c>
      <c r="I6" s="7" t="s">
        <v>171</v>
      </c>
      <c r="J6" s="140" t="s">
        <v>170</v>
      </c>
      <c r="K6" s="7"/>
      <c r="L6" s="3"/>
      <c r="M6" s="3"/>
      <c r="N6" s="140" t="s">
        <v>172</v>
      </c>
      <c r="O6" s="165" t="s">
        <v>174</v>
      </c>
      <c r="P6" s="141"/>
      <c r="Q6" s="146"/>
      <c r="R6" s="123"/>
      <c r="S6" s="3"/>
      <c r="T6" s="3"/>
      <c r="U6" s="140"/>
    </row>
    <row r="7" spans="1:21" ht="15" thickBot="1" x14ac:dyDescent="0.4">
      <c r="B7" s="17"/>
      <c r="C7" s="13"/>
      <c r="D7" s="18" t="s">
        <v>168</v>
      </c>
      <c r="E7" s="13" t="s">
        <v>162</v>
      </c>
      <c r="F7" s="18" t="s">
        <v>162</v>
      </c>
      <c r="G7" s="13" t="s">
        <v>162</v>
      </c>
      <c r="H7" s="18" t="s">
        <v>252</v>
      </c>
      <c r="I7" s="13" t="s">
        <v>34</v>
      </c>
      <c r="J7" s="40" t="s">
        <v>34</v>
      </c>
      <c r="K7" s="13">
        <v>2021</v>
      </c>
      <c r="L7" s="18">
        <v>2022</v>
      </c>
      <c r="M7" s="18">
        <v>2023</v>
      </c>
      <c r="N7" s="40">
        <v>2024</v>
      </c>
      <c r="O7" s="13">
        <v>2023</v>
      </c>
      <c r="P7" s="40">
        <v>2024</v>
      </c>
      <c r="Q7" s="140"/>
      <c r="R7" s="112"/>
      <c r="S7" s="18" t="s">
        <v>87</v>
      </c>
      <c r="T7" s="18" t="s">
        <v>88</v>
      </c>
      <c r="U7" s="40" t="s">
        <v>163</v>
      </c>
    </row>
    <row r="8" spans="1:21" ht="15" thickTop="1" x14ac:dyDescent="0.35">
      <c r="B8" s="7" t="s">
        <v>42</v>
      </c>
      <c r="C8" s="150">
        <v>5.6</v>
      </c>
      <c r="D8" s="9">
        <f t="shared" ref="D8:D23" si="0">C8+S8+T8</f>
        <v>85.009999999999991</v>
      </c>
      <c r="E8" s="16">
        <f t="shared" ref="E8:E23" si="1">(C8*(1/J$3))/F$3</f>
        <v>3.0748112560054905</v>
      </c>
      <c r="F8" s="8">
        <f t="shared" ref="F8:F23" si="2">(D8/F$3)*(1/J$3)</f>
        <v>46.676733013040483</v>
      </c>
      <c r="G8" s="99">
        <v>19350</v>
      </c>
      <c r="H8" s="176">
        <v>448.4</v>
      </c>
      <c r="I8" s="94">
        <f>E8/G8</f>
        <v>1.5890497447056798E-4</v>
      </c>
      <c r="J8" s="41">
        <f>F8/G8</f>
        <v>2.412234264239818E-3</v>
      </c>
      <c r="K8" s="124" t="s">
        <v>35</v>
      </c>
      <c r="L8" s="125" t="s">
        <v>35</v>
      </c>
      <c r="M8" s="126" t="s">
        <v>35</v>
      </c>
      <c r="N8" s="164" t="s">
        <v>35</v>
      </c>
      <c r="O8" s="170">
        <f>E8</f>
        <v>3.0748112560054905</v>
      </c>
      <c r="P8" s="166">
        <f>E8</f>
        <v>3.0748112560054905</v>
      </c>
      <c r="Q8" s="166"/>
      <c r="R8" s="138" t="s">
        <v>42</v>
      </c>
      <c r="S8" s="58">
        <v>77.2</v>
      </c>
      <c r="T8" s="58">
        <v>2.21</v>
      </c>
      <c r="U8" s="142">
        <v>0</v>
      </c>
    </row>
    <row r="9" spans="1:21" x14ac:dyDescent="0.35">
      <c r="B9" s="7" t="s">
        <v>130</v>
      </c>
      <c r="C9" s="16">
        <v>42.2</v>
      </c>
      <c r="D9" s="8">
        <f t="shared" si="0"/>
        <v>67.650000000000006</v>
      </c>
      <c r="E9" s="44">
        <f t="shared" si="1"/>
        <v>23.170899107755663</v>
      </c>
      <c r="F9" s="8">
        <f t="shared" si="2"/>
        <v>37.144818119423469</v>
      </c>
      <c r="G9" s="99">
        <v>25440</v>
      </c>
      <c r="H9" s="176">
        <v>335</v>
      </c>
      <c r="I9" s="94">
        <f t="shared" ref="I9:I26" si="3">E9/G9</f>
        <v>9.1080578253756534E-4</v>
      </c>
      <c r="J9" s="41">
        <f t="shared" ref="J9:J23" si="4">F9/G9</f>
        <v>1.46009505186413E-3</v>
      </c>
      <c r="K9" s="94">
        <v>3.4599999999999999E-2</v>
      </c>
      <c r="L9" s="96">
        <v>3.4599999999999999E-2</v>
      </c>
      <c r="M9" s="96">
        <v>3.49E-2</v>
      </c>
      <c r="N9" s="41">
        <v>3.5000000000000003E-2</v>
      </c>
      <c r="O9" s="99">
        <f>G9*M9</f>
        <v>887.85599999999999</v>
      </c>
      <c r="P9" s="167">
        <f>N9*G9</f>
        <v>890.40000000000009</v>
      </c>
      <c r="Q9" s="167"/>
      <c r="R9" s="104" t="s">
        <v>130</v>
      </c>
      <c r="S9" s="9">
        <v>24</v>
      </c>
      <c r="T9" s="9">
        <v>1.45</v>
      </c>
      <c r="U9" s="142">
        <v>0</v>
      </c>
    </row>
    <row r="10" spans="1:21" x14ac:dyDescent="0.35">
      <c r="B10" s="65" t="s">
        <v>139</v>
      </c>
      <c r="C10" s="16">
        <v>17.7</v>
      </c>
      <c r="D10" s="9">
        <f t="shared" si="0"/>
        <v>22.06</v>
      </c>
      <c r="E10" s="16">
        <f t="shared" si="1"/>
        <v>9.7185998627316401</v>
      </c>
      <c r="F10" s="8">
        <f t="shared" si="2"/>
        <v>12.112560054907343</v>
      </c>
      <c r="G10" s="99">
        <v>4082</v>
      </c>
      <c r="H10" s="176">
        <v>84.8</v>
      </c>
      <c r="I10" s="94">
        <f t="shared" si="3"/>
        <v>2.3808426905271044E-3</v>
      </c>
      <c r="J10" s="66">
        <f t="shared" si="4"/>
        <v>2.9673101555383005E-3</v>
      </c>
      <c r="K10" s="94">
        <v>1.3299999999999999E-2</v>
      </c>
      <c r="L10" s="96">
        <v>1.3899999999999999E-2</v>
      </c>
      <c r="M10" s="96">
        <v>1.5699999999999999E-2</v>
      </c>
      <c r="N10" s="41">
        <v>1.77E-2</v>
      </c>
      <c r="O10" s="99">
        <f>G10*M10</f>
        <v>64.087399999999988</v>
      </c>
      <c r="P10" s="167">
        <f t="shared" ref="P10:P23" si="5">N10*G10</f>
        <v>72.251400000000004</v>
      </c>
      <c r="Q10" s="167"/>
      <c r="R10" s="138" t="s">
        <v>139</v>
      </c>
      <c r="S10" s="9">
        <v>1.41</v>
      </c>
      <c r="T10" s="9">
        <v>2.95</v>
      </c>
      <c r="U10" s="142">
        <v>21.44</v>
      </c>
    </row>
    <row r="11" spans="1:21" x14ac:dyDescent="0.35">
      <c r="B11" s="65" t="s">
        <v>111</v>
      </c>
      <c r="C11" s="16">
        <v>9.1</v>
      </c>
      <c r="D11" s="9">
        <f t="shared" si="0"/>
        <v>15.7</v>
      </c>
      <c r="E11" s="16">
        <f t="shared" si="1"/>
        <v>4.9965682910089217</v>
      </c>
      <c r="F11" s="8">
        <f t="shared" si="2"/>
        <v>8.620452985586823</v>
      </c>
      <c r="G11" s="99">
        <v>3089</v>
      </c>
      <c r="H11" s="176">
        <v>68.11</v>
      </c>
      <c r="I11" s="94">
        <f t="shared" si="3"/>
        <v>1.6175358663026616E-3</v>
      </c>
      <c r="J11" s="66">
        <f t="shared" si="4"/>
        <v>2.79069374735734E-3</v>
      </c>
      <c r="K11" s="94">
        <v>2.1600000000000001E-2</v>
      </c>
      <c r="L11" s="96">
        <v>2.23E-2</v>
      </c>
      <c r="M11" s="96">
        <v>2.07E-2</v>
      </c>
      <c r="N11" s="41">
        <v>2.1000000000000001E-2</v>
      </c>
      <c r="O11" s="99">
        <f>G11*M11</f>
        <v>63.942299999999996</v>
      </c>
      <c r="P11" s="167">
        <f t="shared" si="5"/>
        <v>64.869</v>
      </c>
      <c r="Q11" s="167"/>
      <c r="R11" s="138" t="s">
        <v>111</v>
      </c>
      <c r="S11" s="9">
        <v>6</v>
      </c>
      <c r="T11" s="9">
        <v>0.6</v>
      </c>
      <c r="U11" s="142">
        <v>1.9</v>
      </c>
    </row>
    <row r="12" spans="1:21" x14ac:dyDescent="0.35">
      <c r="B12" s="65" t="s">
        <v>135</v>
      </c>
      <c r="C12" s="16">
        <v>8.4</v>
      </c>
      <c r="D12" s="9">
        <f>C12+S12+T12</f>
        <v>8.6300000000000008</v>
      </c>
      <c r="E12" s="16">
        <f>(C12*(1/J$3))/F$3</f>
        <v>4.6122168840082356</v>
      </c>
      <c r="F12" s="8">
        <f>(D12/F$3)*(1/J$3)</f>
        <v>4.7385037748798906</v>
      </c>
      <c r="G12" s="99">
        <v>400</v>
      </c>
      <c r="H12" s="176">
        <v>5.9</v>
      </c>
      <c r="I12" s="94">
        <f>E12/G12</f>
        <v>1.1530542210020589E-2</v>
      </c>
      <c r="J12" s="66">
        <f>F12/G12</f>
        <v>1.1846259437199726E-2</v>
      </c>
      <c r="K12" s="94">
        <v>1.32E-2</v>
      </c>
      <c r="L12" s="96">
        <v>1.4200000000000001E-2</v>
      </c>
      <c r="M12" s="96">
        <v>1.6500000000000001E-2</v>
      </c>
      <c r="N12" s="41">
        <v>2.1000000000000001E-2</v>
      </c>
      <c r="O12" s="99">
        <f>G12*M12</f>
        <v>6.6000000000000005</v>
      </c>
      <c r="P12" s="167">
        <f>N12*G12</f>
        <v>8.4</v>
      </c>
      <c r="Q12" s="167"/>
      <c r="R12" s="138" t="s">
        <v>135</v>
      </c>
      <c r="S12" s="9">
        <v>0</v>
      </c>
      <c r="T12" s="9">
        <v>0.23</v>
      </c>
      <c r="U12" s="142">
        <v>0.72</v>
      </c>
    </row>
    <row r="13" spans="1:21" x14ac:dyDescent="0.35">
      <c r="B13" s="65" t="s">
        <v>137</v>
      </c>
      <c r="C13" s="16">
        <v>3.8</v>
      </c>
      <c r="D13" s="9">
        <f t="shared" si="0"/>
        <v>7.5699999999999994</v>
      </c>
      <c r="E13" s="16">
        <f t="shared" si="1"/>
        <v>2.0864790665751545</v>
      </c>
      <c r="F13" s="8">
        <f t="shared" si="2"/>
        <v>4.1564859299931358</v>
      </c>
      <c r="G13" s="99">
        <v>579</v>
      </c>
      <c r="H13" s="176">
        <v>5.5</v>
      </c>
      <c r="I13" s="94">
        <f t="shared" si="3"/>
        <v>3.6035907885581253E-3</v>
      </c>
      <c r="J13" s="66">
        <f t="shared" si="4"/>
        <v>7.1787321761539475E-3</v>
      </c>
      <c r="K13" s="94">
        <v>1.72E-2</v>
      </c>
      <c r="L13" s="96">
        <v>1.6400000000000001E-2</v>
      </c>
      <c r="M13" s="96">
        <v>1.67E-2</v>
      </c>
      <c r="N13" s="41">
        <v>0.02</v>
      </c>
      <c r="O13" s="99">
        <f>G13*M13</f>
        <v>9.6692999999999998</v>
      </c>
      <c r="P13" s="167">
        <f t="shared" si="5"/>
        <v>11.58</v>
      </c>
      <c r="Q13" s="167"/>
      <c r="R13" s="138" t="s">
        <v>137</v>
      </c>
      <c r="S13" s="9">
        <v>3.42</v>
      </c>
      <c r="T13" s="9">
        <v>0.35</v>
      </c>
      <c r="U13" s="142">
        <v>1.39</v>
      </c>
    </row>
    <row r="14" spans="1:21" x14ac:dyDescent="0.35">
      <c r="B14" s="7" t="s">
        <v>11</v>
      </c>
      <c r="C14" s="16">
        <v>0</v>
      </c>
      <c r="D14" s="9">
        <f t="shared" si="0"/>
        <v>7.46</v>
      </c>
      <c r="E14" s="16">
        <f t="shared" si="1"/>
        <v>0</v>
      </c>
      <c r="F14" s="8">
        <f t="shared" si="2"/>
        <v>4.0960878517501715</v>
      </c>
      <c r="G14" s="99">
        <v>4232</v>
      </c>
      <c r="H14" s="176">
        <v>124</v>
      </c>
      <c r="I14" s="94">
        <f t="shared" si="3"/>
        <v>0</v>
      </c>
      <c r="J14" s="41">
        <f t="shared" si="4"/>
        <v>9.6788465306005939E-4</v>
      </c>
      <c r="K14" s="94">
        <v>1.0200000000000001E-2</v>
      </c>
      <c r="L14" s="96">
        <v>1.0800000000000001E-2</v>
      </c>
      <c r="M14" s="126" t="s">
        <v>35</v>
      </c>
      <c r="N14" s="92">
        <v>1.2999999999999999E-2</v>
      </c>
      <c r="O14" s="99">
        <f>G14*L14</f>
        <v>45.705600000000004</v>
      </c>
      <c r="P14" s="167">
        <f t="shared" si="5"/>
        <v>55.015999999999998</v>
      </c>
      <c r="Q14" s="167"/>
      <c r="R14" s="104" t="s">
        <v>11</v>
      </c>
      <c r="S14" s="9">
        <v>5.55</v>
      </c>
      <c r="T14" s="9">
        <v>1.91</v>
      </c>
      <c r="U14" s="142">
        <v>0</v>
      </c>
    </row>
    <row r="15" spans="1:21" x14ac:dyDescent="0.35">
      <c r="B15" s="7" t="s">
        <v>138</v>
      </c>
      <c r="C15" s="16">
        <v>2.1</v>
      </c>
      <c r="D15" s="9">
        <f t="shared" si="0"/>
        <v>5.8000000000000007</v>
      </c>
      <c r="E15" s="16">
        <f t="shared" si="1"/>
        <v>1.1530542210020589</v>
      </c>
      <c r="F15" s="8">
        <f t="shared" si="2"/>
        <v>3.1846259437199724</v>
      </c>
      <c r="G15" s="99">
        <v>2138</v>
      </c>
      <c r="H15" s="176">
        <v>39.799999999999997</v>
      </c>
      <c r="I15" s="94">
        <f t="shared" si="3"/>
        <v>5.3931441581013041E-4</v>
      </c>
      <c r="J15" s="41">
        <f t="shared" si="4"/>
        <v>1.4895350531898843E-3</v>
      </c>
      <c r="K15" s="94">
        <v>1.2699999999999999E-2</v>
      </c>
      <c r="L15" s="96">
        <v>1.24E-2</v>
      </c>
      <c r="M15" s="96">
        <v>1.38E-2</v>
      </c>
      <c r="N15" s="41">
        <v>1.4999999999999999E-2</v>
      </c>
      <c r="O15" s="99">
        <f>G15*M15</f>
        <v>29.5044</v>
      </c>
      <c r="P15" s="167">
        <f t="shared" si="5"/>
        <v>32.07</v>
      </c>
      <c r="Q15" s="167"/>
      <c r="R15" s="104" t="s">
        <v>138</v>
      </c>
      <c r="S15" s="9">
        <v>3.43</v>
      </c>
      <c r="T15" s="9">
        <v>0.27</v>
      </c>
      <c r="U15" s="142">
        <v>0</v>
      </c>
    </row>
    <row r="16" spans="1:21" x14ac:dyDescent="0.35">
      <c r="B16" s="65" t="s">
        <v>140</v>
      </c>
      <c r="C16" s="16">
        <v>3</v>
      </c>
      <c r="D16" s="9">
        <f t="shared" si="0"/>
        <v>4.3</v>
      </c>
      <c r="E16" s="16">
        <f t="shared" si="1"/>
        <v>1.6472203157172272</v>
      </c>
      <c r="F16" s="8">
        <f t="shared" si="2"/>
        <v>2.3610157858613587</v>
      </c>
      <c r="G16" s="99">
        <v>688</v>
      </c>
      <c r="H16" s="176">
        <v>36.799999999999997</v>
      </c>
      <c r="I16" s="94">
        <f t="shared" si="3"/>
        <v>2.3942155751703882E-3</v>
      </c>
      <c r="J16" s="66">
        <f t="shared" si="4"/>
        <v>3.4317089910775563E-3</v>
      </c>
      <c r="K16" s="94">
        <v>2.2200000000000001E-2</v>
      </c>
      <c r="L16" s="96">
        <v>2.3900000000000001E-2</v>
      </c>
      <c r="M16" s="96">
        <v>3.9E-2</v>
      </c>
      <c r="N16" s="41">
        <v>4.2000000000000003E-2</v>
      </c>
      <c r="O16" s="99">
        <f>G16*M16</f>
        <v>26.832000000000001</v>
      </c>
      <c r="P16" s="167">
        <f t="shared" si="5"/>
        <v>28.896000000000001</v>
      </c>
      <c r="Q16" s="167"/>
      <c r="R16" s="138" t="s">
        <v>140</v>
      </c>
      <c r="S16" s="9">
        <v>0.92</v>
      </c>
      <c r="T16" s="9">
        <v>0.38</v>
      </c>
      <c r="U16" s="142">
        <v>20.73</v>
      </c>
    </row>
    <row r="17" spans="2:21" x14ac:dyDescent="0.35">
      <c r="B17" s="65" t="s">
        <v>136</v>
      </c>
      <c r="C17" s="16">
        <v>4.4000000000000004</v>
      </c>
      <c r="D17" s="9">
        <f t="shared" si="0"/>
        <v>6.17</v>
      </c>
      <c r="E17" s="16">
        <f t="shared" si="1"/>
        <v>2.4159231297186001</v>
      </c>
      <c r="F17" s="8">
        <f t="shared" si="2"/>
        <v>3.3877831159917635</v>
      </c>
      <c r="G17" s="99">
        <v>1009</v>
      </c>
      <c r="H17" s="176">
        <v>17.8</v>
      </c>
      <c r="I17" s="94">
        <f t="shared" si="3"/>
        <v>2.3943737658261646E-3</v>
      </c>
      <c r="J17" s="66">
        <f t="shared" si="4"/>
        <v>3.3575650307153255E-3</v>
      </c>
      <c r="K17" s="94">
        <v>1.38E-2</v>
      </c>
      <c r="L17" s="96">
        <v>1.5800000000000002E-2</v>
      </c>
      <c r="M17" s="96">
        <v>1.7000000000000001E-2</v>
      </c>
      <c r="N17" s="41">
        <v>2.1000000000000001E-2</v>
      </c>
      <c r="O17" s="99">
        <f>G17*M17</f>
        <v>17.153000000000002</v>
      </c>
      <c r="P17" s="167">
        <f t="shared" si="5"/>
        <v>21.189</v>
      </c>
      <c r="Q17" s="167"/>
      <c r="R17" s="138" t="s">
        <v>136</v>
      </c>
      <c r="S17" s="9">
        <v>1.05</v>
      </c>
      <c r="T17" s="9">
        <v>0.72</v>
      </c>
      <c r="U17" s="142">
        <v>2.42</v>
      </c>
    </row>
    <row r="18" spans="2:21" x14ac:dyDescent="0.35">
      <c r="B18" s="65" t="s">
        <v>134</v>
      </c>
      <c r="C18" s="16">
        <v>2</v>
      </c>
      <c r="D18" s="9">
        <f t="shared" si="0"/>
        <v>2.95</v>
      </c>
      <c r="E18" s="16">
        <f t="shared" si="1"/>
        <v>1.0981468771448182</v>
      </c>
      <c r="F18" s="8">
        <f t="shared" si="2"/>
        <v>1.6197666437886069</v>
      </c>
      <c r="G18" s="99">
        <v>591</v>
      </c>
      <c r="H18" s="176">
        <v>10.5</v>
      </c>
      <c r="I18" s="94">
        <f t="shared" si="3"/>
        <v>1.8581165433922474E-3</v>
      </c>
      <c r="J18" s="66">
        <f t="shared" si="4"/>
        <v>2.7407219015035652E-3</v>
      </c>
      <c r="K18" s="94">
        <v>1.2E-2</v>
      </c>
      <c r="L18" s="96">
        <v>1.2999999999999999E-2</v>
      </c>
      <c r="M18" s="126" t="s">
        <v>35</v>
      </c>
      <c r="N18" s="92">
        <v>2.1000000000000001E-2</v>
      </c>
      <c r="O18" s="99">
        <f>G18*L18</f>
        <v>7.6829999999999998</v>
      </c>
      <c r="P18" s="167">
        <f t="shared" si="5"/>
        <v>12.411000000000001</v>
      </c>
      <c r="Q18" s="167"/>
      <c r="R18" s="138" t="s">
        <v>134</v>
      </c>
      <c r="S18" s="9">
        <v>0.31</v>
      </c>
      <c r="T18" s="9">
        <v>0.64</v>
      </c>
      <c r="U18" s="142">
        <v>0.84</v>
      </c>
    </row>
    <row r="19" spans="2:21" x14ac:dyDescent="0.35">
      <c r="B19" s="7" t="s">
        <v>13</v>
      </c>
      <c r="C19" s="16">
        <v>0</v>
      </c>
      <c r="D19" s="9">
        <f t="shared" si="0"/>
        <v>2.2799999999999998</v>
      </c>
      <c r="E19" s="16">
        <f t="shared" si="1"/>
        <v>0</v>
      </c>
      <c r="F19" s="8">
        <f t="shared" si="2"/>
        <v>1.2518874399450926</v>
      </c>
      <c r="G19" s="99">
        <v>818</v>
      </c>
      <c r="H19" s="176">
        <v>8.8000000000000007</v>
      </c>
      <c r="I19" s="94">
        <f t="shared" si="3"/>
        <v>0</v>
      </c>
      <c r="J19" s="41">
        <f t="shared" si="4"/>
        <v>1.5304247432091596E-3</v>
      </c>
      <c r="K19" s="94">
        <v>7.7999999999999996E-3</v>
      </c>
      <c r="L19" s="96">
        <v>7.7000000000000002E-3</v>
      </c>
      <c r="M19" s="126" t="s">
        <v>35</v>
      </c>
      <c r="N19" s="92">
        <v>8.0000000000000002E-3</v>
      </c>
      <c r="O19" s="99">
        <f>G19*L19</f>
        <v>6.2986000000000004</v>
      </c>
      <c r="P19" s="167">
        <f t="shared" si="5"/>
        <v>6.5440000000000005</v>
      </c>
      <c r="Q19" s="167"/>
      <c r="R19" s="104" t="s">
        <v>13</v>
      </c>
      <c r="S19" s="9">
        <v>0</v>
      </c>
      <c r="T19" s="9">
        <v>2.2799999999999998</v>
      </c>
      <c r="U19" s="142">
        <v>2.2200000000000002</v>
      </c>
    </row>
    <row r="20" spans="2:21" x14ac:dyDescent="0.35">
      <c r="B20" s="7" t="s">
        <v>118</v>
      </c>
      <c r="C20" s="16">
        <v>0.64</v>
      </c>
      <c r="D20" s="9">
        <f t="shared" si="0"/>
        <v>1.7999999999999998</v>
      </c>
      <c r="E20" s="16">
        <f t="shared" si="1"/>
        <v>0.35140700068634179</v>
      </c>
      <c r="F20" s="8">
        <f t="shared" si="2"/>
        <v>0.98833218943033629</v>
      </c>
      <c r="G20" s="99">
        <v>2779</v>
      </c>
      <c r="H20" s="176">
        <v>68.099999999999994</v>
      </c>
      <c r="I20" s="94">
        <f t="shared" si="3"/>
        <v>1.2645088185906506E-4</v>
      </c>
      <c r="J20" s="41">
        <f t="shared" si="4"/>
        <v>3.5564310522862046E-4</v>
      </c>
      <c r="K20" s="94">
        <v>1.9199999999999998E-2</v>
      </c>
      <c r="L20" s="96">
        <v>1.9400000000000001E-2</v>
      </c>
      <c r="M20" s="96">
        <v>1.9E-2</v>
      </c>
      <c r="N20" s="41">
        <v>2.1000000000000001E-2</v>
      </c>
      <c r="O20" s="99">
        <f>G20*M20</f>
        <v>52.801000000000002</v>
      </c>
      <c r="P20" s="167">
        <f t="shared" si="5"/>
        <v>58.359000000000002</v>
      </c>
      <c r="Q20" s="167"/>
      <c r="R20" s="104" t="s">
        <v>118</v>
      </c>
      <c r="S20" s="9">
        <v>0.8</v>
      </c>
      <c r="T20" s="9">
        <v>0.36</v>
      </c>
      <c r="U20" s="142">
        <v>6.14</v>
      </c>
    </row>
    <row r="21" spans="2:21" x14ac:dyDescent="0.35">
      <c r="B21" s="65" t="s">
        <v>133</v>
      </c>
      <c r="C21" s="16">
        <v>1.64</v>
      </c>
      <c r="D21" s="9">
        <f t="shared" si="0"/>
        <v>1.91</v>
      </c>
      <c r="E21" s="16">
        <f t="shared" si="1"/>
        <v>0.90048043925875076</v>
      </c>
      <c r="F21" s="8">
        <f t="shared" si="2"/>
        <v>1.0487302676733012</v>
      </c>
      <c r="G21" s="99">
        <v>283</v>
      </c>
      <c r="H21" s="176">
        <v>5.6</v>
      </c>
      <c r="I21" s="94">
        <f t="shared" si="3"/>
        <v>3.1819096793595431E-3</v>
      </c>
      <c r="J21" s="66">
        <f t="shared" si="4"/>
        <v>3.7057606631565416E-3</v>
      </c>
      <c r="K21" s="94">
        <v>1.26E-2</v>
      </c>
      <c r="L21" s="96">
        <v>1.72E-2</v>
      </c>
      <c r="M21" s="96">
        <v>2.4500000000000001E-2</v>
      </c>
      <c r="N21" s="41">
        <v>0.03</v>
      </c>
      <c r="O21" s="99">
        <f>G21*M21</f>
        <v>6.9335000000000004</v>
      </c>
      <c r="P21" s="167">
        <f t="shared" si="5"/>
        <v>8.49</v>
      </c>
      <c r="Q21" s="167"/>
      <c r="R21" s="138" t="s">
        <v>133</v>
      </c>
      <c r="S21" s="9">
        <v>0.09</v>
      </c>
      <c r="T21" s="9">
        <v>0.18</v>
      </c>
      <c r="U21" s="142">
        <v>0.65</v>
      </c>
    </row>
    <row r="22" spans="2:21" x14ac:dyDescent="0.35">
      <c r="B22" s="65" t="s">
        <v>131</v>
      </c>
      <c r="C22" s="16">
        <v>1.26</v>
      </c>
      <c r="D22" s="9">
        <f t="shared" si="0"/>
        <v>1.33</v>
      </c>
      <c r="E22" s="16">
        <f t="shared" si="1"/>
        <v>0.69183253260123534</v>
      </c>
      <c r="F22" s="8">
        <f t="shared" si="2"/>
        <v>0.73026767330130415</v>
      </c>
      <c r="G22" s="99">
        <v>291</v>
      </c>
      <c r="H22" s="176">
        <v>10.4</v>
      </c>
      <c r="I22" s="94">
        <f t="shared" si="3"/>
        <v>2.3774313835093997E-3</v>
      </c>
      <c r="J22" s="66">
        <f t="shared" si="4"/>
        <v>2.5095109048154781E-3</v>
      </c>
      <c r="K22" s="94">
        <v>1.4E-2</v>
      </c>
      <c r="L22" s="96">
        <v>1.3599999999999999E-2</v>
      </c>
      <c r="M22" s="96">
        <v>1.4999999999999999E-2</v>
      </c>
      <c r="N22" s="41">
        <v>1.7000000000000001E-2</v>
      </c>
      <c r="O22" s="99">
        <f>G22*M22</f>
        <v>4.3650000000000002</v>
      </c>
      <c r="P22" s="167">
        <f t="shared" si="5"/>
        <v>4.9470000000000001</v>
      </c>
      <c r="Q22" s="167"/>
      <c r="R22" s="138" t="s">
        <v>131</v>
      </c>
      <c r="S22" s="9">
        <v>0</v>
      </c>
      <c r="T22" s="9">
        <v>7.0000000000000007E-2</v>
      </c>
      <c r="U22" s="25">
        <v>5.35</v>
      </c>
    </row>
    <row r="23" spans="2:21" ht="15" thickBot="1" x14ac:dyDescent="0.4">
      <c r="B23" s="7" t="s">
        <v>132</v>
      </c>
      <c r="C23" s="16">
        <v>0.67</v>
      </c>
      <c r="D23" s="9">
        <f t="shared" si="0"/>
        <v>1.3</v>
      </c>
      <c r="E23" s="16">
        <f t="shared" si="1"/>
        <v>0.36787920384351408</v>
      </c>
      <c r="F23" s="8">
        <f t="shared" si="2"/>
        <v>0.71379547014413181</v>
      </c>
      <c r="G23" s="99">
        <v>2050</v>
      </c>
      <c r="H23" s="176">
        <v>59</v>
      </c>
      <c r="I23" s="94">
        <f t="shared" si="3"/>
        <v>1.7945327016756783E-4</v>
      </c>
      <c r="J23" s="41">
        <f t="shared" si="4"/>
        <v>3.4819291226543012E-4</v>
      </c>
      <c r="K23" s="94">
        <v>1.72E-2</v>
      </c>
      <c r="L23" s="96">
        <v>1.6799999999999999E-2</v>
      </c>
      <c r="M23" s="96">
        <v>1.46E-2</v>
      </c>
      <c r="N23" s="41">
        <v>1.7000000000000001E-2</v>
      </c>
      <c r="O23" s="99">
        <f>G23*M23</f>
        <v>29.93</v>
      </c>
      <c r="P23" s="167">
        <f t="shared" si="5"/>
        <v>34.85</v>
      </c>
      <c r="Q23" s="167"/>
      <c r="R23" s="104" t="s">
        <v>132</v>
      </c>
      <c r="S23" s="9">
        <v>0.41</v>
      </c>
      <c r="T23" s="9">
        <v>0.22</v>
      </c>
      <c r="U23" s="142">
        <v>2.25</v>
      </c>
    </row>
    <row r="24" spans="2:21" ht="15" thickTop="1" x14ac:dyDescent="0.35">
      <c r="B24" s="203" t="s">
        <v>244</v>
      </c>
      <c r="C24" s="204">
        <f>SUM(C10:C13,C16:C18,C21:C22)</f>
        <v>51.29999999999999</v>
      </c>
      <c r="D24" s="205">
        <f>SUM(D10:D13,D16:D18,D21:D22)</f>
        <v>70.61999999999999</v>
      </c>
      <c r="E24" s="206">
        <f>SUM(E10:E13,E16:E18,E21:E22)</f>
        <v>28.167467398764582</v>
      </c>
      <c r="F24" s="207">
        <f>SUM(F10:F13,F16:F18,F21:F22)</f>
        <v>38.775566231983525</v>
      </c>
      <c r="G24" s="208">
        <f>G11+G13+G10+G16+G17+G12+G18+G21+G22</f>
        <v>11012</v>
      </c>
      <c r="H24" s="208">
        <f>H11+H13+H10+H16+H17+H12+H18+H21+H22</f>
        <v>245.41</v>
      </c>
      <c r="I24" s="236">
        <f>E24/G24</f>
        <v>2.5578884306905725E-3</v>
      </c>
      <c r="J24" s="209">
        <f>F24/G24</f>
        <v>3.5212101554652673E-3</v>
      </c>
      <c r="K24" s="210" t="s">
        <v>35</v>
      </c>
      <c r="L24" s="211" t="s">
        <v>35</v>
      </c>
      <c r="M24" s="211">
        <f>O24/G24</f>
        <v>1.8821785325099889E-2</v>
      </c>
      <c r="N24" s="212">
        <f>P24/G24</f>
        <v>2.1161768979295319E-2</v>
      </c>
      <c r="O24" s="213">
        <f>SUM(,O10:O13,O16:O18,O21:O22)</f>
        <v>207.26549999999997</v>
      </c>
      <c r="P24" s="214">
        <f>SUM(P10:P13,P16:P18,P21:P22)</f>
        <v>233.03340000000006</v>
      </c>
      <c r="Q24" s="168"/>
      <c r="R24" s="139" t="s">
        <v>90</v>
      </c>
      <c r="S24" s="82">
        <f>SUM(S8,S10:S13,S16:S18,S21:S22)</f>
        <v>90.4</v>
      </c>
      <c r="T24" s="82">
        <f>SUM(T8,T10:T13,T16:T18,T21:T22)</f>
        <v>8.33</v>
      </c>
      <c r="U24" s="83">
        <f>SUM(U8,U10:U13,U16:U18,U21:U22)</f>
        <v>55.440000000000005</v>
      </c>
    </row>
    <row r="25" spans="2:21" x14ac:dyDescent="0.35">
      <c r="B25" s="7" t="s">
        <v>91</v>
      </c>
      <c r="C25" s="16">
        <f>SUM(C8:C23)-C9</f>
        <v>60.31</v>
      </c>
      <c r="D25" s="9">
        <f>SUM(D8:D23)-D9</f>
        <v>174.27</v>
      </c>
      <c r="E25" s="44">
        <f>SUM(E8:E23)-E9</f>
        <v>33.114619080301978</v>
      </c>
      <c r="F25" s="81">
        <f>SUM(F8:F23)-F9</f>
        <v>95.687028140013723</v>
      </c>
      <c r="G25" s="100">
        <f>G8+G11+G13+G14+G15+G19</f>
        <v>30206</v>
      </c>
      <c r="H25" s="133">
        <f>H8+H11+H13+H14+H15+H19</f>
        <v>694.6099999999999</v>
      </c>
      <c r="I25" s="202">
        <f t="shared" si="3"/>
        <v>1.0962927590644897E-3</v>
      </c>
      <c r="J25" s="45">
        <f>F25/G25</f>
        <v>3.1678152731249992E-3</v>
      </c>
      <c r="K25" s="127" t="s">
        <v>35</v>
      </c>
      <c r="L25" s="128" t="s">
        <v>35</v>
      </c>
      <c r="M25" s="128">
        <f>O25/G25</f>
        <v>1.2400844575779843E-2</v>
      </c>
      <c r="N25" s="98">
        <f>P25/G25</f>
        <v>1.4002092672184514E-2</v>
      </c>
      <c r="O25" s="100">
        <f>SUM(O8:O23)-O9</f>
        <v>374.57991125600597</v>
      </c>
      <c r="P25" s="168">
        <f>SUM(P8:P23)-P9</f>
        <v>422.9472112560054</v>
      </c>
      <c r="Q25" s="167"/>
      <c r="R25" s="104" t="s">
        <v>91</v>
      </c>
      <c r="S25" s="9">
        <f>SUM(S8:S23)-S9</f>
        <v>100.59</v>
      </c>
      <c r="T25" s="9">
        <f>SUM(T8:T23)-T9</f>
        <v>13.370000000000001</v>
      </c>
      <c r="U25" s="143">
        <f>SUM(U8:U23)-U9</f>
        <v>66.050000000000011</v>
      </c>
    </row>
    <row r="26" spans="2:21" ht="15" thickBot="1" x14ac:dyDescent="0.4">
      <c r="B26" s="7" t="s">
        <v>92</v>
      </c>
      <c r="C26" s="16">
        <f>SUM(C8:C23)</f>
        <v>102.51</v>
      </c>
      <c r="D26" s="9">
        <f>SUM(D8:D23)</f>
        <v>241.92000000000002</v>
      </c>
      <c r="E26" s="16">
        <f>SUM(E8:E23)</f>
        <v>56.285518188057644</v>
      </c>
      <c r="F26" s="9">
        <f>SUM(F8:F23)</f>
        <v>132.83184625943719</v>
      </c>
      <c r="G26" s="99">
        <f>G25+G9</f>
        <v>55646</v>
      </c>
      <c r="H26" s="160">
        <f>H25+H9</f>
        <v>1029.6099999999999</v>
      </c>
      <c r="I26" s="94">
        <f t="shared" si="3"/>
        <v>1.0114926174039039E-3</v>
      </c>
      <c r="J26" s="41">
        <f>F26/G26</f>
        <v>2.3870870549444196E-3</v>
      </c>
      <c r="K26" s="200" t="s">
        <v>35</v>
      </c>
      <c r="L26" s="126" t="s">
        <v>35</v>
      </c>
      <c r="M26" s="126">
        <f>O26/G26</f>
        <v>2.2686912109693525E-2</v>
      </c>
      <c r="N26" s="135">
        <f>P26/G26</f>
        <v>2.3601826029831532E-2</v>
      </c>
      <c r="O26" s="129">
        <f>SUM(O8:O23)</f>
        <v>1262.435911256006</v>
      </c>
      <c r="P26" s="169">
        <f>SUM(P8:P23)</f>
        <v>1313.3472112560055</v>
      </c>
      <c r="Q26" s="168"/>
      <c r="R26" s="104" t="s">
        <v>92</v>
      </c>
      <c r="S26" s="81">
        <f>SUM(S8:S23)</f>
        <v>124.59</v>
      </c>
      <c r="T26" s="81">
        <f>SUM(T8:T23)</f>
        <v>14.82</v>
      </c>
      <c r="U26" s="144">
        <f>SUM(U8:U23)</f>
        <v>66.050000000000011</v>
      </c>
    </row>
    <row r="27" spans="2:21" ht="15" thickTop="1" x14ac:dyDescent="0.35">
      <c r="B27" s="15" t="s">
        <v>122</v>
      </c>
      <c r="C27" s="151" t="s">
        <v>35</v>
      </c>
      <c r="D27" s="79" t="s">
        <v>35</v>
      </c>
      <c r="E27" s="151" t="s">
        <v>35</v>
      </c>
      <c r="F27" s="113" t="s">
        <v>35</v>
      </c>
      <c r="G27" s="101">
        <v>2240</v>
      </c>
      <c r="H27" s="232">
        <v>144.6</v>
      </c>
      <c r="I27" s="151" t="s">
        <v>35</v>
      </c>
      <c r="J27" s="114" t="s">
        <v>35</v>
      </c>
      <c r="K27" s="115">
        <v>3.7199999999999997E-2</v>
      </c>
      <c r="L27" s="116">
        <v>4.0599999999999997E-2</v>
      </c>
      <c r="M27" s="116">
        <f>O27/G27</f>
        <v>7.1428571428571425E-2</v>
      </c>
      <c r="N27" s="45">
        <v>0.107</v>
      </c>
      <c r="O27" s="100">
        <v>160</v>
      </c>
      <c r="P27" s="168">
        <f>G27*N27</f>
        <v>239.68</v>
      </c>
      <c r="Q27" s="168"/>
      <c r="R27" s="80" t="s">
        <v>122</v>
      </c>
      <c r="S27" s="91" t="s">
        <v>35</v>
      </c>
      <c r="T27" s="91" t="s">
        <v>35</v>
      </c>
      <c r="U27" s="145" t="s">
        <v>35</v>
      </c>
    </row>
    <row r="28" spans="2:21" x14ac:dyDescent="0.35">
      <c r="B28" s="7" t="s">
        <v>123</v>
      </c>
      <c r="C28" s="152" t="s">
        <v>35</v>
      </c>
      <c r="D28" s="119" t="s">
        <v>35</v>
      </c>
      <c r="E28" s="201" t="s">
        <v>35</v>
      </c>
      <c r="F28" s="118" t="s">
        <v>35</v>
      </c>
      <c r="G28" s="100">
        <v>161</v>
      </c>
      <c r="H28" s="231">
        <v>35</v>
      </c>
      <c r="I28" s="201" t="s">
        <v>35</v>
      </c>
      <c r="J28" s="98" t="s">
        <v>35</v>
      </c>
      <c r="K28" s="202">
        <v>3.2300000000000002E-2</v>
      </c>
      <c r="L28" s="95">
        <v>0.33550000000000002</v>
      </c>
      <c r="M28" s="95">
        <v>0.26600000000000001</v>
      </c>
      <c r="N28" s="45">
        <v>0.31</v>
      </c>
      <c r="O28" s="100">
        <f>M28*G28</f>
        <v>42.826000000000001</v>
      </c>
      <c r="P28" s="168">
        <f>G28*N28</f>
        <v>49.91</v>
      </c>
      <c r="Q28" s="168"/>
      <c r="R28" s="104" t="s">
        <v>123</v>
      </c>
      <c r="S28" s="119" t="s">
        <v>35</v>
      </c>
      <c r="T28" s="119" t="s">
        <v>35</v>
      </c>
      <c r="U28" s="146" t="s">
        <v>35</v>
      </c>
    </row>
    <row r="29" spans="2:21" x14ac:dyDescent="0.35">
      <c r="B29" s="7" t="s">
        <v>246</v>
      </c>
      <c r="C29" s="152" t="s">
        <v>35</v>
      </c>
      <c r="D29" s="119" t="s">
        <v>35</v>
      </c>
      <c r="E29" s="201" t="s">
        <v>35</v>
      </c>
      <c r="F29" s="118" t="s">
        <v>35</v>
      </c>
      <c r="G29" s="223" t="s">
        <v>35</v>
      </c>
      <c r="H29" s="233" t="s">
        <v>35</v>
      </c>
      <c r="I29" s="201" t="s">
        <v>35</v>
      </c>
      <c r="J29" s="225" t="s">
        <v>35</v>
      </c>
      <c r="K29" s="223" t="s">
        <v>35</v>
      </c>
      <c r="L29" s="224" t="s">
        <v>35</v>
      </c>
      <c r="M29" s="224" t="s">
        <v>35</v>
      </c>
      <c r="N29" s="225" t="s">
        <v>35</v>
      </c>
      <c r="O29" s="100">
        <f>O28+E26</f>
        <v>99.111518188057644</v>
      </c>
      <c r="P29" s="168">
        <f>P28+E25</f>
        <v>83.024619080301974</v>
      </c>
      <c r="Q29" s="168"/>
      <c r="R29" s="104"/>
      <c r="S29" s="119"/>
      <c r="T29" s="119"/>
      <c r="U29" s="146"/>
    </row>
    <row r="30" spans="2:21" ht="15" thickBot="1" x14ac:dyDescent="0.4">
      <c r="B30" s="13" t="s">
        <v>245</v>
      </c>
      <c r="C30" s="157" t="s">
        <v>35</v>
      </c>
      <c r="D30" s="109" t="s">
        <v>35</v>
      </c>
      <c r="E30" s="158" t="s">
        <v>35</v>
      </c>
      <c r="F30" s="107" t="s">
        <v>35</v>
      </c>
      <c r="G30" s="226" t="s">
        <v>35</v>
      </c>
      <c r="H30" s="234" t="s">
        <v>35</v>
      </c>
      <c r="I30" s="158" t="s">
        <v>35</v>
      </c>
      <c r="J30" s="228" t="s">
        <v>35</v>
      </c>
      <c r="K30" s="226" t="s">
        <v>35</v>
      </c>
      <c r="L30" s="227" t="s">
        <v>35</v>
      </c>
      <c r="M30" s="227" t="s">
        <v>35</v>
      </c>
      <c r="N30" s="228" t="s">
        <v>35</v>
      </c>
      <c r="O30" s="229">
        <f>O29/O27</f>
        <v>0.6194469886753603</v>
      </c>
      <c r="P30" s="230">
        <f>P29/P27</f>
        <v>0.34639777653664039</v>
      </c>
      <c r="Q30" s="168"/>
      <c r="R30" s="104"/>
      <c r="S30" s="119"/>
      <c r="T30" s="119"/>
      <c r="U30" s="146"/>
    </row>
    <row r="31" spans="2:21" ht="15" thickTop="1" x14ac:dyDescent="0.35">
      <c r="B31" s="7" t="s">
        <v>124</v>
      </c>
      <c r="C31" s="150" t="s">
        <v>35</v>
      </c>
      <c r="D31" s="42" t="s">
        <v>35</v>
      </c>
      <c r="E31" s="155" t="s">
        <v>35</v>
      </c>
      <c r="F31" s="70" t="s">
        <v>35</v>
      </c>
      <c r="G31" s="99">
        <v>525</v>
      </c>
      <c r="H31" s="176"/>
      <c r="I31" s="155" t="s">
        <v>35</v>
      </c>
      <c r="J31" s="92" t="s">
        <v>35</v>
      </c>
      <c r="K31" s="94">
        <v>4.9799999999999997E-2</v>
      </c>
      <c r="L31" s="96">
        <v>4.5100000000000001E-2</v>
      </c>
      <c r="M31" s="96" t="s">
        <v>35</v>
      </c>
      <c r="N31" s="41">
        <v>5.5E-2</v>
      </c>
      <c r="O31" s="99">
        <f>G31*L31</f>
        <v>23.677500000000002</v>
      </c>
      <c r="P31" s="167">
        <f>G31*N31</f>
        <v>28.875</v>
      </c>
      <c r="Q31" s="167"/>
      <c r="R31" s="104" t="s">
        <v>124</v>
      </c>
      <c r="S31" s="42" t="s">
        <v>35</v>
      </c>
      <c r="T31" s="42" t="s">
        <v>35</v>
      </c>
      <c r="U31" s="147" t="s">
        <v>35</v>
      </c>
    </row>
    <row r="32" spans="2:21" x14ac:dyDescent="0.35">
      <c r="B32" s="7" t="s">
        <v>253</v>
      </c>
      <c r="C32" s="150" t="s">
        <v>35</v>
      </c>
      <c r="D32" s="42" t="s">
        <v>35</v>
      </c>
      <c r="E32" s="155" t="s">
        <v>35</v>
      </c>
      <c r="F32" s="70" t="s">
        <v>35</v>
      </c>
      <c r="G32" s="99">
        <v>413</v>
      </c>
      <c r="H32" s="176"/>
      <c r="I32" s="155" t="s">
        <v>35</v>
      </c>
      <c r="J32" s="92" t="s">
        <v>35</v>
      </c>
      <c r="K32" s="94">
        <v>2.1899999999999999E-2</v>
      </c>
      <c r="L32" s="96">
        <v>2.5899999999999999E-2</v>
      </c>
      <c r="M32" s="96" t="s">
        <v>35</v>
      </c>
      <c r="N32" s="41">
        <v>0.03</v>
      </c>
      <c r="O32" s="99">
        <f t="shared" ref="O32:O38" si="6">G32*L32</f>
        <v>10.6967</v>
      </c>
      <c r="P32" s="167">
        <f t="shared" ref="P32:P38" si="7">G32*N32</f>
        <v>12.389999999999999</v>
      </c>
      <c r="Q32" s="167"/>
      <c r="R32" s="104" t="s">
        <v>129</v>
      </c>
      <c r="S32" s="42" t="s">
        <v>35</v>
      </c>
      <c r="T32" s="42" t="s">
        <v>35</v>
      </c>
      <c r="U32" s="147" t="s">
        <v>35</v>
      </c>
    </row>
    <row r="33" spans="2:22" x14ac:dyDescent="0.35">
      <c r="B33" s="7" t="s">
        <v>125</v>
      </c>
      <c r="C33" s="150" t="s">
        <v>35</v>
      </c>
      <c r="D33" s="42" t="s">
        <v>35</v>
      </c>
      <c r="E33" s="155" t="s">
        <v>35</v>
      </c>
      <c r="F33" s="70" t="s">
        <v>35</v>
      </c>
      <c r="G33" s="99">
        <v>20</v>
      </c>
      <c r="H33" s="176"/>
      <c r="I33" s="155" t="s">
        <v>35</v>
      </c>
      <c r="J33" s="92" t="s">
        <v>35</v>
      </c>
      <c r="K33" s="94">
        <v>0.24</v>
      </c>
      <c r="L33" s="96">
        <v>0.33400000000000002</v>
      </c>
      <c r="M33" s="96" t="s">
        <v>35</v>
      </c>
      <c r="N33" s="41">
        <v>0.33300000000000002</v>
      </c>
      <c r="O33" s="99">
        <f t="shared" si="6"/>
        <v>6.6800000000000006</v>
      </c>
      <c r="P33" s="167">
        <f t="shared" si="7"/>
        <v>6.66</v>
      </c>
      <c r="Q33" s="167"/>
      <c r="R33" s="104" t="s">
        <v>125</v>
      </c>
      <c r="S33" s="42" t="s">
        <v>35</v>
      </c>
      <c r="T33" s="42" t="s">
        <v>35</v>
      </c>
      <c r="U33" s="147" t="s">
        <v>35</v>
      </c>
    </row>
    <row r="34" spans="2:22" x14ac:dyDescent="0.35">
      <c r="B34" s="7" t="s">
        <v>128</v>
      </c>
      <c r="C34" s="150" t="s">
        <v>35</v>
      </c>
      <c r="D34" s="42" t="s">
        <v>35</v>
      </c>
      <c r="E34" s="155" t="s">
        <v>35</v>
      </c>
      <c r="F34" s="70" t="s">
        <v>35</v>
      </c>
      <c r="G34" s="99">
        <v>375</v>
      </c>
      <c r="H34" s="176"/>
      <c r="I34" s="155" t="s">
        <v>35</v>
      </c>
      <c r="J34" s="92" t="s">
        <v>35</v>
      </c>
      <c r="K34" s="94">
        <v>2.87E-2</v>
      </c>
      <c r="L34" s="96">
        <v>2.63E-2</v>
      </c>
      <c r="M34" s="96" t="s">
        <v>35</v>
      </c>
      <c r="N34" s="41">
        <v>2.63E-2</v>
      </c>
      <c r="O34" s="99">
        <f t="shared" si="6"/>
        <v>9.8625000000000007</v>
      </c>
      <c r="P34" s="167">
        <f t="shared" si="7"/>
        <v>9.8625000000000007</v>
      </c>
      <c r="Q34" s="167"/>
      <c r="R34" s="104" t="s">
        <v>128</v>
      </c>
      <c r="S34" s="42" t="s">
        <v>35</v>
      </c>
      <c r="T34" s="42" t="s">
        <v>35</v>
      </c>
      <c r="U34" s="147" t="s">
        <v>35</v>
      </c>
    </row>
    <row r="35" spans="2:22" x14ac:dyDescent="0.35">
      <c r="B35" s="7" t="s">
        <v>126</v>
      </c>
      <c r="C35" s="150" t="s">
        <v>35</v>
      </c>
      <c r="D35" s="42" t="s">
        <v>35</v>
      </c>
      <c r="E35" s="155" t="s">
        <v>35</v>
      </c>
      <c r="F35" s="70" t="s">
        <v>35</v>
      </c>
      <c r="G35" s="99">
        <v>3417</v>
      </c>
      <c r="H35" s="176"/>
      <c r="I35" s="155" t="s">
        <v>35</v>
      </c>
      <c r="J35" s="92" t="s">
        <v>35</v>
      </c>
      <c r="K35" s="94">
        <v>2.47E-2</v>
      </c>
      <c r="L35" s="96">
        <v>2.4299999999999999E-2</v>
      </c>
      <c r="M35" s="96" t="s">
        <v>35</v>
      </c>
      <c r="N35" s="41">
        <f>L35</f>
        <v>2.4299999999999999E-2</v>
      </c>
      <c r="O35" s="99">
        <f t="shared" si="6"/>
        <v>83.03309999999999</v>
      </c>
      <c r="P35" s="167">
        <f>G35*N35</f>
        <v>83.03309999999999</v>
      </c>
      <c r="Q35" s="167"/>
      <c r="R35" s="104" t="s">
        <v>126</v>
      </c>
      <c r="S35" s="42" t="s">
        <v>35</v>
      </c>
      <c r="T35" s="42" t="s">
        <v>35</v>
      </c>
      <c r="U35" s="147" t="s">
        <v>35</v>
      </c>
    </row>
    <row r="36" spans="2:22" x14ac:dyDescent="0.35">
      <c r="B36" s="7" t="s">
        <v>250</v>
      </c>
      <c r="C36" s="150" t="s">
        <v>35</v>
      </c>
      <c r="D36" s="42" t="s">
        <v>35</v>
      </c>
      <c r="E36" s="155" t="s">
        <v>35</v>
      </c>
      <c r="F36" s="70" t="s">
        <v>35</v>
      </c>
      <c r="G36" s="99">
        <v>907</v>
      </c>
      <c r="H36" s="176"/>
      <c r="I36" s="155" t="s">
        <v>35</v>
      </c>
      <c r="J36" s="92" t="s">
        <v>35</v>
      </c>
      <c r="K36" s="94">
        <v>1.9E-2</v>
      </c>
      <c r="L36" s="96">
        <v>1.23E-2</v>
      </c>
      <c r="M36" s="96">
        <v>1.3100000000000001E-2</v>
      </c>
      <c r="N36" s="41">
        <v>1.3100000000000001E-2</v>
      </c>
      <c r="O36" s="99">
        <f>G36*M36</f>
        <v>11.8817</v>
      </c>
      <c r="P36" s="167">
        <f>G36*N36</f>
        <v>11.8817</v>
      </c>
      <c r="Q36" s="167"/>
      <c r="R36" s="104"/>
      <c r="S36" s="42"/>
      <c r="T36" s="42"/>
      <c r="U36" s="147"/>
    </row>
    <row r="37" spans="2:22" x14ac:dyDescent="0.35">
      <c r="B37" s="7" t="s">
        <v>153</v>
      </c>
      <c r="C37" s="150" t="s">
        <v>35</v>
      </c>
      <c r="D37" s="42" t="s">
        <v>35</v>
      </c>
      <c r="E37" s="155" t="s">
        <v>35</v>
      </c>
      <c r="F37" s="70" t="s">
        <v>35</v>
      </c>
      <c r="G37" s="99">
        <v>775</v>
      </c>
      <c r="H37" s="176"/>
      <c r="I37" s="155" t="s">
        <v>35</v>
      </c>
      <c r="J37" s="92" t="s">
        <v>35</v>
      </c>
      <c r="K37" s="94">
        <v>1.7100000000000001E-2</v>
      </c>
      <c r="L37" s="96">
        <v>1.6E-2</v>
      </c>
      <c r="M37" s="96" t="s">
        <v>35</v>
      </c>
      <c r="N37" s="41">
        <v>0.02</v>
      </c>
      <c r="O37" s="99">
        <f t="shared" si="6"/>
        <v>12.4</v>
      </c>
      <c r="P37" s="167">
        <f t="shared" si="7"/>
        <v>15.5</v>
      </c>
      <c r="Q37" s="167"/>
      <c r="R37" s="104" t="s">
        <v>153</v>
      </c>
      <c r="S37" s="42" t="s">
        <v>35</v>
      </c>
      <c r="T37" s="42" t="s">
        <v>35</v>
      </c>
      <c r="U37" s="147" t="s">
        <v>35</v>
      </c>
    </row>
    <row r="38" spans="2:22" ht="15" thickBot="1" x14ac:dyDescent="0.4">
      <c r="B38" s="13" t="s">
        <v>127</v>
      </c>
      <c r="C38" s="153" t="s">
        <v>35</v>
      </c>
      <c r="D38" s="108" t="s">
        <v>35</v>
      </c>
      <c r="E38" s="156" t="s">
        <v>35</v>
      </c>
      <c r="F38" s="68" t="s">
        <v>35</v>
      </c>
      <c r="G38" s="129">
        <v>17963</v>
      </c>
      <c r="H38" s="235"/>
      <c r="I38" s="156" t="s">
        <v>35</v>
      </c>
      <c r="J38" s="135" t="s">
        <v>35</v>
      </c>
      <c r="K38" s="130">
        <v>1.61E-2</v>
      </c>
      <c r="L38" s="131">
        <v>1.6E-2</v>
      </c>
      <c r="M38" s="131" t="s">
        <v>35</v>
      </c>
      <c r="N38" s="132">
        <v>1.7500000000000002E-2</v>
      </c>
      <c r="O38" s="129">
        <f t="shared" si="6"/>
        <v>287.40800000000002</v>
      </c>
      <c r="P38" s="169">
        <f t="shared" si="7"/>
        <v>314.35250000000002</v>
      </c>
      <c r="Q38" s="167"/>
      <c r="R38" s="106" t="s">
        <v>127</v>
      </c>
      <c r="S38" s="108" t="s">
        <v>35</v>
      </c>
      <c r="T38" s="108" t="s">
        <v>35</v>
      </c>
      <c r="U38" s="148" t="s">
        <v>35</v>
      </c>
    </row>
    <row r="39" spans="2:22" ht="15" thickTop="1" x14ac:dyDescent="0.35">
      <c r="B39" s="3"/>
      <c r="C39" s="117"/>
      <c r="D39" s="119"/>
      <c r="E39" s="118"/>
      <c r="F39" s="118"/>
      <c r="G39" s="133"/>
      <c r="H39" s="133"/>
      <c r="I39" s="133"/>
      <c r="J39" s="128"/>
      <c r="K39" s="95"/>
      <c r="L39" s="95"/>
      <c r="M39" s="95"/>
      <c r="N39" s="95"/>
      <c r="O39" s="133"/>
      <c r="P39" s="133"/>
      <c r="Q39" s="133"/>
      <c r="S39" s="119"/>
      <c r="T39" s="119"/>
      <c r="U39" s="119"/>
    </row>
    <row r="42" spans="2:22" ht="15" thickBot="1" x14ac:dyDescent="0.4">
      <c r="B42" s="3" t="s">
        <v>21</v>
      </c>
      <c r="C42" s="3"/>
      <c r="E42" s="3"/>
      <c r="S42" s="3"/>
      <c r="T42" s="3"/>
    </row>
    <row r="43" spans="2:22" ht="15" thickTop="1" x14ac:dyDescent="0.35">
      <c r="B43" s="5"/>
      <c r="C43" s="15" t="s">
        <v>169</v>
      </c>
      <c r="D43" s="6"/>
      <c r="E43" s="15" t="s">
        <v>8</v>
      </c>
      <c r="F43" s="6" t="s">
        <v>8</v>
      </c>
      <c r="G43" s="15" t="s">
        <v>23</v>
      </c>
      <c r="H43" s="6" t="s">
        <v>251</v>
      </c>
      <c r="I43" s="15" t="s">
        <v>166</v>
      </c>
      <c r="J43" s="39" t="s">
        <v>166</v>
      </c>
      <c r="K43" s="80" t="s">
        <v>96</v>
      </c>
      <c r="L43" s="80"/>
      <c r="M43" s="15"/>
      <c r="N43" s="39"/>
      <c r="O43" s="163" t="s">
        <v>243</v>
      </c>
      <c r="P43" s="103"/>
      <c r="Q43" s="141"/>
      <c r="R43" s="137"/>
      <c r="S43" s="6" t="s">
        <v>86</v>
      </c>
      <c r="T43" s="6"/>
      <c r="U43" s="6"/>
    </row>
    <row r="44" spans="2:22" x14ac:dyDescent="0.35">
      <c r="B44" s="51"/>
      <c r="C44" s="7" t="s">
        <v>161</v>
      </c>
      <c r="D44" s="3" t="s">
        <v>167</v>
      </c>
      <c r="E44" s="7" t="s">
        <v>161</v>
      </c>
      <c r="F44" s="3" t="s">
        <v>164</v>
      </c>
      <c r="G44" s="7" t="s">
        <v>165</v>
      </c>
      <c r="H44" s="3" t="s">
        <v>258</v>
      </c>
      <c r="I44" s="7" t="s">
        <v>171</v>
      </c>
      <c r="J44" s="140" t="s">
        <v>170</v>
      </c>
      <c r="K44" s="7"/>
      <c r="L44" s="3"/>
      <c r="M44" s="3"/>
      <c r="N44" s="140" t="s">
        <v>172</v>
      </c>
      <c r="O44" s="165" t="s">
        <v>174</v>
      </c>
      <c r="P44" s="141"/>
      <c r="Q44" s="141"/>
      <c r="R44" s="123"/>
      <c r="S44" s="3"/>
      <c r="T44" s="3"/>
      <c r="U44" s="3"/>
    </row>
    <row r="45" spans="2:22" ht="15" thickBot="1" x14ac:dyDescent="0.4">
      <c r="B45" s="17"/>
      <c r="C45" s="13"/>
      <c r="D45" s="18" t="s">
        <v>168</v>
      </c>
      <c r="E45" s="13" t="s">
        <v>162</v>
      </c>
      <c r="F45" s="18" t="s">
        <v>162</v>
      </c>
      <c r="G45" s="13" t="s">
        <v>162</v>
      </c>
      <c r="H45" s="18" t="s">
        <v>252</v>
      </c>
      <c r="I45" s="13" t="s">
        <v>34</v>
      </c>
      <c r="J45" s="40" t="s">
        <v>34</v>
      </c>
      <c r="K45" s="13">
        <v>2021</v>
      </c>
      <c r="L45" s="18">
        <v>2022</v>
      </c>
      <c r="M45" s="18">
        <v>2023</v>
      </c>
      <c r="N45" s="40">
        <v>2024</v>
      </c>
      <c r="O45" s="13">
        <v>2023</v>
      </c>
      <c r="P45" s="40">
        <v>2024</v>
      </c>
      <c r="Q45" s="104"/>
      <c r="R45" s="112"/>
      <c r="S45" s="18" t="s">
        <v>87</v>
      </c>
      <c r="T45" s="18" t="s">
        <v>88</v>
      </c>
      <c r="U45" s="18" t="s">
        <v>89</v>
      </c>
      <c r="V45" s="3" t="s">
        <v>35</v>
      </c>
    </row>
    <row r="46" spans="2:22" ht="15" thickTop="1" x14ac:dyDescent="0.35">
      <c r="B46" s="65" t="s">
        <v>42</v>
      </c>
      <c r="C46" s="15"/>
      <c r="D46" s="23" t="s">
        <v>25</v>
      </c>
      <c r="E46" s="6"/>
      <c r="F46" s="69" t="s">
        <v>24</v>
      </c>
      <c r="G46" s="29" t="s">
        <v>75</v>
      </c>
      <c r="H46" s="161" t="s">
        <v>255</v>
      </c>
      <c r="I46" s="5" t="s">
        <v>36</v>
      </c>
      <c r="J46" s="24" t="s">
        <v>36</v>
      </c>
      <c r="K46" s="124" t="s">
        <v>35</v>
      </c>
      <c r="L46" s="125" t="s">
        <v>35</v>
      </c>
      <c r="M46" s="126" t="s">
        <v>35</v>
      </c>
      <c r="N46" s="164" t="s">
        <v>35</v>
      </c>
      <c r="O46" s="105" t="s">
        <v>93</v>
      </c>
      <c r="P46" s="105" t="s">
        <v>93</v>
      </c>
      <c r="Q46" s="105"/>
      <c r="R46" s="138" t="s">
        <v>42</v>
      </c>
      <c r="S46" t="s">
        <v>25</v>
      </c>
      <c r="T46" t="s">
        <v>25</v>
      </c>
      <c r="U46" t="s">
        <v>25</v>
      </c>
      <c r="V46" s="3" t="s">
        <v>35</v>
      </c>
    </row>
    <row r="47" spans="2:22" x14ac:dyDescent="0.35">
      <c r="B47" s="7" t="s">
        <v>110</v>
      </c>
      <c r="C47" s="85" t="s">
        <v>25</v>
      </c>
      <c r="D47" s="84" t="s">
        <v>25</v>
      </c>
      <c r="E47" s="20"/>
      <c r="F47" s="70" t="s">
        <v>24</v>
      </c>
      <c r="G47" s="85" t="s">
        <v>37</v>
      </c>
      <c r="H47" s="20" t="s">
        <v>254</v>
      </c>
      <c r="I47" s="51" t="s">
        <v>36</v>
      </c>
      <c r="J47" s="25" t="s">
        <v>36</v>
      </c>
      <c r="K47" s="51" t="s">
        <v>98</v>
      </c>
      <c r="L47" t="s">
        <v>98</v>
      </c>
      <c r="M47" s="220" t="s">
        <v>95</v>
      </c>
      <c r="N47" s="41" t="s">
        <v>172</v>
      </c>
      <c r="O47" s="105" t="s">
        <v>36</v>
      </c>
      <c r="P47" s="105" t="s">
        <v>36</v>
      </c>
      <c r="Q47" s="105"/>
      <c r="R47" s="104" t="s">
        <v>130</v>
      </c>
      <c r="S47" t="s">
        <v>25</v>
      </c>
      <c r="T47" t="s">
        <v>25</v>
      </c>
      <c r="U47" t="s">
        <v>25</v>
      </c>
      <c r="V47" s="3" t="s">
        <v>35</v>
      </c>
    </row>
    <row r="48" spans="2:22" x14ac:dyDescent="0.35">
      <c r="B48" s="65" t="s">
        <v>109</v>
      </c>
      <c r="C48" s="85" t="s">
        <v>25</v>
      </c>
      <c r="D48" s="26" t="s">
        <v>25</v>
      </c>
      <c r="E48" s="20"/>
      <c r="F48" s="70" t="s">
        <v>24</v>
      </c>
      <c r="G48" s="31" t="s">
        <v>38</v>
      </c>
      <c r="H48" s="97" t="s">
        <v>256</v>
      </c>
      <c r="I48" s="51" t="s">
        <v>36</v>
      </c>
      <c r="J48" s="25" t="s">
        <v>36</v>
      </c>
      <c r="K48" s="51" t="s">
        <v>99</v>
      </c>
      <c r="L48" t="s">
        <v>99</v>
      </c>
      <c r="M48" s="220" t="s">
        <v>95</v>
      </c>
      <c r="N48" s="41" t="s">
        <v>172</v>
      </c>
      <c r="O48" s="105" t="s">
        <v>36</v>
      </c>
      <c r="P48" s="105" t="s">
        <v>36</v>
      </c>
      <c r="Q48" s="105"/>
      <c r="R48" s="138" t="s">
        <v>139</v>
      </c>
      <c r="S48" t="s">
        <v>25</v>
      </c>
      <c r="T48" t="s">
        <v>25</v>
      </c>
      <c r="U48" t="s">
        <v>25</v>
      </c>
      <c r="V48" s="3" t="s">
        <v>35</v>
      </c>
    </row>
    <row r="49" spans="2:22" x14ac:dyDescent="0.35">
      <c r="B49" s="65" t="s">
        <v>111</v>
      </c>
      <c r="C49" s="85" t="s">
        <v>25</v>
      </c>
      <c r="D49" s="26" t="s">
        <v>25</v>
      </c>
      <c r="E49" s="20"/>
      <c r="F49" s="70" t="s">
        <v>24</v>
      </c>
      <c r="G49" s="31" t="s">
        <v>39</v>
      </c>
      <c r="H49" s="97" t="s">
        <v>257</v>
      </c>
      <c r="I49" s="51" t="s">
        <v>36</v>
      </c>
      <c r="J49" s="25" t="s">
        <v>36</v>
      </c>
      <c r="K49" s="31" t="s">
        <v>103</v>
      </c>
      <c r="L49" s="97" t="s">
        <v>103</v>
      </c>
      <c r="M49" s="220" t="s">
        <v>95</v>
      </c>
      <c r="N49" s="41" t="s">
        <v>172</v>
      </c>
      <c r="O49" s="105" t="s">
        <v>36</v>
      </c>
      <c r="P49" s="105" t="s">
        <v>36</v>
      </c>
      <c r="Q49" s="105"/>
      <c r="R49" s="138" t="s">
        <v>111</v>
      </c>
      <c r="S49" t="s">
        <v>25</v>
      </c>
      <c r="T49" t="s">
        <v>25</v>
      </c>
      <c r="U49" t="s">
        <v>25</v>
      </c>
      <c r="V49" s="3" t="s">
        <v>35</v>
      </c>
    </row>
    <row r="50" spans="2:22" x14ac:dyDescent="0.35">
      <c r="B50" s="65" t="s">
        <v>116</v>
      </c>
      <c r="C50" s="85" t="s">
        <v>25</v>
      </c>
      <c r="D50" s="26" t="s">
        <v>25</v>
      </c>
      <c r="E50" s="20"/>
      <c r="F50" s="70" t="s">
        <v>24</v>
      </c>
      <c r="G50" s="31" t="s">
        <v>46</v>
      </c>
      <c r="H50" s="97" t="s">
        <v>259</v>
      </c>
      <c r="I50" s="51" t="s">
        <v>36</v>
      </c>
      <c r="J50" s="25" t="s">
        <v>36</v>
      </c>
      <c r="K50" s="51" t="s">
        <v>108</v>
      </c>
      <c r="L50" t="s">
        <v>108</v>
      </c>
      <c r="M50" s="220" t="s">
        <v>95</v>
      </c>
      <c r="N50" s="41" t="s">
        <v>172</v>
      </c>
      <c r="O50" s="105" t="s">
        <v>36</v>
      </c>
      <c r="P50" s="105" t="s">
        <v>36</v>
      </c>
      <c r="Q50" s="105"/>
      <c r="R50" s="138" t="s">
        <v>135</v>
      </c>
      <c r="S50" t="s">
        <v>25</v>
      </c>
      <c r="T50" t="s">
        <v>25</v>
      </c>
      <c r="U50" t="s">
        <v>25</v>
      </c>
      <c r="V50" s="3" t="s">
        <v>35</v>
      </c>
    </row>
    <row r="51" spans="2:22" x14ac:dyDescent="0.35">
      <c r="B51" s="65" t="s">
        <v>112</v>
      </c>
      <c r="C51" s="85" t="s">
        <v>25</v>
      </c>
      <c r="D51" s="26" t="s">
        <v>25</v>
      </c>
      <c r="E51" s="20"/>
      <c r="F51" s="70" t="s">
        <v>24</v>
      </c>
      <c r="G51" s="31" t="s">
        <v>40</v>
      </c>
      <c r="H51" s="97" t="s">
        <v>260</v>
      </c>
      <c r="I51" s="51" t="s">
        <v>36</v>
      </c>
      <c r="J51" s="25" t="s">
        <v>36</v>
      </c>
      <c r="K51" s="51" t="s">
        <v>104</v>
      </c>
      <c r="L51" t="s">
        <v>104</v>
      </c>
      <c r="M51" s="220" t="s">
        <v>95</v>
      </c>
      <c r="N51" s="41" t="s">
        <v>172</v>
      </c>
      <c r="O51" s="105" t="s">
        <v>36</v>
      </c>
      <c r="P51" s="105" t="s">
        <v>36</v>
      </c>
      <c r="Q51" s="105"/>
      <c r="R51" s="138" t="s">
        <v>137</v>
      </c>
      <c r="S51" t="s">
        <v>25</v>
      </c>
      <c r="T51" t="s">
        <v>25</v>
      </c>
      <c r="U51" t="s">
        <v>25</v>
      </c>
      <c r="V51" s="3" t="s">
        <v>35</v>
      </c>
    </row>
    <row r="52" spans="2:22" x14ac:dyDescent="0.35">
      <c r="B52" s="7" t="s">
        <v>11</v>
      </c>
      <c r="C52" s="85" t="s">
        <v>25</v>
      </c>
      <c r="D52" s="26" t="s">
        <v>25</v>
      </c>
      <c r="E52" s="20"/>
      <c r="F52" s="70" t="s">
        <v>24</v>
      </c>
      <c r="G52" s="31" t="s">
        <v>41</v>
      </c>
      <c r="H52" s="97" t="s">
        <v>261</v>
      </c>
      <c r="I52" s="51" t="s">
        <v>36</v>
      </c>
      <c r="J52" s="25" t="s">
        <v>36</v>
      </c>
      <c r="K52" s="51" t="s">
        <v>94</v>
      </c>
      <c r="L52" t="s">
        <v>94</v>
      </c>
      <c r="M52" t="s">
        <v>35</v>
      </c>
      <c r="N52" s="41" t="s">
        <v>172</v>
      </c>
      <c r="O52" s="105" t="s">
        <v>36</v>
      </c>
      <c r="P52" s="105" t="s">
        <v>36</v>
      </c>
      <c r="Q52" s="105"/>
      <c r="R52" s="104" t="s">
        <v>11</v>
      </c>
      <c r="S52" t="s">
        <v>25</v>
      </c>
      <c r="T52" t="s">
        <v>25</v>
      </c>
      <c r="U52" t="s">
        <v>25</v>
      </c>
      <c r="V52" s="3" t="s">
        <v>35</v>
      </c>
    </row>
    <row r="53" spans="2:22" x14ac:dyDescent="0.35">
      <c r="B53" s="7" t="s">
        <v>113</v>
      </c>
      <c r="C53" s="85" t="s">
        <v>25</v>
      </c>
      <c r="D53" s="26" t="s">
        <v>25</v>
      </c>
      <c r="E53" s="20"/>
      <c r="F53" s="70" t="s">
        <v>24</v>
      </c>
      <c r="G53" s="31" t="s">
        <v>43</v>
      </c>
      <c r="H53" s="97" t="s">
        <v>262</v>
      </c>
      <c r="I53" s="51" t="s">
        <v>36</v>
      </c>
      <c r="J53" s="25" t="s">
        <v>36</v>
      </c>
      <c r="K53" s="51" t="s">
        <v>105</v>
      </c>
      <c r="L53" t="s">
        <v>105</v>
      </c>
      <c r="M53" s="220" t="s">
        <v>95</v>
      </c>
      <c r="N53" s="41" t="s">
        <v>172</v>
      </c>
      <c r="O53" s="105" t="s">
        <v>36</v>
      </c>
      <c r="P53" s="105" t="s">
        <v>36</v>
      </c>
      <c r="Q53" s="105"/>
      <c r="R53" s="104" t="s">
        <v>138</v>
      </c>
      <c r="S53" t="s">
        <v>25</v>
      </c>
      <c r="T53" t="s">
        <v>25</v>
      </c>
      <c r="U53" t="s">
        <v>25</v>
      </c>
      <c r="V53" s="3" t="s">
        <v>35</v>
      </c>
    </row>
    <row r="54" spans="2:22" x14ac:dyDescent="0.35">
      <c r="B54" s="65" t="s">
        <v>114</v>
      </c>
      <c r="C54" s="85" t="s">
        <v>25</v>
      </c>
      <c r="D54" s="26" t="s">
        <v>25</v>
      </c>
      <c r="E54" s="20"/>
      <c r="F54" s="70" t="s">
        <v>24</v>
      </c>
      <c r="G54" s="31" t="s">
        <v>44</v>
      </c>
      <c r="H54" s="97" t="s">
        <v>263</v>
      </c>
      <c r="I54" s="51" t="s">
        <v>36</v>
      </c>
      <c r="J54" s="25" t="s">
        <v>36</v>
      </c>
      <c r="K54" s="51" t="s">
        <v>106</v>
      </c>
      <c r="L54" t="s">
        <v>106</v>
      </c>
      <c r="M54" s="220" t="s">
        <v>95</v>
      </c>
      <c r="N54" s="41" t="s">
        <v>172</v>
      </c>
      <c r="O54" s="105" t="s">
        <v>36</v>
      </c>
      <c r="P54" s="105" t="s">
        <v>36</v>
      </c>
      <c r="Q54" s="105"/>
      <c r="R54" s="138" t="s">
        <v>140</v>
      </c>
      <c r="S54" t="s">
        <v>25</v>
      </c>
      <c r="T54" t="s">
        <v>25</v>
      </c>
      <c r="U54" t="s">
        <v>25</v>
      </c>
      <c r="V54" s="3" t="s">
        <v>35</v>
      </c>
    </row>
    <row r="55" spans="2:22" x14ac:dyDescent="0.35">
      <c r="B55" s="65" t="s">
        <v>115</v>
      </c>
      <c r="C55" s="85" t="s">
        <v>25</v>
      </c>
      <c r="D55" s="26" t="s">
        <v>25</v>
      </c>
      <c r="E55" s="20"/>
      <c r="F55" s="70" t="s">
        <v>24</v>
      </c>
      <c r="G55" s="31" t="s">
        <v>45</v>
      </c>
      <c r="H55" s="97" t="s">
        <v>264</v>
      </c>
      <c r="I55" s="51" t="s">
        <v>36</v>
      </c>
      <c r="J55" s="25" t="s">
        <v>36</v>
      </c>
      <c r="K55" s="51" t="s">
        <v>107</v>
      </c>
      <c r="L55" t="s">
        <v>107</v>
      </c>
      <c r="M55" s="220" t="s">
        <v>95</v>
      </c>
      <c r="N55" s="41" t="s">
        <v>172</v>
      </c>
      <c r="O55" s="105" t="s">
        <v>36</v>
      </c>
      <c r="P55" s="105" t="s">
        <v>36</v>
      </c>
      <c r="Q55" s="105"/>
      <c r="R55" s="138" t="s">
        <v>136</v>
      </c>
      <c r="S55" t="s">
        <v>25</v>
      </c>
      <c r="T55" t="s">
        <v>25</v>
      </c>
      <c r="U55" t="s">
        <v>25</v>
      </c>
      <c r="V55" s="3" t="s">
        <v>35</v>
      </c>
    </row>
    <row r="56" spans="2:22" x14ac:dyDescent="0.35">
      <c r="B56" s="65" t="s">
        <v>117</v>
      </c>
      <c r="C56" s="85" t="s">
        <v>25</v>
      </c>
      <c r="D56" s="26" t="s">
        <v>25</v>
      </c>
      <c r="E56" s="20"/>
      <c r="F56" s="70" t="s">
        <v>24</v>
      </c>
      <c r="G56" s="31" t="s">
        <v>48</v>
      </c>
      <c r="H56" s="97" t="s">
        <v>265</v>
      </c>
      <c r="I56" s="51" t="s">
        <v>36</v>
      </c>
      <c r="J56" s="25" t="s">
        <v>36</v>
      </c>
      <c r="K56" s="31" t="s">
        <v>97</v>
      </c>
      <c r="L56" s="97" t="s">
        <v>97</v>
      </c>
      <c r="M56" s="221" t="s">
        <v>35</v>
      </c>
      <c r="N56" s="41" t="s">
        <v>172</v>
      </c>
      <c r="O56" s="105" t="s">
        <v>36</v>
      </c>
      <c r="P56" s="105" t="s">
        <v>36</v>
      </c>
      <c r="Q56" s="105"/>
      <c r="R56" s="138" t="s">
        <v>134</v>
      </c>
      <c r="S56" t="s">
        <v>25</v>
      </c>
      <c r="T56" t="s">
        <v>25</v>
      </c>
      <c r="U56" t="s">
        <v>25</v>
      </c>
      <c r="V56" s="3" t="s">
        <v>35</v>
      </c>
    </row>
    <row r="57" spans="2:22" x14ac:dyDescent="0.35">
      <c r="B57" s="7" t="s">
        <v>13</v>
      </c>
      <c r="C57" s="85" t="s">
        <v>25</v>
      </c>
      <c r="D57" s="26" t="s">
        <v>25</v>
      </c>
      <c r="E57" s="20"/>
      <c r="F57" s="70" t="s">
        <v>24</v>
      </c>
      <c r="G57" s="31" t="s">
        <v>49</v>
      </c>
      <c r="H57" s="97" t="s">
        <v>266</v>
      </c>
      <c r="I57" s="51" t="s">
        <v>36</v>
      </c>
      <c r="J57" s="25" t="s">
        <v>36</v>
      </c>
      <c r="K57" s="51" t="s">
        <v>141</v>
      </c>
      <c r="L57" t="s">
        <v>141</v>
      </c>
      <c r="M57" s="221" t="s">
        <v>35</v>
      </c>
      <c r="N57" s="41" t="s">
        <v>172</v>
      </c>
      <c r="O57" s="105" t="s">
        <v>36</v>
      </c>
      <c r="P57" s="105" t="s">
        <v>36</v>
      </c>
      <c r="Q57" s="105"/>
      <c r="R57" s="104" t="s">
        <v>13</v>
      </c>
      <c r="S57" t="s">
        <v>25</v>
      </c>
      <c r="T57" t="s">
        <v>25</v>
      </c>
      <c r="U57" t="s">
        <v>25</v>
      </c>
      <c r="V57" s="3" t="s">
        <v>35</v>
      </c>
    </row>
    <row r="58" spans="2:22" x14ac:dyDescent="0.35">
      <c r="B58" s="7" t="s">
        <v>118</v>
      </c>
      <c r="C58" s="85" t="s">
        <v>25</v>
      </c>
      <c r="D58" s="26" t="s">
        <v>25</v>
      </c>
      <c r="E58" s="20"/>
      <c r="F58" s="70" t="s">
        <v>24</v>
      </c>
      <c r="G58" s="31" t="s">
        <v>50</v>
      </c>
      <c r="H58" s="97" t="s">
        <v>267</v>
      </c>
      <c r="I58" s="51" t="s">
        <v>36</v>
      </c>
      <c r="J58" s="25" t="s">
        <v>36</v>
      </c>
      <c r="K58" s="51" t="s">
        <v>142</v>
      </c>
      <c r="L58" t="s">
        <v>142</v>
      </c>
      <c r="M58" s="220" t="s">
        <v>95</v>
      </c>
      <c r="N58" s="41" t="s">
        <v>172</v>
      </c>
      <c r="O58" s="105" t="s">
        <v>36</v>
      </c>
      <c r="P58" s="105" t="s">
        <v>36</v>
      </c>
      <c r="Q58" s="105"/>
      <c r="R58" s="104" t="s">
        <v>118</v>
      </c>
      <c r="S58" t="s">
        <v>25</v>
      </c>
      <c r="T58" t="s">
        <v>25</v>
      </c>
      <c r="U58" t="s">
        <v>25</v>
      </c>
      <c r="V58" s="3" t="s">
        <v>35</v>
      </c>
    </row>
    <row r="59" spans="2:22" x14ac:dyDescent="0.35">
      <c r="B59" s="65" t="s">
        <v>119</v>
      </c>
      <c r="C59" s="85" t="s">
        <v>25</v>
      </c>
      <c r="D59" s="26" t="s">
        <v>25</v>
      </c>
      <c r="E59" s="20"/>
      <c r="F59" s="70" t="s">
        <v>24</v>
      </c>
      <c r="G59" s="31" t="s">
        <v>51</v>
      </c>
      <c r="H59" s="97" t="s">
        <v>268</v>
      </c>
      <c r="I59" s="51" t="s">
        <v>36</v>
      </c>
      <c r="J59" s="25" t="s">
        <v>36</v>
      </c>
      <c r="K59" s="51" t="s">
        <v>143</v>
      </c>
      <c r="L59" t="s">
        <v>143</v>
      </c>
      <c r="M59" s="220" t="s">
        <v>95</v>
      </c>
      <c r="N59" s="41" t="s">
        <v>172</v>
      </c>
      <c r="O59" s="105" t="s">
        <v>36</v>
      </c>
      <c r="P59" s="105" t="s">
        <v>36</v>
      </c>
      <c r="Q59" s="105"/>
      <c r="R59" s="138" t="s">
        <v>133</v>
      </c>
      <c r="S59" t="s">
        <v>25</v>
      </c>
      <c r="T59" t="s">
        <v>25</v>
      </c>
      <c r="U59" t="s">
        <v>25</v>
      </c>
      <c r="V59" s="3" t="s">
        <v>35</v>
      </c>
    </row>
    <row r="60" spans="2:22" x14ac:dyDescent="0.35">
      <c r="B60" s="65" t="s">
        <v>120</v>
      </c>
      <c r="C60" s="85" t="s">
        <v>25</v>
      </c>
      <c r="D60" s="26" t="s">
        <v>25</v>
      </c>
      <c r="E60" s="20"/>
      <c r="F60" s="70" t="s">
        <v>24</v>
      </c>
      <c r="G60" s="31" t="s">
        <v>52</v>
      </c>
      <c r="H60" s="97" t="s">
        <v>269</v>
      </c>
      <c r="I60" s="51" t="s">
        <v>36</v>
      </c>
      <c r="J60" s="25" t="s">
        <v>36</v>
      </c>
      <c r="K60" s="31" t="s">
        <v>144</v>
      </c>
      <c r="L60" t="s">
        <v>144</v>
      </c>
      <c r="M60" s="220" t="s">
        <v>95</v>
      </c>
      <c r="N60" s="41" t="s">
        <v>172</v>
      </c>
      <c r="O60" s="105" t="s">
        <v>36</v>
      </c>
      <c r="P60" s="105" t="s">
        <v>36</v>
      </c>
      <c r="Q60" s="105"/>
      <c r="R60" s="138" t="s">
        <v>131</v>
      </c>
      <c r="S60" t="s">
        <v>25</v>
      </c>
      <c r="T60" t="s">
        <v>25</v>
      </c>
      <c r="U60" t="s">
        <v>25</v>
      </c>
      <c r="V60" s="3" t="s">
        <v>35</v>
      </c>
    </row>
    <row r="61" spans="2:22" ht="15" thickBot="1" x14ac:dyDescent="0.4">
      <c r="B61" s="7" t="s">
        <v>121</v>
      </c>
      <c r="C61" s="85" t="s">
        <v>25</v>
      </c>
      <c r="D61" s="26" t="s">
        <v>25</v>
      </c>
      <c r="E61" s="20"/>
      <c r="F61" s="70" t="s">
        <v>24</v>
      </c>
      <c r="G61" s="31" t="s">
        <v>53</v>
      </c>
      <c r="H61" s="97" t="s">
        <v>270</v>
      </c>
      <c r="I61" s="51" t="s">
        <v>36</v>
      </c>
      <c r="J61" s="25" t="s">
        <v>36</v>
      </c>
      <c r="K61" s="17" t="s">
        <v>145</v>
      </c>
      <c r="L61" s="14" t="s">
        <v>145</v>
      </c>
      <c r="M61" s="222" t="s">
        <v>95</v>
      </c>
      <c r="N61" s="132" t="s">
        <v>172</v>
      </c>
      <c r="O61" s="105" t="s">
        <v>36</v>
      </c>
      <c r="P61" s="105" t="s">
        <v>36</v>
      </c>
      <c r="Q61" s="105"/>
      <c r="R61" s="104" t="s">
        <v>132</v>
      </c>
      <c r="S61" t="s">
        <v>25</v>
      </c>
      <c r="T61" t="s">
        <v>25</v>
      </c>
      <c r="U61" t="s">
        <v>25</v>
      </c>
      <c r="V61" s="3" t="s">
        <v>35</v>
      </c>
    </row>
    <row r="62" spans="2:22" ht="15" thickTop="1" x14ac:dyDescent="0.35">
      <c r="B62" s="72" t="s">
        <v>90</v>
      </c>
      <c r="C62" s="154" t="s">
        <v>24</v>
      </c>
      <c r="D62" s="69" t="s">
        <v>24</v>
      </c>
      <c r="E62" s="69" t="s">
        <v>24</v>
      </c>
      <c r="F62" s="86" t="s">
        <v>24</v>
      </c>
      <c r="G62" s="89" t="s">
        <v>36</v>
      </c>
      <c r="H62" s="19" t="s">
        <v>36</v>
      </c>
      <c r="I62" s="5" t="s">
        <v>36</v>
      </c>
      <c r="J62" s="24" t="s">
        <v>36</v>
      </c>
      <c r="K62" s="134" t="s">
        <v>35</v>
      </c>
      <c r="L62" s="79" t="s">
        <v>35</v>
      </c>
      <c r="M62" s="113" t="s">
        <v>35</v>
      </c>
      <c r="N62" s="113"/>
      <c r="O62" s="110" t="s">
        <v>36</v>
      </c>
      <c r="P62" s="110" t="s">
        <v>36</v>
      </c>
      <c r="Q62" s="105"/>
      <c r="R62" s="139" t="s">
        <v>90</v>
      </c>
      <c r="S62" s="69" t="s">
        <v>24</v>
      </c>
      <c r="T62" s="69" t="s">
        <v>24</v>
      </c>
      <c r="U62" s="69" t="s">
        <v>24</v>
      </c>
      <c r="V62" s="3" t="s">
        <v>35</v>
      </c>
    </row>
    <row r="63" spans="2:22" x14ac:dyDescent="0.35">
      <c r="B63" s="7" t="s">
        <v>91</v>
      </c>
      <c r="C63" s="155" t="s">
        <v>24</v>
      </c>
      <c r="D63" s="70" t="s">
        <v>24</v>
      </c>
      <c r="E63" s="70" t="s">
        <v>24</v>
      </c>
      <c r="F63" s="87" t="s">
        <v>24</v>
      </c>
      <c r="G63" s="90" t="s">
        <v>36</v>
      </c>
      <c r="H63" t="s">
        <v>36</v>
      </c>
      <c r="I63" s="51" t="s">
        <v>36</v>
      </c>
      <c r="J63" s="25" t="s">
        <v>36</v>
      </c>
      <c r="K63" s="119" t="s">
        <v>35</v>
      </c>
      <c r="L63" s="119" t="s">
        <v>35</v>
      </c>
      <c r="M63" s="118" t="s">
        <v>35</v>
      </c>
      <c r="N63" s="218"/>
      <c r="O63" s="105" t="s">
        <v>36</v>
      </c>
      <c r="P63" s="105" t="s">
        <v>36</v>
      </c>
      <c r="Q63" s="105"/>
      <c r="R63" s="104" t="s">
        <v>91</v>
      </c>
      <c r="S63" s="70" t="s">
        <v>24</v>
      </c>
      <c r="T63" s="70" t="s">
        <v>24</v>
      </c>
      <c r="U63" s="70" t="s">
        <v>24</v>
      </c>
      <c r="V63" s="3" t="s">
        <v>35</v>
      </c>
    </row>
    <row r="64" spans="2:22" ht="15" thickBot="1" x14ac:dyDescent="0.4">
      <c r="B64" s="7" t="s">
        <v>92</v>
      </c>
      <c r="C64" s="156" t="s">
        <v>24</v>
      </c>
      <c r="D64" s="68" t="s">
        <v>24</v>
      </c>
      <c r="E64" s="68" t="s">
        <v>24</v>
      </c>
      <c r="F64" s="88" t="s">
        <v>24</v>
      </c>
      <c r="G64" s="67" t="s">
        <v>36</v>
      </c>
      <c r="H64" s="14" t="s">
        <v>36</v>
      </c>
      <c r="I64" s="17" t="s">
        <v>36</v>
      </c>
      <c r="J64" s="28" t="s">
        <v>36</v>
      </c>
      <c r="K64" s="119" t="s">
        <v>35</v>
      </c>
      <c r="L64" s="119" t="s">
        <v>35</v>
      </c>
      <c r="M64" s="118" t="s">
        <v>35</v>
      </c>
      <c r="N64" s="219"/>
      <c r="O64" s="105" t="s">
        <v>36</v>
      </c>
      <c r="P64" s="105" t="s">
        <v>36</v>
      </c>
      <c r="Q64" s="105"/>
      <c r="R64" s="104" t="s">
        <v>92</v>
      </c>
      <c r="S64" s="68" t="s">
        <v>24</v>
      </c>
      <c r="T64" s="68" t="s">
        <v>24</v>
      </c>
      <c r="U64" s="68" t="s">
        <v>24</v>
      </c>
    </row>
    <row r="65" spans="2:21" ht="15" thickTop="1" x14ac:dyDescent="0.35">
      <c r="B65" s="15" t="s">
        <v>122</v>
      </c>
      <c r="C65" s="154" t="s">
        <v>35</v>
      </c>
      <c r="D65" s="19" t="s">
        <v>35</v>
      </c>
      <c r="E65" s="120" t="s">
        <v>67</v>
      </c>
      <c r="F65" s="19"/>
      <c r="G65" s="29" t="s">
        <v>55</v>
      </c>
      <c r="H65" s="161" t="s">
        <v>271</v>
      </c>
      <c r="I65" s="5" t="s">
        <v>36</v>
      </c>
      <c r="J65" s="24" t="s">
        <v>36</v>
      </c>
      <c r="K65" s="5" t="s">
        <v>101</v>
      </c>
      <c r="L65" s="19" t="s">
        <v>101</v>
      </c>
      <c r="M65" s="121" t="s">
        <v>36</v>
      </c>
      <c r="N65" s="121"/>
      <c r="O65" s="111" t="s">
        <v>67</v>
      </c>
      <c r="P65" s="111" t="s">
        <v>67</v>
      </c>
      <c r="Q65" s="149" t="s">
        <v>35</v>
      </c>
      <c r="R65" s="80" t="s">
        <v>122</v>
      </c>
      <c r="S65" s="119" t="s">
        <v>35</v>
      </c>
      <c r="T65" s="119" t="s">
        <v>35</v>
      </c>
      <c r="U65" s="119" t="s">
        <v>35</v>
      </c>
    </row>
    <row r="66" spans="2:21" x14ac:dyDescent="0.35">
      <c r="B66" s="7" t="s">
        <v>123</v>
      </c>
      <c r="C66" s="155" t="s">
        <v>35</v>
      </c>
      <c r="E66" s="122" t="s">
        <v>65</v>
      </c>
      <c r="F66" s="122"/>
      <c r="G66" s="31" t="s">
        <v>73</v>
      </c>
      <c r="H66" s="97" t="s">
        <v>272</v>
      </c>
      <c r="I66" s="51" t="s">
        <v>36</v>
      </c>
      <c r="J66" s="25" t="s">
        <v>36</v>
      </c>
      <c r="K66" s="31" t="s">
        <v>100</v>
      </c>
      <c r="L66" s="97" t="s">
        <v>100</v>
      </c>
      <c r="M66" s="93" t="s">
        <v>102</v>
      </c>
      <c r="N66" s="93"/>
      <c r="O66" s="123" t="s">
        <v>36</v>
      </c>
      <c r="P66" s="123" t="s">
        <v>36</v>
      </c>
      <c r="Q66" s="123"/>
      <c r="R66" s="104" t="s">
        <v>123</v>
      </c>
      <c r="S66" s="119" t="s">
        <v>35</v>
      </c>
      <c r="T66" s="119" t="s">
        <v>35</v>
      </c>
      <c r="U66" s="119" t="s">
        <v>35</v>
      </c>
    </row>
    <row r="67" spans="2:21" x14ac:dyDescent="0.35">
      <c r="B67" s="7" t="s">
        <v>246</v>
      </c>
      <c r="C67" s="155"/>
      <c r="E67" s="122"/>
      <c r="F67" s="122"/>
      <c r="G67" s="31"/>
      <c r="H67" s="97"/>
      <c r="I67" s="223" t="s">
        <v>35</v>
      </c>
      <c r="J67" s="225" t="s">
        <v>35</v>
      </c>
      <c r="K67" s="31"/>
      <c r="L67" s="97"/>
      <c r="M67" s="93"/>
      <c r="N67" s="93"/>
      <c r="O67" s="123"/>
      <c r="P67" s="123"/>
      <c r="Q67" s="123"/>
      <c r="R67" s="104"/>
      <c r="S67" s="119"/>
      <c r="T67" s="119"/>
      <c r="U67" s="119"/>
    </row>
    <row r="68" spans="2:21" ht="15" thickBot="1" x14ac:dyDescent="0.4">
      <c r="B68" s="13" t="s">
        <v>245</v>
      </c>
      <c r="C68" s="156"/>
      <c r="D68" s="14"/>
      <c r="E68" s="215"/>
      <c r="F68" s="215"/>
      <c r="G68" s="32"/>
      <c r="H68" s="216"/>
      <c r="I68" s="226" t="s">
        <v>35</v>
      </c>
      <c r="J68" s="228" t="s">
        <v>35</v>
      </c>
      <c r="K68" s="32"/>
      <c r="L68" s="216"/>
      <c r="M68" s="217"/>
      <c r="N68" s="217"/>
      <c r="O68" s="112"/>
      <c r="P68" s="112"/>
      <c r="Q68" s="123"/>
      <c r="R68" s="104"/>
      <c r="S68" s="119"/>
      <c r="T68" s="119"/>
      <c r="U68" s="119"/>
    </row>
    <row r="69" spans="2:21" ht="15" thickTop="1" x14ac:dyDescent="0.35">
      <c r="B69" s="7" t="s">
        <v>124</v>
      </c>
      <c r="C69" s="152" t="s">
        <v>35</v>
      </c>
      <c r="D69" s="119" t="s">
        <v>35</v>
      </c>
      <c r="E69" s="118" t="s">
        <v>35</v>
      </c>
      <c r="F69" s="118" t="s">
        <v>35</v>
      </c>
      <c r="G69" s="99" t="s">
        <v>151</v>
      </c>
      <c r="H69" s="159"/>
      <c r="I69" s="99"/>
      <c r="J69" s="98" t="s">
        <v>35</v>
      </c>
      <c r="K69" s="94" t="s">
        <v>152</v>
      </c>
      <c r="L69" s="94" t="s">
        <v>152</v>
      </c>
      <c r="M69" s="41" t="s">
        <v>35</v>
      </c>
      <c r="N69" s="41" t="s">
        <v>172</v>
      </c>
      <c r="O69" s="123" t="s">
        <v>36</v>
      </c>
      <c r="P69" s="123" t="s">
        <v>36</v>
      </c>
      <c r="Q69" s="123"/>
      <c r="R69" s="104" t="s">
        <v>124</v>
      </c>
      <c r="S69" s="119" t="s">
        <v>35</v>
      </c>
      <c r="T69" s="119" t="s">
        <v>35</v>
      </c>
      <c r="U69" s="119" t="s">
        <v>35</v>
      </c>
    </row>
    <row r="70" spans="2:21" x14ac:dyDescent="0.35">
      <c r="B70" s="7" t="s">
        <v>129</v>
      </c>
      <c r="C70" s="152" t="s">
        <v>35</v>
      </c>
      <c r="D70" s="119" t="s">
        <v>35</v>
      </c>
      <c r="E70" s="118" t="s">
        <v>35</v>
      </c>
      <c r="F70" s="118" t="s">
        <v>35</v>
      </c>
      <c r="G70" s="99" t="s">
        <v>150</v>
      </c>
      <c r="H70" s="159"/>
      <c r="I70" s="99"/>
      <c r="J70" s="98" t="s">
        <v>35</v>
      </c>
      <c r="K70" s="94" t="s">
        <v>159</v>
      </c>
      <c r="L70" s="94" t="s">
        <v>159</v>
      </c>
      <c r="M70" s="41" t="s">
        <v>35</v>
      </c>
      <c r="N70" s="41" t="s">
        <v>172</v>
      </c>
      <c r="O70" s="123" t="s">
        <v>36</v>
      </c>
      <c r="P70" s="123" t="s">
        <v>36</v>
      </c>
      <c r="Q70" s="123"/>
      <c r="R70" s="104" t="s">
        <v>129</v>
      </c>
      <c r="S70" s="119" t="s">
        <v>35</v>
      </c>
      <c r="T70" s="119" t="s">
        <v>35</v>
      </c>
      <c r="U70" s="119" t="s">
        <v>35</v>
      </c>
    </row>
    <row r="71" spans="2:21" x14ac:dyDescent="0.35">
      <c r="B71" s="7" t="s">
        <v>125</v>
      </c>
      <c r="C71" s="152" t="s">
        <v>35</v>
      </c>
      <c r="D71" s="119" t="s">
        <v>35</v>
      </c>
      <c r="E71" s="118" t="s">
        <v>35</v>
      </c>
      <c r="F71" s="118" t="s">
        <v>35</v>
      </c>
      <c r="G71" s="99" t="s">
        <v>149</v>
      </c>
      <c r="H71" s="159"/>
      <c r="I71" s="99"/>
      <c r="J71" s="98" t="s">
        <v>35</v>
      </c>
      <c r="K71" s="94" t="s">
        <v>158</v>
      </c>
      <c r="L71" s="94" t="s">
        <v>158</v>
      </c>
      <c r="M71" s="41" t="s">
        <v>35</v>
      </c>
      <c r="N71" s="41" t="s">
        <v>172</v>
      </c>
      <c r="O71" s="123" t="s">
        <v>36</v>
      </c>
      <c r="P71" s="123" t="s">
        <v>36</v>
      </c>
      <c r="Q71" s="123"/>
      <c r="R71" s="104" t="s">
        <v>125</v>
      </c>
      <c r="S71" s="119" t="s">
        <v>35</v>
      </c>
      <c r="T71" s="119" t="s">
        <v>35</v>
      </c>
      <c r="U71" s="119" t="s">
        <v>35</v>
      </c>
    </row>
    <row r="72" spans="2:21" x14ac:dyDescent="0.35">
      <c r="B72" s="7" t="s">
        <v>128</v>
      </c>
      <c r="C72" s="152" t="s">
        <v>35</v>
      </c>
      <c r="D72" s="119" t="s">
        <v>35</v>
      </c>
      <c r="E72" s="118" t="s">
        <v>35</v>
      </c>
      <c r="F72" s="118" t="s">
        <v>35</v>
      </c>
      <c r="G72" s="99" t="s">
        <v>148</v>
      </c>
      <c r="H72" s="159"/>
      <c r="I72" s="99"/>
      <c r="J72" s="98" t="s">
        <v>35</v>
      </c>
      <c r="K72" s="94" t="s">
        <v>160</v>
      </c>
      <c r="L72" s="94" t="s">
        <v>160</v>
      </c>
      <c r="M72" s="41" t="s">
        <v>35</v>
      </c>
      <c r="N72" s="41" t="s">
        <v>172</v>
      </c>
      <c r="O72" s="123" t="s">
        <v>36</v>
      </c>
      <c r="P72" s="123" t="s">
        <v>36</v>
      </c>
      <c r="Q72" s="123"/>
      <c r="R72" s="104" t="s">
        <v>128</v>
      </c>
      <c r="S72" s="119" t="s">
        <v>35</v>
      </c>
      <c r="T72" s="119" t="s">
        <v>35</v>
      </c>
      <c r="U72" s="119" t="s">
        <v>35</v>
      </c>
    </row>
    <row r="73" spans="2:21" x14ac:dyDescent="0.35">
      <c r="B73" s="7" t="s">
        <v>126</v>
      </c>
      <c r="C73" s="152" t="s">
        <v>35</v>
      </c>
      <c r="D73" s="119" t="s">
        <v>35</v>
      </c>
      <c r="E73" s="118" t="s">
        <v>35</v>
      </c>
      <c r="F73" s="118" t="s">
        <v>35</v>
      </c>
      <c r="G73" s="99" t="s">
        <v>147</v>
      </c>
      <c r="H73" s="159"/>
      <c r="I73" s="99"/>
      <c r="J73" s="98" t="s">
        <v>35</v>
      </c>
      <c r="K73" s="94"/>
      <c r="L73" s="96"/>
      <c r="M73" s="41" t="s">
        <v>35</v>
      </c>
      <c r="N73" s="41" t="s">
        <v>172</v>
      </c>
      <c r="O73" s="123" t="s">
        <v>36</v>
      </c>
      <c r="P73" s="123" t="s">
        <v>36</v>
      </c>
      <c r="Q73" s="123"/>
      <c r="R73" s="104" t="s">
        <v>126</v>
      </c>
      <c r="S73" s="119" t="s">
        <v>35</v>
      </c>
      <c r="T73" s="119" t="s">
        <v>35</v>
      </c>
      <c r="U73" s="119" t="s">
        <v>35</v>
      </c>
    </row>
    <row r="74" spans="2:21" x14ac:dyDescent="0.35">
      <c r="B74" s="7" t="s">
        <v>247</v>
      </c>
      <c r="C74" s="152" t="s">
        <v>35</v>
      </c>
      <c r="D74" s="119" t="s">
        <v>35</v>
      </c>
      <c r="E74" s="118" t="s">
        <v>35</v>
      </c>
      <c r="F74" s="118" t="s">
        <v>35</v>
      </c>
      <c r="G74" s="99" t="s">
        <v>248</v>
      </c>
      <c r="H74" s="159"/>
      <c r="I74" s="99"/>
      <c r="J74" s="98" t="s">
        <v>35</v>
      </c>
      <c r="K74" s="94" t="s">
        <v>249</v>
      </c>
      <c r="L74" s="94" t="s">
        <v>249</v>
      </c>
      <c r="M74" s="41" t="s">
        <v>95</v>
      </c>
      <c r="N74" s="41" t="s">
        <v>172</v>
      </c>
      <c r="O74" s="123"/>
      <c r="P74" s="123"/>
      <c r="Q74" s="123"/>
      <c r="R74" s="104"/>
      <c r="S74" s="119"/>
      <c r="T74" s="119"/>
      <c r="U74" s="119"/>
    </row>
    <row r="75" spans="2:21" x14ac:dyDescent="0.35">
      <c r="B75" s="7" t="s">
        <v>153</v>
      </c>
      <c r="C75" s="152" t="s">
        <v>35</v>
      </c>
      <c r="D75" s="119" t="s">
        <v>35</v>
      </c>
      <c r="E75" s="118" t="s">
        <v>35</v>
      </c>
      <c r="F75" s="118" t="s">
        <v>35</v>
      </c>
      <c r="G75" s="99" t="s">
        <v>155</v>
      </c>
      <c r="H75" s="159"/>
      <c r="I75" s="99"/>
      <c r="J75" s="98" t="s">
        <v>35</v>
      </c>
      <c r="K75" s="94" t="s">
        <v>157</v>
      </c>
      <c r="L75" s="96" t="s">
        <v>156</v>
      </c>
      <c r="M75" s="41" t="s">
        <v>35</v>
      </c>
      <c r="N75" s="41" t="s">
        <v>172</v>
      </c>
      <c r="O75" s="123" t="s">
        <v>36</v>
      </c>
      <c r="P75" s="123" t="s">
        <v>36</v>
      </c>
      <c r="Q75" s="123"/>
      <c r="R75" s="104" t="s">
        <v>153</v>
      </c>
      <c r="S75" s="119" t="s">
        <v>35</v>
      </c>
      <c r="T75" s="119" t="s">
        <v>35</v>
      </c>
      <c r="U75" s="119" t="s">
        <v>35</v>
      </c>
    </row>
    <row r="76" spans="2:21" ht="15" thickBot="1" x14ac:dyDescent="0.4">
      <c r="B76" s="13" t="s">
        <v>127</v>
      </c>
      <c r="C76" s="157" t="s">
        <v>35</v>
      </c>
      <c r="D76" s="109" t="s">
        <v>35</v>
      </c>
      <c r="E76" s="107" t="s">
        <v>35</v>
      </c>
      <c r="F76" s="107" t="s">
        <v>35</v>
      </c>
      <c r="G76" s="136" t="s">
        <v>146</v>
      </c>
      <c r="H76" s="162"/>
      <c r="I76" s="136"/>
      <c r="J76" s="102" t="s">
        <v>35</v>
      </c>
      <c r="K76" s="130" t="s">
        <v>154</v>
      </c>
      <c r="L76" s="130" t="s">
        <v>154</v>
      </c>
      <c r="M76" s="132" t="s">
        <v>35</v>
      </c>
      <c r="N76" s="41" t="s">
        <v>172</v>
      </c>
      <c r="O76" s="112" t="s">
        <v>36</v>
      </c>
      <c r="P76" s="112" t="s">
        <v>36</v>
      </c>
      <c r="Q76" s="123"/>
      <c r="R76" s="106" t="s">
        <v>127</v>
      </c>
      <c r="S76" s="109" t="s">
        <v>35</v>
      </c>
      <c r="T76" s="109" t="s">
        <v>35</v>
      </c>
      <c r="U76" s="109" t="s">
        <v>35</v>
      </c>
    </row>
    <row r="77" spans="2:21" ht="15" thickTop="1" x14ac:dyDescent="0.35"/>
  </sheetData>
  <hyperlinks>
    <hyperlink ref="D46" r:id="rId1" xr:uid="{09B61D78-E6F4-45EC-8D5A-01751812A475}"/>
    <hyperlink ref="D47" r:id="rId2" xr:uid="{FFA7E841-8770-44C2-B14F-EA02F5B521BE}"/>
    <hyperlink ref="D48:D61" r:id="rId3" display="https://www.ifw-kiel.de/topics/war-against-ukraine/ukraine-support-tracker/" xr:uid="{4EE26EDE-AF42-4569-8D2E-16BFD54E15C8}"/>
    <hyperlink ref="O2" r:id="rId4" xr:uid="{110B3970-665C-4EF5-B445-B74CCC4ABC43}"/>
    <hyperlink ref="G47" r:id="rId5" xr:uid="{EFD0E4DE-E60F-449A-99A3-D7AB22FEBBDA}"/>
    <hyperlink ref="G48" r:id="rId6" xr:uid="{45E18567-C090-4683-B09F-8BA8BCA0E3CF}"/>
    <hyperlink ref="G49" r:id="rId7" xr:uid="{EABA4BDF-D2BA-4AA3-AE6B-B496ACFFF652}"/>
    <hyperlink ref="G51" r:id="rId8" xr:uid="{A26AEB83-20CB-46D2-BCED-E4F8BB39190C}"/>
    <hyperlink ref="G52" r:id="rId9" xr:uid="{330FDA09-237B-4953-8D28-E3FF32861CD6}"/>
    <hyperlink ref="G53" r:id="rId10" xr:uid="{79E5F399-4492-4804-8B60-AD2F2DE6F1B0}"/>
    <hyperlink ref="G54" r:id="rId11" xr:uid="{A83D143F-B8D7-4ACE-839B-F9957C0F633C}"/>
    <hyperlink ref="G55" r:id="rId12" xr:uid="{B972EFE1-6669-4EE9-9981-7315A9C8173E}"/>
    <hyperlink ref="G56" r:id="rId13" xr:uid="{DD9504AD-DC8B-44FA-A7BE-FA628D44746D}"/>
    <hyperlink ref="G57" r:id="rId14" xr:uid="{9E71863C-E53A-4E58-A8BC-DFA7A41C142F}"/>
    <hyperlink ref="G58" r:id="rId15" xr:uid="{1F85F79B-62B1-4388-8350-308B2B8BD4D1}"/>
    <hyperlink ref="G59" r:id="rId16" xr:uid="{43E13AA0-C6DB-4B01-BAAA-F3E224C0BFAB}"/>
    <hyperlink ref="G60" r:id="rId17" xr:uid="{77AB0328-75B2-44E8-9034-01B960502841}"/>
    <hyperlink ref="G61" r:id="rId18" xr:uid="{8533E750-018E-4A33-A2F6-5FF038B29555}"/>
    <hyperlink ref="C47" r:id="rId19" xr:uid="{F93BD4DF-197A-4E5C-A329-45297EEEE404}"/>
    <hyperlink ref="C48:C61" r:id="rId20" display="https://www.ifw-kiel.de/topics/war-against-ukraine/ukraine-support-tracker/" xr:uid="{BF6A9036-0CE4-428E-ABEA-179EB655C999}"/>
    <hyperlink ref="E66" r:id="rId21" xr:uid="{2C936C81-4DB5-4301-9804-E55504D99933}"/>
    <hyperlink ref="G65" r:id="rId22" xr:uid="{A2C89CCC-F843-4D56-8ACA-38FF73B3243A}"/>
    <hyperlink ref="G66" r:id="rId23" xr:uid="{3335C8AB-225B-47D8-A841-048698B3FDB3}"/>
    <hyperlink ref="G46" r:id="rId24" xr:uid="{6FA5BA77-C318-4AA4-A303-BA2B80F4ECC0}"/>
    <hyperlink ref="M47:M51" r:id="rId25" display="https://www.statista.com/chart/14636/defense-expenditures-of-nato-countries/" xr:uid="{841282AB-D607-441B-B8C9-629088F2D803}"/>
    <hyperlink ref="M53" r:id="rId26" xr:uid="{283AFAC4-AD53-4936-B263-0E0B6B3D41AB}"/>
    <hyperlink ref="K56" r:id="rId27" xr:uid="{9492C511-F8FE-4F3A-BA35-D9182742F69D}"/>
    <hyperlink ref="L56" r:id="rId28" xr:uid="{A29420C0-E450-4BC9-AC0C-DAC377437597}"/>
    <hyperlink ref="K66" r:id="rId29" xr:uid="{11EFB640-C67F-4714-BEC1-3D0A457933F1}"/>
    <hyperlink ref="L66" r:id="rId30" xr:uid="{5376078E-823B-4F38-8BCC-55C4E04F3DCA}"/>
    <hyperlink ref="M66" r:id="rId31" xr:uid="{BC999C8F-2358-4038-AD2C-3F167EAA0015}"/>
    <hyperlink ref="K49" r:id="rId32" xr:uid="{7C3273D8-005A-45A5-8B64-33960B4CFD9B}"/>
    <hyperlink ref="L49" r:id="rId33" xr:uid="{4CAC94FC-8AF5-4EF3-A6AB-1732885087AF}"/>
    <hyperlink ref="E65" r:id="rId34" xr:uid="{945B1202-1D46-41D6-9B86-5420EAF6AD03}"/>
    <hyperlink ref="O65" r:id="rId35" xr:uid="{E5DB81C0-8D83-44B9-84C9-85741DF5510D}"/>
    <hyperlink ref="K60" r:id="rId36" xr:uid="{92702A21-CE0C-488E-8308-615D6C78066E}"/>
    <hyperlink ref="G76" r:id="rId37" xr:uid="{C0008743-17AC-4200-88F0-804E4A4B2FCC}"/>
    <hyperlink ref="P65" r:id="rId38" xr:uid="{0FB33387-AE37-49E5-9EFF-C9BF74CCEA46}"/>
    <hyperlink ref="D50" r:id="rId39" xr:uid="{FA03CC7E-7DEF-4F53-B27B-DBBA23C3615E}"/>
    <hyperlink ref="G50" r:id="rId40" xr:uid="{EBFA9269-ABD6-4F0D-9883-A5F22DEA135A}"/>
    <hyperlink ref="C50" r:id="rId41" xr:uid="{A45C17F4-52A7-4FA9-BC48-6B404AE2358B}"/>
    <hyperlink ref="H58" r:id="rId42" xr:uid="{BFB205A5-6D75-40F7-92E2-3BD2FB60A6CD}"/>
  </hyperlinks>
  <pageMargins left="0.7" right="0.7" top="0.75" bottom="0.75" header="0.3" footer="0.3"/>
  <pageSetup paperSize="9" orientation="portrait" verticalDpi="0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7EB-0137-4A20-A6E3-7D0F6C8CCA9A}">
  <dimension ref="A1:W291"/>
  <sheetViews>
    <sheetView tabSelected="1" zoomScale="140" zoomScaleNormal="140" workbookViewId="0">
      <pane xSplit="2" ySplit="7" topLeftCell="C104" activePane="bottomRight" state="frozen"/>
      <selection pane="topRight" activeCell="C1" sqref="C1"/>
      <selection pane="bottomLeft" activeCell="A8" sqref="A8"/>
      <selection pane="bottomRight" activeCell="O208" sqref="O208"/>
    </sheetView>
  </sheetViews>
  <sheetFormatPr defaultRowHeight="14.5" x14ac:dyDescent="0.35"/>
  <cols>
    <col min="1" max="1" width="5.08984375" customWidth="1"/>
    <col min="2" max="2" width="36.54296875" customWidth="1"/>
    <col min="3" max="3" width="16.08984375" customWidth="1"/>
    <col min="4" max="9" width="12.453125" customWidth="1"/>
    <col min="12" max="12" width="8.54296875" customWidth="1"/>
    <col min="13" max="13" width="9" customWidth="1"/>
    <col min="14" max="14" width="9.1796875" customWidth="1"/>
  </cols>
  <sheetData>
    <row r="1" spans="1:23" ht="28.5" x14ac:dyDescent="0.65">
      <c r="A1" s="1" t="s">
        <v>803</v>
      </c>
    </row>
    <row r="2" spans="1:23" x14ac:dyDescent="0.35">
      <c r="E2" s="159">
        <v>1000000</v>
      </c>
      <c r="F2" s="159"/>
      <c r="G2" s="159"/>
      <c r="H2" s="180">
        <v>1000000000</v>
      </c>
      <c r="I2" s="159"/>
    </row>
    <row r="4" spans="1:23" ht="24" thickBot="1" x14ac:dyDescent="0.6">
      <c r="B4" s="2" t="s">
        <v>580</v>
      </c>
      <c r="C4" s="2"/>
      <c r="D4" s="2"/>
    </row>
    <row r="5" spans="1:23" ht="15" thickTop="1" x14ac:dyDescent="0.35">
      <c r="B5" s="5"/>
      <c r="C5" s="15" t="s">
        <v>176</v>
      </c>
      <c r="D5" s="6" t="s">
        <v>186</v>
      </c>
      <c r="E5" s="6" t="s">
        <v>178</v>
      </c>
      <c r="F5" s="6" t="s">
        <v>178</v>
      </c>
      <c r="G5" s="6" t="s">
        <v>178</v>
      </c>
      <c r="H5" s="6" t="s">
        <v>178</v>
      </c>
      <c r="I5" s="39" t="s">
        <v>186</v>
      </c>
      <c r="J5" s="80" t="s">
        <v>197</v>
      </c>
      <c r="K5" s="80" t="s">
        <v>368</v>
      </c>
      <c r="L5" s="80" t="s">
        <v>369</v>
      </c>
      <c r="M5" s="80" t="s">
        <v>211</v>
      </c>
      <c r="N5" s="80" t="s">
        <v>397</v>
      </c>
      <c r="O5" s="3" t="s">
        <v>222</v>
      </c>
    </row>
    <row r="6" spans="1:23" x14ac:dyDescent="0.35">
      <c r="B6" s="51"/>
      <c r="C6" s="7"/>
      <c r="D6" s="3">
        <v>100</v>
      </c>
      <c r="E6" s="133">
        <v>1000</v>
      </c>
      <c r="F6" s="133">
        <v>10000</v>
      </c>
      <c r="G6" s="133">
        <v>100000</v>
      </c>
      <c r="H6" s="133">
        <v>1000000</v>
      </c>
      <c r="I6" s="168">
        <v>10000000</v>
      </c>
      <c r="J6" s="123" t="s">
        <v>198</v>
      </c>
      <c r="K6" s="123" t="s">
        <v>370</v>
      </c>
      <c r="L6" s="123" t="s">
        <v>371</v>
      </c>
      <c r="M6" s="123" t="s">
        <v>212</v>
      </c>
      <c r="N6" s="123" t="s">
        <v>468</v>
      </c>
    </row>
    <row r="7" spans="1:23" ht="15" thickBot="1" x14ac:dyDescent="0.4">
      <c r="B7" s="17"/>
      <c r="C7" s="13"/>
      <c r="D7" s="18" t="s">
        <v>183</v>
      </c>
      <c r="E7" s="18" t="s">
        <v>183</v>
      </c>
      <c r="F7" s="18" t="s">
        <v>183</v>
      </c>
      <c r="G7" s="18" t="s">
        <v>183</v>
      </c>
      <c r="H7" s="18" t="s">
        <v>174</v>
      </c>
      <c r="I7" s="40" t="s">
        <v>174</v>
      </c>
      <c r="J7" s="112"/>
      <c r="K7" s="112"/>
      <c r="L7" s="112" t="s">
        <v>372</v>
      </c>
      <c r="M7" s="112" t="s">
        <v>221</v>
      </c>
      <c r="N7" s="112"/>
      <c r="U7" t="s">
        <v>409</v>
      </c>
      <c r="V7" t="s">
        <v>412</v>
      </c>
      <c r="W7" t="s">
        <v>713</v>
      </c>
    </row>
    <row r="8" spans="1:23" ht="15" thickTop="1" x14ac:dyDescent="0.35">
      <c r="A8">
        <v>1</v>
      </c>
      <c r="B8" s="184" t="s">
        <v>177</v>
      </c>
      <c r="C8" s="185"/>
      <c r="D8" s="186"/>
      <c r="E8" s="187"/>
      <c r="F8" s="187"/>
      <c r="G8" s="187"/>
      <c r="H8" s="187"/>
      <c r="I8" s="188"/>
      <c r="J8" s="189"/>
      <c r="K8" s="189"/>
      <c r="L8" s="189"/>
      <c r="M8" s="189"/>
      <c r="N8" s="189"/>
    </row>
    <row r="9" spans="1:23" x14ac:dyDescent="0.35">
      <c r="A9">
        <f>A8+1</f>
        <v>2</v>
      </c>
      <c r="B9" s="51" t="s">
        <v>181</v>
      </c>
      <c r="C9" s="99">
        <v>273000</v>
      </c>
      <c r="D9" s="159">
        <f>C9*D$6/E$2</f>
        <v>27.3</v>
      </c>
      <c r="E9" s="159">
        <f>C9*E$6/E$2</f>
        <v>273</v>
      </c>
      <c r="F9" s="175" t="s">
        <v>35</v>
      </c>
      <c r="G9" s="175" t="s">
        <v>35</v>
      </c>
      <c r="H9" s="175" t="s">
        <v>35</v>
      </c>
      <c r="I9" s="179" t="s">
        <v>35</v>
      </c>
      <c r="J9" s="105">
        <v>800</v>
      </c>
      <c r="K9" s="105">
        <v>78</v>
      </c>
      <c r="L9" s="178" t="s">
        <v>400</v>
      </c>
      <c r="M9" s="123">
        <v>200</v>
      </c>
      <c r="N9" s="399" t="s">
        <v>398</v>
      </c>
    </row>
    <row r="10" spans="1:23" x14ac:dyDescent="0.35">
      <c r="A10">
        <f t="shared" ref="A10:A140" si="0">A9+1</f>
        <v>3</v>
      </c>
      <c r="B10" s="51" t="s">
        <v>188</v>
      </c>
      <c r="C10" s="99">
        <f>C11</f>
        <v>1200000</v>
      </c>
      <c r="D10" s="159">
        <f>C10*D$6/E$2</f>
        <v>120</v>
      </c>
      <c r="E10" s="159">
        <f t="shared" ref="E10:E11" si="1">C10*E$6/E$2</f>
        <v>1200</v>
      </c>
      <c r="F10" s="175" t="s">
        <v>35</v>
      </c>
      <c r="G10" s="175" t="s">
        <v>35</v>
      </c>
      <c r="H10" s="175" t="s">
        <v>35</v>
      </c>
      <c r="I10" s="179" t="s">
        <v>35</v>
      </c>
      <c r="J10" s="105">
        <v>300</v>
      </c>
      <c r="K10" s="105">
        <v>850</v>
      </c>
      <c r="L10" s="178" t="s">
        <v>401</v>
      </c>
      <c r="M10" s="123">
        <v>150</v>
      </c>
      <c r="N10" s="399" t="s">
        <v>399</v>
      </c>
    </row>
    <row r="11" spans="1:23" x14ac:dyDescent="0.35">
      <c r="A11">
        <f t="shared" si="0"/>
        <v>4</v>
      </c>
      <c r="B11" s="51" t="s">
        <v>190</v>
      </c>
      <c r="C11" s="99">
        <v>1200000</v>
      </c>
      <c r="D11" s="159">
        <f>C11*D$6/E$2</f>
        <v>120</v>
      </c>
      <c r="E11" s="159">
        <f t="shared" si="1"/>
        <v>1200</v>
      </c>
      <c r="F11" s="175" t="s">
        <v>35</v>
      </c>
      <c r="G11" s="175" t="s">
        <v>35</v>
      </c>
      <c r="H11" s="175" t="s">
        <v>35</v>
      </c>
      <c r="I11" s="179" t="s">
        <v>35</v>
      </c>
      <c r="J11" s="105">
        <v>139</v>
      </c>
      <c r="K11" s="105">
        <v>864</v>
      </c>
      <c r="L11" s="178" t="s">
        <v>402</v>
      </c>
      <c r="M11" s="123">
        <v>221</v>
      </c>
      <c r="N11" s="399">
        <v>7500</v>
      </c>
    </row>
    <row r="12" spans="1:23" x14ac:dyDescent="0.35">
      <c r="A12">
        <f t="shared" si="0"/>
        <v>5</v>
      </c>
      <c r="B12" s="184" t="s">
        <v>179</v>
      </c>
      <c r="C12" s="190"/>
      <c r="D12" s="187"/>
      <c r="E12" s="187"/>
      <c r="F12" s="187"/>
      <c r="G12" s="187"/>
      <c r="H12" s="187"/>
      <c r="I12" s="188"/>
      <c r="J12" s="398"/>
      <c r="K12" s="398"/>
      <c r="L12" s="394"/>
      <c r="M12" s="189"/>
      <c r="N12" s="400"/>
    </row>
    <row r="13" spans="1:23" x14ac:dyDescent="0.35">
      <c r="A13">
        <f t="shared" si="0"/>
        <v>6</v>
      </c>
      <c r="B13" s="123" t="s">
        <v>185</v>
      </c>
      <c r="C13" s="159">
        <v>500</v>
      </c>
      <c r="D13" s="175" t="s">
        <v>35</v>
      </c>
      <c r="E13" s="175" t="s">
        <v>35</v>
      </c>
      <c r="F13" s="175" t="s">
        <v>35</v>
      </c>
      <c r="G13" s="159">
        <f>C13*G$6/E$2</f>
        <v>50</v>
      </c>
      <c r="H13" s="8">
        <f>C13*H$6/H$2</f>
        <v>0.5</v>
      </c>
      <c r="I13" s="142">
        <f>C13*I$6/H$2</f>
        <v>5</v>
      </c>
      <c r="J13" s="399" t="s">
        <v>35</v>
      </c>
      <c r="K13" s="399" t="s">
        <v>35</v>
      </c>
      <c r="L13" s="178" t="s">
        <v>35</v>
      </c>
      <c r="M13" s="123">
        <v>10.3</v>
      </c>
      <c r="N13" s="399" t="s">
        <v>403</v>
      </c>
    </row>
    <row r="14" spans="1:23" x14ac:dyDescent="0.35">
      <c r="A14">
        <f t="shared" si="0"/>
        <v>7</v>
      </c>
      <c r="B14" s="123" t="s">
        <v>187</v>
      </c>
      <c r="C14" s="159">
        <v>40</v>
      </c>
      <c r="D14" s="175" t="s">
        <v>35</v>
      </c>
      <c r="E14" s="175" t="s">
        <v>35</v>
      </c>
      <c r="F14" s="175" t="s">
        <v>35</v>
      </c>
      <c r="G14" s="159">
        <f t="shared" ref="G14:G15" si="2">C14*G$6/E$2</f>
        <v>4</v>
      </c>
      <c r="H14" s="8">
        <f>C14*H$6/H$2</f>
        <v>0.04</v>
      </c>
      <c r="I14" s="142">
        <f>C14*I$6/H$2</f>
        <v>0.4</v>
      </c>
      <c r="J14" s="399" t="s">
        <v>35</v>
      </c>
      <c r="K14" s="399" t="s">
        <v>35</v>
      </c>
      <c r="L14" s="178" t="s">
        <v>35</v>
      </c>
      <c r="M14" s="178" t="s">
        <v>218</v>
      </c>
      <c r="N14" s="399" t="s">
        <v>403</v>
      </c>
    </row>
    <row r="15" spans="1:23" x14ac:dyDescent="0.35">
      <c r="A15">
        <f t="shared" si="0"/>
        <v>8</v>
      </c>
      <c r="B15" s="123" t="s">
        <v>216</v>
      </c>
      <c r="C15" s="159">
        <v>4000</v>
      </c>
      <c r="D15" s="175" t="s">
        <v>35</v>
      </c>
      <c r="E15" s="175" t="s">
        <v>35</v>
      </c>
      <c r="F15" s="175" t="s">
        <v>35</v>
      </c>
      <c r="G15" s="159">
        <f t="shared" si="2"/>
        <v>400</v>
      </c>
      <c r="H15" s="8">
        <f>C15*H$6/H$2</f>
        <v>4</v>
      </c>
      <c r="I15" s="142">
        <f>C15*I$6/H$2</f>
        <v>40</v>
      </c>
      <c r="J15" s="399" t="s">
        <v>240</v>
      </c>
      <c r="K15" s="399">
        <v>3000</v>
      </c>
      <c r="L15" s="178" t="s">
        <v>409</v>
      </c>
      <c r="M15" s="178" t="s">
        <v>241</v>
      </c>
      <c r="N15" s="399" t="s">
        <v>403</v>
      </c>
      <c r="O15" t="s">
        <v>229</v>
      </c>
    </row>
    <row r="16" spans="1:23" x14ac:dyDescent="0.35">
      <c r="A16">
        <f t="shared" si="0"/>
        <v>9</v>
      </c>
      <c r="B16" s="123" t="s">
        <v>230</v>
      </c>
      <c r="C16" s="159">
        <v>8000</v>
      </c>
      <c r="D16" s="175" t="s">
        <v>35</v>
      </c>
      <c r="E16" s="175" t="s">
        <v>35</v>
      </c>
      <c r="F16" s="175" t="s">
        <v>35</v>
      </c>
      <c r="G16" s="159">
        <f t="shared" ref="G16:G17" si="3">C16*G$6/E$2</f>
        <v>800</v>
      </c>
      <c r="H16" s="8">
        <f t="shared" ref="H16:H17" si="4">C16*H$6/H$2</f>
        <v>8</v>
      </c>
      <c r="I16" s="87" t="s">
        <v>35</v>
      </c>
      <c r="J16" s="105">
        <v>40</v>
      </c>
      <c r="K16" s="105">
        <v>3000</v>
      </c>
      <c r="L16" s="178" t="s">
        <v>409</v>
      </c>
      <c r="M16" s="178"/>
      <c r="N16" s="399" t="s">
        <v>404</v>
      </c>
      <c r="O16" t="s">
        <v>234</v>
      </c>
    </row>
    <row r="17" spans="1:22" x14ac:dyDescent="0.35">
      <c r="A17">
        <f t="shared" si="0"/>
        <v>10</v>
      </c>
      <c r="B17" s="123" t="s">
        <v>231</v>
      </c>
      <c r="C17" s="159">
        <v>12000</v>
      </c>
      <c r="D17" s="175" t="s">
        <v>35</v>
      </c>
      <c r="E17" s="175" t="s">
        <v>35</v>
      </c>
      <c r="F17" s="159">
        <f>C17*F$6/E$2</f>
        <v>120</v>
      </c>
      <c r="G17" s="159">
        <f t="shared" si="3"/>
        <v>1200</v>
      </c>
      <c r="H17" s="8">
        <f t="shared" si="4"/>
        <v>12</v>
      </c>
      <c r="I17" s="87" t="s">
        <v>35</v>
      </c>
      <c r="J17" s="105">
        <v>55</v>
      </c>
      <c r="K17" s="105">
        <v>3000</v>
      </c>
      <c r="L17" s="178" t="s">
        <v>409</v>
      </c>
      <c r="M17" s="178" t="s">
        <v>237</v>
      </c>
      <c r="N17" s="399" t="s">
        <v>405</v>
      </c>
      <c r="O17" t="s">
        <v>235</v>
      </c>
    </row>
    <row r="18" spans="1:22" x14ac:dyDescent="0.35">
      <c r="A18">
        <f t="shared" si="0"/>
        <v>11</v>
      </c>
      <c r="B18" s="123" t="s">
        <v>232</v>
      </c>
      <c r="C18" s="159">
        <v>112800</v>
      </c>
      <c r="D18" s="175" t="s">
        <v>35</v>
      </c>
      <c r="E18" s="159">
        <f>C18*E$6/E$2</f>
        <v>112.8</v>
      </c>
      <c r="F18" s="159">
        <f>C18*F$6/E$2</f>
        <v>1128</v>
      </c>
      <c r="G18" s="175" t="s">
        <v>35</v>
      </c>
      <c r="H18" s="58" t="s">
        <v>35</v>
      </c>
      <c r="I18" s="70" t="s">
        <v>35</v>
      </c>
      <c r="J18" s="105">
        <v>70</v>
      </c>
      <c r="K18" s="105">
        <v>3000</v>
      </c>
      <c r="L18" s="178" t="s">
        <v>409</v>
      </c>
      <c r="M18" s="178" t="s">
        <v>236</v>
      </c>
      <c r="N18" s="399" t="s">
        <v>406</v>
      </c>
    </row>
    <row r="19" spans="1:22" x14ac:dyDescent="0.35">
      <c r="A19">
        <f t="shared" si="0"/>
        <v>12</v>
      </c>
      <c r="B19" s="123" t="s">
        <v>201</v>
      </c>
      <c r="C19" s="159">
        <v>10400000</v>
      </c>
      <c r="D19" s="159">
        <f>C19*D$6/E$2</f>
        <v>1040</v>
      </c>
      <c r="E19" s="159">
        <f>C19*E$6/E$2</f>
        <v>10400</v>
      </c>
      <c r="F19" s="175" t="s">
        <v>35</v>
      </c>
      <c r="G19" s="175" t="s">
        <v>35</v>
      </c>
      <c r="H19" s="58" t="s">
        <v>35</v>
      </c>
      <c r="I19" s="58" t="s">
        <v>35</v>
      </c>
      <c r="J19" s="399">
        <v>800</v>
      </c>
      <c r="K19" s="399">
        <v>90</v>
      </c>
      <c r="L19" s="178" t="s">
        <v>35</v>
      </c>
      <c r="M19" s="182" t="s">
        <v>35</v>
      </c>
      <c r="N19" s="399" t="s">
        <v>408</v>
      </c>
    </row>
    <row r="20" spans="1:22" x14ac:dyDescent="0.35">
      <c r="A20">
        <f t="shared" si="0"/>
        <v>13</v>
      </c>
      <c r="B20" s="123" t="s">
        <v>202</v>
      </c>
      <c r="C20" s="159">
        <v>20000000</v>
      </c>
      <c r="D20" s="159">
        <f>C20*D$6/E$2</f>
        <v>2000</v>
      </c>
      <c r="E20" s="159">
        <f t="shared" ref="E20:E22" si="5">C20*E$6/E$2</f>
        <v>20000</v>
      </c>
      <c r="F20" s="175" t="s">
        <v>35</v>
      </c>
      <c r="G20" s="175" t="s">
        <v>35</v>
      </c>
      <c r="H20" s="58" t="s">
        <v>35</v>
      </c>
      <c r="I20" s="58" t="s">
        <v>35</v>
      </c>
      <c r="J20" s="399">
        <v>420</v>
      </c>
      <c r="K20" s="399">
        <v>67</v>
      </c>
      <c r="L20" s="178" t="s">
        <v>35</v>
      </c>
      <c r="M20" s="182" t="s">
        <v>35</v>
      </c>
      <c r="N20" s="399" t="s">
        <v>410</v>
      </c>
    </row>
    <row r="21" spans="1:22" x14ac:dyDescent="0.35">
      <c r="A21">
        <f t="shared" si="0"/>
        <v>14</v>
      </c>
      <c r="B21" s="123" t="s">
        <v>771</v>
      </c>
      <c r="C21" s="159">
        <v>12000000</v>
      </c>
      <c r="D21" s="159">
        <f>C21*D$6/E$2</f>
        <v>1200</v>
      </c>
      <c r="E21" s="159">
        <f t="shared" ref="E21" si="6">C21*E$6/E$2</f>
        <v>12000</v>
      </c>
      <c r="F21" s="175" t="s">
        <v>35</v>
      </c>
      <c r="G21" s="175" t="s">
        <v>35</v>
      </c>
      <c r="H21" s="58" t="s">
        <v>35</v>
      </c>
      <c r="I21" s="58" t="s">
        <v>35</v>
      </c>
      <c r="J21" s="399">
        <v>700</v>
      </c>
      <c r="K21" s="399">
        <v>103</v>
      </c>
      <c r="L21" s="178" t="s">
        <v>35</v>
      </c>
      <c r="M21" s="182" t="s">
        <v>35</v>
      </c>
      <c r="N21" s="399" t="s">
        <v>475</v>
      </c>
      <c r="O21" t="s">
        <v>768</v>
      </c>
    </row>
    <row r="22" spans="1:22" x14ac:dyDescent="0.35">
      <c r="A22">
        <f t="shared" si="0"/>
        <v>15</v>
      </c>
      <c r="B22" s="123" t="s">
        <v>204</v>
      </c>
      <c r="C22" s="159">
        <f>C19</f>
        <v>10400000</v>
      </c>
      <c r="D22" s="159">
        <f>C22*D$6/E$2</f>
        <v>1040</v>
      </c>
      <c r="E22" s="159">
        <f t="shared" si="5"/>
        <v>10400</v>
      </c>
      <c r="F22" s="175" t="s">
        <v>35</v>
      </c>
      <c r="G22" s="175" t="s">
        <v>35</v>
      </c>
      <c r="H22" s="58" t="s">
        <v>35</v>
      </c>
      <c r="I22" s="58" t="s">
        <v>35</v>
      </c>
      <c r="J22" s="399">
        <v>600</v>
      </c>
      <c r="K22" s="399">
        <v>100</v>
      </c>
      <c r="L22" s="178" t="s">
        <v>35</v>
      </c>
      <c r="M22" s="182" t="s">
        <v>35</v>
      </c>
      <c r="N22" s="399" t="s">
        <v>411</v>
      </c>
    </row>
    <row r="23" spans="1:22" x14ac:dyDescent="0.35">
      <c r="A23">
        <f t="shared" si="0"/>
        <v>16</v>
      </c>
      <c r="B23" s="123" t="s">
        <v>195</v>
      </c>
      <c r="C23" s="159">
        <v>25</v>
      </c>
      <c r="D23" s="175" t="s">
        <v>35</v>
      </c>
      <c r="E23" s="175" t="s">
        <v>35</v>
      </c>
      <c r="F23" s="175" t="s">
        <v>35</v>
      </c>
      <c r="G23" s="159">
        <f>C23*G$6/E$2</f>
        <v>2.5</v>
      </c>
      <c r="H23" s="8">
        <f t="shared" ref="H23:H25" si="7">C23*H$6/H$2</f>
        <v>2.5000000000000001E-2</v>
      </c>
      <c r="I23" s="142">
        <f>C23*I$6/H$2</f>
        <v>0.25</v>
      </c>
      <c r="J23" s="105">
        <v>2.5</v>
      </c>
      <c r="K23" s="105">
        <v>570</v>
      </c>
      <c r="L23" s="178" t="s">
        <v>412</v>
      </c>
      <c r="M23" s="182" t="s">
        <v>225</v>
      </c>
      <c r="N23" s="399" t="s">
        <v>403</v>
      </c>
    </row>
    <row r="24" spans="1:22" x14ac:dyDescent="0.35">
      <c r="A24">
        <f t="shared" si="0"/>
        <v>17</v>
      </c>
      <c r="B24" s="123" t="s">
        <v>196</v>
      </c>
      <c r="C24" s="159">
        <v>70</v>
      </c>
      <c r="D24" s="175" t="s">
        <v>35</v>
      </c>
      <c r="E24" s="175" t="s">
        <v>35</v>
      </c>
      <c r="F24" s="175" t="s">
        <v>35</v>
      </c>
      <c r="G24" s="159">
        <f t="shared" ref="G24:G25" si="8">C24*G$6/E$2</f>
        <v>7</v>
      </c>
      <c r="H24" s="8">
        <f t="shared" si="7"/>
        <v>7.0000000000000007E-2</v>
      </c>
      <c r="I24" s="142">
        <f t="shared" ref="I24:I25" si="9">C24*I$6/H$2</f>
        <v>0.7</v>
      </c>
      <c r="J24" s="105">
        <v>5.3</v>
      </c>
      <c r="K24" s="105">
        <v>750</v>
      </c>
      <c r="L24" s="178" t="s">
        <v>412</v>
      </c>
      <c r="M24" s="182" t="s">
        <v>226</v>
      </c>
      <c r="N24" s="399" t="s">
        <v>403</v>
      </c>
    </row>
    <row r="25" spans="1:22" x14ac:dyDescent="0.35">
      <c r="A25">
        <f t="shared" si="0"/>
        <v>18</v>
      </c>
      <c r="B25" s="123" t="s">
        <v>194</v>
      </c>
      <c r="C25" s="159">
        <v>125</v>
      </c>
      <c r="D25" s="175" t="s">
        <v>35</v>
      </c>
      <c r="E25" s="175" t="s">
        <v>35</v>
      </c>
      <c r="F25" s="175" t="s">
        <v>35</v>
      </c>
      <c r="G25" s="159">
        <f t="shared" si="8"/>
        <v>12.5</v>
      </c>
      <c r="H25" s="8">
        <f t="shared" si="7"/>
        <v>0.125</v>
      </c>
      <c r="I25" s="142">
        <f t="shared" si="9"/>
        <v>1.25</v>
      </c>
      <c r="J25" s="105">
        <v>8</v>
      </c>
      <c r="K25" s="105">
        <v>1100</v>
      </c>
      <c r="L25" s="178" t="s">
        <v>412</v>
      </c>
      <c r="M25" s="182" t="s">
        <v>227</v>
      </c>
      <c r="N25" s="399" t="s">
        <v>403</v>
      </c>
    </row>
    <row r="26" spans="1:22" x14ac:dyDescent="0.35">
      <c r="A26">
        <f t="shared" si="0"/>
        <v>19</v>
      </c>
      <c r="B26" s="123" t="s">
        <v>215</v>
      </c>
      <c r="C26" s="159">
        <v>10600</v>
      </c>
      <c r="D26" s="176">
        <f>C26*D$6/E$2</f>
        <v>1.06</v>
      </c>
      <c r="E26" s="159">
        <f t="shared" ref="E26:E31" si="10">C26*E$6/E$2</f>
        <v>10.6</v>
      </c>
      <c r="F26" s="159">
        <f t="shared" ref="F26:F30" si="11">C26*F$6/E$2</f>
        <v>106</v>
      </c>
      <c r="G26" s="175" t="s">
        <v>35</v>
      </c>
      <c r="H26" s="58" t="s">
        <v>35</v>
      </c>
      <c r="I26" s="58" t="s">
        <v>35</v>
      </c>
      <c r="J26" s="399" t="s">
        <v>35</v>
      </c>
      <c r="K26" s="399" t="s">
        <v>35</v>
      </c>
      <c r="L26" s="178" t="s">
        <v>35</v>
      </c>
      <c r="M26" s="182" t="s">
        <v>35</v>
      </c>
      <c r="N26" s="399" t="s">
        <v>416</v>
      </c>
    </row>
    <row r="27" spans="1:22" x14ac:dyDescent="0.35">
      <c r="A27">
        <f t="shared" si="0"/>
        <v>20</v>
      </c>
      <c r="B27" s="123" t="s">
        <v>438</v>
      </c>
      <c r="C27" s="159">
        <v>40000</v>
      </c>
      <c r="D27" s="159">
        <f>C27*D$6/E$2</f>
        <v>4</v>
      </c>
      <c r="E27" s="159">
        <f t="shared" si="10"/>
        <v>40</v>
      </c>
      <c r="F27" s="159">
        <f t="shared" si="11"/>
        <v>400</v>
      </c>
      <c r="G27" s="175" t="s">
        <v>35</v>
      </c>
      <c r="H27" s="58" t="s">
        <v>35</v>
      </c>
      <c r="I27" s="58" t="s">
        <v>35</v>
      </c>
      <c r="J27" s="399" t="s">
        <v>35</v>
      </c>
      <c r="K27" s="399" t="s">
        <v>35</v>
      </c>
      <c r="L27" s="178" t="s">
        <v>35</v>
      </c>
      <c r="M27" s="182" t="s">
        <v>35</v>
      </c>
      <c r="N27" s="399" t="s">
        <v>415</v>
      </c>
    </row>
    <row r="28" spans="1:22" x14ac:dyDescent="0.35">
      <c r="A28">
        <f t="shared" si="0"/>
        <v>21</v>
      </c>
      <c r="B28" s="123" t="s">
        <v>442</v>
      </c>
      <c r="C28" s="159">
        <v>30000</v>
      </c>
      <c r="D28" s="175" t="s">
        <v>35</v>
      </c>
      <c r="E28" s="159">
        <f t="shared" si="10"/>
        <v>30</v>
      </c>
      <c r="F28" s="159">
        <f t="shared" si="11"/>
        <v>300</v>
      </c>
      <c r="G28" s="159">
        <f t="shared" ref="G28:G30" si="12">C28*G$6/E$2</f>
        <v>3000</v>
      </c>
      <c r="H28" s="58" t="s">
        <v>35</v>
      </c>
      <c r="I28" s="58" t="s">
        <v>35</v>
      </c>
      <c r="J28" s="399">
        <v>45</v>
      </c>
      <c r="K28" s="399" t="s">
        <v>35</v>
      </c>
      <c r="L28" s="178" t="s">
        <v>35</v>
      </c>
      <c r="M28" s="182" t="s">
        <v>35</v>
      </c>
      <c r="N28" s="399" t="s">
        <v>446</v>
      </c>
      <c r="O28" t="s">
        <v>445</v>
      </c>
    </row>
    <row r="29" spans="1:22" x14ac:dyDescent="0.35">
      <c r="A29">
        <f t="shared" si="0"/>
        <v>22</v>
      </c>
      <c r="B29" s="123" t="s">
        <v>443</v>
      </c>
      <c r="C29" s="159">
        <v>100000</v>
      </c>
      <c r="D29" s="175" t="s">
        <v>35</v>
      </c>
      <c r="E29" s="159">
        <f t="shared" si="10"/>
        <v>100</v>
      </c>
      <c r="F29" s="159">
        <f t="shared" si="11"/>
        <v>1000</v>
      </c>
      <c r="G29" s="159">
        <f t="shared" si="12"/>
        <v>10000</v>
      </c>
      <c r="H29" s="58" t="s">
        <v>35</v>
      </c>
      <c r="I29" s="58" t="s">
        <v>35</v>
      </c>
      <c r="J29" s="399">
        <v>90</v>
      </c>
      <c r="K29" s="399">
        <v>3062</v>
      </c>
      <c r="L29" s="178" t="s">
        <v>456</v>
      </c>
      <c r="M29" s="182" t="s">
        <v>452</v>
      </c>
      <c r="N29" s="399" t="s">
        <v>451</v>
      </c>
      <c r="O29" t="s">
        <v>453</v>
      </c>
      <c r="R29" t="s">
        <v>455</v>
      </c>
      <c r="U29">
        <f>(J29/K29)*60</f>
        <v>1.7635532331809274</v>
      </c>
    </row>
    <row r="30" spans="1:22" x14ac:dyDescent="0.35">
      <c r="A30">
        <f t="shared" si="0"/>
        <v>23</v>
      </c>
      <c r="B30" s="439" t="s">
        <v>775</v>
      </c>
      <c r="C30" s="440">
        <v>40000</v>
      </c>
      <c r="D30" s="441" t="s">
        <v>35</v>
      </c>
      <c r="E30" s="440">
        <f t="shared" si="10"/>
        <v>40</v>
      </c>
      <c r="F30" s="440">
        <f t="shared" si="11"/>
        <v>400</v>
      </c>
      <c r="G30" s="440">
        <f t="shared" si="12"/>
        <v>4000</v>
      </c>
      <c r="H30" s="449" t="s">
        <v>35</v>
      </c>
      <c r="I30" s="449" t="s">
        <v>35</v>
      </c>
      <c r="J30" s="443">
        <v>150</v>
      </c>
      <c r="K30" s="443" t="s">
        <v>35</v>
      </c>
      <c r="L30" s="444" t="s">
        <v>35</v>
      </c>
      <c r="M30" s="445" t="s">
        <v>449</v>
      </c>
      <c r="N30" s="443" t="s">
        <v>398</v>
      </c>
      <c r="O30" t="s">
        <v>450</v>
      </c>
    </row>
    <row r="31" spans="1:22" x14ac:dyDescent="0.35">
      <c r="A31">
        <f t="shared" si="0"/>
        <v>24</v>
      </c>
      <c r="B31" s="123" t="s">
        <v>441</v>
      </c>
      <c r="C31" s="159">
        <v>4400000</v>
      </c>
      <c r="D31" s="159">
        <f>C31*D$6/E$2</f>
        <v>440</v>
      </c>
      <c r="E31" s="159">
        <f t="shared" si="10"/>
        <v>4400</v>
      </c>
      <c r="F31" s="175" t="s">
        <v>35</v>
      </c>
      <c r="G31" s="175" t="s">
        <v>35</v>
      </c>
      <c r="H31" s="58" t="s">
        <v>35</v>
      </c>
      <c r="I31" s="58" t="s">
        <v>35</v>
      </c>
      <c r="J31" s="399">
        <v>480</v>
      </c>
      <c r="K31" s="399">
        <v>85</v>
      </c>
      <c r="L31" s="178" t="s">
        <v>35</v>
      </c>
      <c r="M31" s="182" t="s">
        <v>35</v>
      </c>
      <c r="N31" s="399" t="s">
        <v>440</v>
      </c>
    </row>
    <row r="32" spans="1:22" x14ac:dyDescent="0.35">
      <c r="A32">
        <f t="shared" si="0"/>
        <v>25</v>
      </c>
      <c r="B32" s="123" t="s">
        <v>378</v>
      </c>
      <c r="C32" s="159">
        <v>500</v>
      </c>
      <c r="D32" s="175" t="s">
        <v>35</v>
      </c>
      <c r="E32" s="175" t="s">
        <v>35</v>
      </c>
      <c r="F32" s="175" t="s">
        <v>35</v>
      </c>
      <c r="G32" s="159">
        <f t="shared" ref="G32" si="13">C32*G$6/E$2</f>
        <v>50</v>
      </c>
      <c r="H32" s="8">
        <f t="shared" ref="H32" si="14">C32*H$6/H$2</f>
        <v>0.5</v>
      </c>
      <c r="I32" s="142">
        <f t="shared" ref="I32" si="15">C32*I$6/H$2</f>
        <v>5</v>
      </c>
      <c r="J32" s="426" t="s">
        <v>527</v>
      </c>
      <c r="K32" s="105">
        <v>1080</v>
      </c>
      <c r="L32" s="178" t="s">
        <v>637</v>
      </c>
      <c r="M32" s="182" t="s">
        <v>376</v>
      </c>
      <c r="N32" s="399" t="s">
        <v>526</v>
      </c>
      <c r="R32" t="s">
        <v>455</v>
      </c>
      <c r="U32">
        <f>(0.3/K32)*60</f>
        <v>1.6666666666666666E-2</v>
      </c>
      <c r="V32" s="8">
        <f>60*U32</f>
        <v>1</v>
      </c>
    </row>
    <row r="33" spans="1:23" x14ac:dyDescent="0.35">
      <c r="A33">
        <f t="shared" si="0"/>
        <v>26</v>
      </c>
      <c r="B33" s="123" t="s">
        <v>379</v>
      </c>
      <c r="C33" s="159">
        <v>400</v>
      </c>
      <c r="D33" s="175" t="s">
        <v>35</v>
      </c>
      <c r="E33" s="175" t="s">
        <v>35</v>
      </c>
      <c r="F33" s="175" t="s">
        <v>35</v>
      </c>
      <c r="G33" s="159">
        <f t="shared" ref="G33:G34" si="16">C33*G$6/E$2</f>
        <v>40</v>
      </c>
      <c r="H33" s="8">
        <f t="shared" ref="H33:H35" si="17">C33*H$6/H$2</f>
        <v>0.4</v>
      </c>
      <c r="I33" s="142">
        <f t="shared" ref="I33:I34" si="18">C33*I$6/H$2</f>
        <v>4</v>
      </c>
      <c r="J33" s="399" t="s">
        <v>35</v>
      </c>
      <c r="K33" s="399" t="s">
        <v>35</v>
      </c>
      <c r="L33" s="178" t="s">
        <v>35</v>
      </c>
      <c r="M33" s="182" t="s">
        <v>377</v>
      </c>
      <c r="N33" s="399" t="s">
        <v>469</v>
      </c>
    </row>
    <row r="34" spans="1:23" x14ac:dyDescent="0.35">
      <c r="A34">
        <f t="shared" si="0"/>
        <v>27</v>
      </c>
      <c r="B34" s="123" t="s">
        <v>380</v>
      </c>
      <c r="C34" s="159">
        <v>100</v>
      </c>
      <c r="D34" s="175" t="s">
        <v>35</v>
      </c>
      <c r="E34" s="175" t="s">
        <v>35</v>
      </c>
      <c r="F34" s="175" t="s">
        <v>35</v>
      </c>
      <c r="G34" s="159">
        <f t="shared" si="16"/>
        <v>10</v>
      </c>
      <c r="H34" s="8">
        <f t="shared" si="17"/>
        <v>0.1</v>
      </c>
      <c r="I34" s="142">
        <f t="shared" si="18"/>
        <v>1</v>
      </c>
      <c r="J34" s="399" t="s">
        <v>35</v>
      </c>
      <c r="K34" s="399" t="s">
        <v>35</v>
      </c>
      <c r="L34" s="178" t="s">
        <v>35</v>
      </c>
      <c r="M34" s="182" t="s">
        <v>382</v>
      </c>
      <c r="N34" s="399" t="s">
        <v>469</v>
      </c>
    </row>
    <row r="35" spans="1:23" x14ac:dyDescent="0.35">
      <c r="A35">
        <f t="shared" si="0"/>
        <v>28</v>
      </c>
      <c r="B35" s="123" t="s">
        <v>375</v>
      </c>
      <c r="C35" s="159">
        <v>2000</v>
      </c>
      <c r="D35" s="175" t="s">
        <v>35</v>
      </c>
      <c r="E35" s="175" t="s">
        <v>35</v>
      </c>
      <c r="F35" s="159">
        <f>C35*F$6/E$2</f>
        <v>20</v>
      </c>
      <c r="G35" s="159">
        <f t="shared" ref="G35" si="19">C35*G$6/E$2</f>
        <v>200</v>
      </c>
      <c r="H35" s="8">
        <f t="shared" si="17"/>
        <v>2</v>
      </c>
      <c r="I35" s="70" t="s">
        <v>35</v>
      </c>
      <c r="J35" s="399" t="s">
        <v>35</v>
      </c>
      <c r="K35" s="399" t="s">
        <v>35</v>
      </c>
      <c r="L35" s="178" t="s">
        <v>35</v>
      </c>
      <c r="M35" s="182" t="s">
        <v>35</v>
      </c>
      <c r="N35" s="399" t="s">
        <v>525</v>
      </c>
    </row>
    <row r="36" spans="1:23" x14ac:dyDescent="0.35">
      <c r="A36">
        <f t="shared" si="0"/>
        <v>29</v>
      </c>
      <c r="B36" s="123" t="s">
        <v>524</v>
      </c>
      <c r="C36" s="159">
        <v>249700</v>
      </c>
      <c r="D36" s="175" t="s">
        <v>35</v>
      </c>
      <c r="E36" s="159">
        <f t="shared" ref="E36" si="20">C36*E$6/E$2</f>
        <v>249.7</v>
      </c>
      <c r="F36" s="159">
        <f t="shared" ref="F36" si="21">C36*F$6/E$2</f>
        <v>2497</v>
      </c>
      <c r="G36" s="175" t="s">
        <v>35</v>
      </c>
      <c r="H36" s="70" t="s">
        <v>35</v>
      </c>
      <c r="I36" s="70" t="s">
        <v>35</v>
      </c>
      <c r="J36" s="399" t="s">
        <v>35</v>
      </c>
      <c r="K36" s="399" t="s">
        <v>35</v>
      </c>
      <c r="L36" s="178" t="s">
        <v>35</v>
      </c>
      <c r="M36" s="182" t="s">
        <v>35</v>
      </c>
      <c r="N36" s="399" t="s">
        <v>530</v>
      </c>
    </row>
    <row r="37" spans="1:23" x14ac:dyDescent="0.35">
      <c r="A37">
        <f t="shared" si="0"/>
        <v>30</v>
      </c>
      <c r="B37" s="123" t="s">
        <v>729</v>
      </c>
      <c r="C37" s="159">
        <v>216717</v>
      </c>
      <c r="D37" s="175" t="s">
        <v>35</v>
      </c>
      <c r="E37" s="159">
        <f t="shared" ref="E37" si="22">C37*E$6/E$2</f>
        <v>216.71700000000001</v>
      </c>
      <c r="F37" s="159">
        <f t="shared" ref="F37" si="23">C37*F$6/E$2</f>
        <v>2167.17</v>
      </c>
      <c r="G37" s="175" t="s">
        <v>35</v>
      </c>
      <c r="H37" s="70" t="s">
        <v>35</v>
      </c>
      <c r="I37" s="70" t="s">
        <v>35</v>
      </c>
      <c r="J37" s="105">
        <v>4</v>
      </c>
      <c r="K37" s="399" t="s">
        <v>35</v>
      </c>
      <c r="L37" s="178" t="s">
        <v>35</v>
      </c>
      <c r="M37" s="182" t="s">
        <v>531</v>
      </c>
      <c r="N37" s="399" t="s">
        <v>529</v>
      </c>
    </row>
    <row r="38" spans="1:23" x14ac:dyDescent="0.35">
      <c r="A38">
        <f t="shared" si="0"/>
        <v>31</v>
      </c>
      <c r="B38" s="439" t="s">
        <v>763</v>
      </c>
      <c r="C38" s="440">
        <v>140000</v>
      </c>
      <c r="D38" s="441" t="s">
        <v>35</v>
      </c>
      <c r="E38" s="440">
        <f t="shared" ref="E38" si="24">C38*E$6/E$2</f>
        <v>140</v>
      </c>
      <c r="F38" s="440">
        <f t="shared" ref="F38" si="25">C38*F$6/E$2</f>
        <v>1400</v>
      </c>
      <c r="G38" s="441" t="s">
        <v>35</v>
      </c>
      <c r="H38" s="71" t="s">
        <v>35</v>
      </c>
      <c r="I38" s="71" t="s">
        <v>35</v>
      </c>
      <c r="J38" s="442">
        <v>1.5</v>
      </c>
      <c r="K38" s="443">
        <v>500</v>
      </c>
      <c r="L38" s="444" t="s">
        <v>730</v>
      </c>
      <c r="M38" s="445" t="s">
        <v>767</v>
      </c>
      <c r="N38" s="443" t="s">
        <v>728</v>
      </c>
      <c r="O38" s="435" t="s">
        <v>762</v>
      </c>
      <c r="R38" t="s">
        <v>455</v>
      </c>
      <c r="U38" s="311">
        <f t="shared" ref="U38" si="26">(J38/K38)*60</f>
        <v>0.18</v>
      </c>
      <c r="V38" s="311">
        <f>60*U38</f>
        <v>10.799999999999999</v>
      </c>
      <c r="W38" s="311">
        <f>U38/60</f>
        <v>3.0000000000000001E-3</v>
      </c>
    </row>
    <row r="39" spans="1:23" x14ac:dyDescent="0.35">
      <c r="A39">
        <f t="shared" si="0"/>
        <v>32</v>
      </c>
      <c r="B39" s="123" t="s">
        <v>764</v>
      </c>
      <c r="C39" s="159">
        <v>140000</v>
      </c>
      <c r="D39" s="175" t="s">
        <v>35</v>
      </c>
      <c r="E39" s="159">
        <f t="shared" ref="E39:E40" si="27">C39*E$6/E$2</f>
        <v>140</v>
      </c>
      <c r="F39" s="159">
        <f t="shared" ref="F39:F40" si="28">C39*F$6/E$2</f>
        <v>1400</v>
      </c>
      <c r="G39" s="175" t="s">
        <v>35</v>
      </c>
      <c r="H39" s="70" t="s">
        <v>35</v>
      </c>
      <c r="I39" s="70" t="s">
        <v>35</v>
      </c>
      <c r="J39" s="436">
        <v>5.5</v>
      </c>
      <c r="K39" s="399">
        <v>500</v>
      </c>
      <c r="L39" s="178" t="s">
        <v>731</v>
      </c>
      <c r="M39" s="182" t="s">
        <v>767</v>
      </c>
      <c r="N39" s="399" t="s">
        <v>728</v>
      </c>
      <c r="O39" s="435" t="s">
        <v>733</v>
      </c>
      <c r="R39" t="s">
        <v>455</v>
      </c>
      <c r="U39" s="311">
        <f t="shared" ref="U39:U40" si="29">(J39/K39)*60</f>
        <v>0.65999999999999992</v>
      </c>
      <c r="V39" s="311">
        <f>60*U39</f>
        <v>39.599999999999994</v>
      </c>
      <c r="W39" s="311">
        <f>U39/60</f>
        <v>1.0999999999999999E-2</v>
      </c>
    </row>
    <row r="40" spans="1:23" x14ac:dyDescent="0.35">
      <c r="A40">
        <f t="shared" si="0"/>
        <v>33</v>
      </c>
      <c r="B40" s="123" t="s">
        <v>765</v>
      </c>
      <c r="C40" s="159">
        <v>250000</v>
      </c>
      <c r="D40" s="175" t="s">
        <v>35</v>
      </c>
      <c r="E40" s="159">
        <f t="shared" si="27"/>
        <v>250</v>
      </c>
      <c r="F40" s="159">
        <f t="shared" si="28"/>
        <v>2500</v>
      </c>
      <c r="G40" s="175" t="s">
        <v>35</v>
      </c>
      <c r="H40" s="70" t="s">
        <v>35</v>
      </c>
      <c r="I40" s="70" t="s">
        <v>35</v>
      </c>
      <c r="J40" s="399">
        <v>32</v>
      </c>
      <c r="K40" s="399">
        <v>500</v>
      </c>
      <c r="L40" s="178" t="s">
        <v>418</v>
      </c>
      <c r="M40" s="182" t="s">
        <v>767</v>
      </c>
      <c r="N40" s="399" t="s">
        <v>728</v>
      </c>
      <c r="O40" s="437" t="s">
        <v>734</v>
      </c>
      <c r="R40" t="s">
        <v>455</v>
      </c>
      <c r="U40" s="311">
        <f t="shared" si="29"/>
        <v>3.84</v>
      </c>
      <c r="V40" s="311">
        <f>60*U40</f>
        <v>230.39999999999998</v>
      </c>
      <c r="W40" s="311">
        <f>U40/60</f>
        <v>6.4000000000000001E-2</v>
      </c>
    </row>
    <row r="41" spans="1:23" x14ac:dyDescent="0.35">
      <c r="A41">
        <f t="shared" si="0"/>
        <v>34</v>
      </c>
      <c r="B41" s="123" t="s">
        <v>536</v>
      </c>
      <c r="C41" s="159">
        <v>50000</v>
      </c>
      <c r="D41" s="175" t="s">
        <v>35</v>
      </c>
      <c r="E41" s="159">
        <f t="shared" ref="E41:E43" si="30">C41*E$6/E$2</f>
        <v>50</v>
      </c>
      <c r="F41" s="159">
        <f t="shared" ref="F41:F43" si="31">C41*F$6/E$2</f>
        <v>500</v>
      </c>
      <c r="G41" s="175" t="s">
        <v>35</v>
      </c>
      <c r="H41" s="70" t="s">
        <v>35</v>
      </c>
      <c r="I41" s="70" t="s">
        <v>35</v>
      </c>
      <c r="J41" s="399" t="s">
        <v>35</v>
      </c>
      <c r="K41" s="399" t="s">
        <v>35</v>
      </c>
      <c r="L41" s="178" t="s">
        <v>35</v>
      </c>
      <c r="M41" s="178" t="s">
        <v>35</v>
      </c>
      <c r="N41" s="399" t="s">
        <v>533</v>
      </c>
    </row>
    <row r="42" spans="1:23" x14ac:dyDescent="0.35">
      <c r="A42">
        <f t="shared" si="0"/>
        <v>35</v>
      </c>
      <c r="B42" s="123" t="s">
        <v>537</v>
      </c>
      <c r="C42" s="159">
        <v>30000</v>
      </c>
      <c r="D42" s="175" t="s">
        <v>35</v>
      </c>
      <c r="E42" s="159">
        <f t="shared" si="30"/>
        <v>30</v>
      </c>
      <c r="F42" s="159">
        <f t="shared" si="31"/>
        <v>300</v>
      </c>
      <c r="G42" s="175" t="s">
        <v>35</v>
      </c>
      <c r="H42" s="70" t="s">
        <v>35</v>
      </c>
      <c r="I42" s="70" t="s">
        <v>35</v>
      </c>
      <c r="J42" s="399" t="s">
        <v>532</v>
      </c>
      <c r="K42" s="399" t="s">
        <v>35</v>
      </c>
      <c r="L42" s="178" t="s">
        <v>35</v>
      </c>
      <c r="M42" s="178" t="s">
        <v>35</v>
      </c>
      <c r="N42" s="399" t="s">
        <v>416</v>
      </c>
    </row>
    <row r="43" spans="1:23" x14ac:dyDescent="0.35">
      <c r="A43">
        <f t="shared" si="0"/>
        <v>36</v>
      </c>
      <c r="B43" s="123" t="s">
        <v>538</v>
      </c>
      <c r="C43" s="159">
        <v>40000</v>
      </c>
      <c r="D43" s="175" t="s">
        <v>35</v>
      </c>
      <c r="E43" s="175">
        <f t="shared" si="30"/>
        <v>40</v>
      </c>
      <c r="F43" s="159">
        <f t="shared" si="31"/>
        <v>400</v>
      </c>
      <c r="G43" s="175" t="s">
        <v>35</v>
      </c>
      <c r="H43" s="70" t="s">
        <v>35</v>
      </c>
      <c r="I43" s="70" t="s">
        <v>35</v>
      </c>
      <c r="J43" s="105">
        <v>1</v>
      </c>
      <c r="K43" s="105">
        <v>724</v>
      </c>
      <c r="L43" s="178" t="s">
        <v>636</v>
      </c>
      <c r="M43" s="182" t="s">
        <v>540</v>
      </c>
      <c r="N43" s="399" t="s">
        <v>539</v>
      </c>
      <c r="R43" t="s">
        <v>455</v>
      </c>
      <c r="U43">
        <f>(J43/K43)*60</f>
        <v>8.2872928176795577E-2</v>
      </c>
      <c r="V43" s="8">
        <f>60*U43</f>
        <v>4.972375690607735</v>
      </c>
    </row>
    <row r="44" spans="1:23" x14ac:dyDescent="0.35">
      <c r="A44">
        <f t="shared" si="0"/>
        <v>37</v>
      </c>
      <c r="B44" s="123" t="s">
        <v>519</v>
      </c>
      <c r="C44" s="159">
        <v>4212000</v>
      </c>
      <c r="D44" s="159">
        <f>C44*D$6/E$2</f>
        <v>421.2</v>
      </c>
      <c r="E44" s="159">
        <f t="shared" ref="E44" si="32">C44*E$6/E$2</f>
        <v>4212</v>
      </c>
      <c r="F44" s="159">
        <f t="shared" ref="F44" si="33">C44*F$6/E$2</f>
        <v>42120</v>
      </c>
      <c r="G44" s="175" t="s">
        <v>35</v>
      </c>
      <c r="H44" s="58" t="s">
        <v>35</v>
      </c>
      <c r="I44" s="58" t="s">
        <v>35</v>
      </c>
      <c r="J44" s="105">
        <v>480</v>
      </c>
      <c r="K44" s="105">
        <v>64</v>
      </c>
      <c r="L44" s="178" t="s">
        <v>35</v>
      </c>
      <c r="M44" s="182" t="s">
        <v>35</v>
      </c>
      <c r="N44" s="399" t="s">
        <v>416</v>
      </c>
    </row>
    <row r="45" spans="1:23" x14ac:dyDescent="0.35">
      <c r="A45">
        <f t="shared" si="0"/>
        <v>38</v>
      </c>
      <c r="B45" s="123" t="s">
        <v>521</v>
      </c>
      <c r="C45" s="159">
        <v>70</v>
      </c>
      <c r="D45" s="175" t="s">
        <v>35</v>
      </c>
      <c r="E45" s="175" t="s">
        <v>35</v>
      </c>
      <c r="F45" s="175" t="s">
        <v>35</v>
      </c>
      <c r="G45" s="159">
        <f t="shared" ref="G45" si="34">C45*G$6/E$2</f>
        <v>7</v>
      </c>
      <c r="H45" s="8">
        <f t="shared" ref="H45" si="35">C45*H$6/H$2</f>
        <v>7.0000000000000007E-2</v>
      </c>
      <c r="I45" s="142">
        <f t="shared" ref="I45" si="36">C45*I$6/H$2</f>
        <v>0.7</v>
      </c>
      <c r="J45" s="399" t="s">
        <v>523</v>
      </c>
      <c r="K45" s="105">
        <v>3960</v>
      </c>
      <c r="L45" s="178" t="s">
        <v>634</v>
      </c>
      <c r="M45" s="182" t="s">
        <v>35</v>
      </c>
      <c r="N45" s="399" t="s">
        <v>403</v>
      </c>
      <c r="R45" t="s">
        <v>455</v>
      </c>
      <c r="U45">
        <f>(3/K45)*60</f>
        <v>4.5454545454545456E-2</v>
      </c>
    </row>
    <row r="46" spans="1:23" x14ac:dyDescent="0.35">
      <c r="A46">
        <f t="shared" si="0"/>
        <v>39</v>
      </c>
      <c r="B46" s="123"/>
      <c r="C46" s="159"/>
      <c r="D46" s="175"/>
      <c r="E46" s="175"/>
      <c r="F46" s="175"/>
      <c r="G46" s="159"/>
      <c r="H46" s="8"/>
      <c r="I46" s="8"/>
      <c r="J46" s="399"/>
      <c r="K46" s="105"/>
      <c r="L46" s="178"/>
      <c r="M46" s="182"/>
      <c r="N46" s="399"/>
    </row>
    <row r="47" spans="1:23" x14ac:dyDescent="0.35">
      <c r="A47">
        <f t="shared" si="0"/>
        <v>40</v>
      </c>
      <c r="B47" s="123"/>
      <c r="C47" s="159"/>
      <c r="D47" s="175"/>
      <c r="E47" s="175"/>
      <c r="F47" s="175"/>
      <c r="G47" s="159"/>
      <c r="H47" s="8"/>
      <c r="I47" s="8"/>
      <c r="J47" s="399"/>
      <c r="K47" s="105"/>
      <c r="L47" s="178"/>
      <c r="M47" s="182"/>
      <c r="N47" s="399"/>
    </row>
    <row r="48" spans="1:23" x14ac:dyDescent="0.35">
      <c r="A48">
        <f t="shared" si="0"/>
        <v>41</v>
      </c>
      <c r="B48" s="123"/>
      <c r="C48" s="159"/>
      <c r="D48" s="175"/>
      <c r="E48" s="175"/>
      <c r="F48" s="159"/>
      <c r="G48" s="159"/>
      <c r="H48" s="70"/>
      <c r="I48" s="70"/>
      <c r="J48" s="105"/>
      <c r="K48" s="105"/>
      <c r="L48" s="178"/>
      <c r="M48" s="182"/>
      <c r="N48" s="399"/>
    </row>
    <row r="49" spans="1:23" x14ac:dyDescent="0.35">
      <c r="A49">
        <f t="shared" si="0"/>
        <v>42</v>
      </c>
      <c r="B49" s="193" t="s">
        <v>180</v>
      </c>
      <c r="C49" s="187"/>
      <c r="D49" s="187"/>
      <c r="E49" s="187"/>
      <c r="F49" s="187"/>
      <c r="G49" s="187"/>
      <c r="H49" s="187"/>
      <c r="I49" s="188"/>
      <c r="J49" s="398"/>
      <c r="K49" s="398"/>
      <c r="L49" s="395"/>
      <c r="M49" s="194"/>
      <c r="N49" s="400"/>
    </row>
    <row r="50" spans="1:23" x14ac:dyDescent="0.35">
      <c r="A50">
        <f t="shared" si="0"/>
        <v>43</v>
      </c>
      <c r="B50" s="123" t="s">
        <v>586</v>
      </c>
      <c r="C50" s="159">
        <v>47000000</v>
      </c>
      <c r="D50" s="159">
        <f>C50*D$6/E$2</f>
        <v>4700</v>
      </c>
      <c r="E50" s="159">
        <f>C50*E$6/E$2</f>
        <v>47000</v>
      </c>
      <c r="F50" s="175" t="s">
        <v>35</v>
      </c>
      <c r="G50" s="175" t="s">
        <v>35</v>
      </c>
      <c r="H50" s="58" t="s">
        <v>35</v>
      </c>
      <c r="I50" s="58" t="s">
        <v>35</v>
      </c>
      <c r="J50" s="105">
        <v>1430</v>
      </c>
      <c r="K50" s="105">
        <v>2450</v>
      </c>
      <c r="L50" s="388" t="s">
        <v>35</v>
      </c>
      <c r="M50" s="399">
        <v>4000</v>
      </c>
      <c r="N50" s="399" t="s">
        <v>414</v>
      </c>
      <c r="O50" t="s">
        <v>35</v>
      </c>
    </row>
    <row r="51" spans="1:23" x14ac:dyDescent="0.35">
      <c r="A51">
        <f t="shared" si="0"/>
        <v>44</v>
      </c>
      <c r="B51" s="123" t="s">
        <v>632</v>
      </c>
      <c r="C51" s="159">
        <v>30</v>
      </c>
      <c r="D51" s="175" t="s">
        <v>35</v>
      </c>
      <c r="E51" s="175" t="s">
        <v>35</v>
      </c>
      <c r="F51" s="175" t="s">
        <v>35</v>
      </c>
      <c r="G51" s="159">
        <f t="shared" ref="G51" si="37">C51*G$6/E$2</f>
        <v>3</v>
      </c>
      <c r="H51" s="8">
        <f t="shared" ref="H51" si="38">C51*H$6/H$2</f>
        <v>0.03</v>
      </c>
      <c r="I51" s="142">
        <f t="shared" ref="I51" si="39">C51*I$6/H$2</f>
        <v>0.3</v>
      </c>
      <c r="J51" s="433">
        <v>1.8</v>
      </c>
      <c r="K51" s="399">
        <v>3240</v>
      </c>
      <c r="L51" s="388" t="s">
        <v>635</v>
      </c>
      <c r="M51" s="182" t="s">
        <v>35</v>
      </c>
      <c r="N51" s="399" t="s">
        <v>403</v>
      </c>
    </row>
    <row r="52" spans="1:23" x14ac:dyDescent="0.35">
      <c r="A52">
        <f t="shared" si="0"/>
        <v>45</v>
      </c>
      <c r="B52" s="123" t="s">
        <v>587</v>
      </c>
      <c r="C52" s="159">
        <v>323770</v>
      </c>
      <c r="D52" s="159">
        <f>C52*D$6/E$2</f>
        <v>32.377000000000002</v>
      </c>
      <c r="E52" s="159">
        <f>C52*E$6/E$2</f>
        <v>323.77</v>
      </c>
      <c r="F52" s="175" t="s">
        <v>35</v>
      </c>
      <c r="G52" s="175" t="s">
        <v>35</v>
      </c>
      <c r="H52" s="58" t="s">
        <v>35</v>
      </c>
      <c r="I52" s="58" t="s">
        <v>35</v>
      </c>
      <c r="J52" s="105">
        <v>70</v>
      </c>
      <c r="K52" s="399" t="s">
        <v>35</v>
      </c>
      <c r="L52" s="388" t="s">
        <v>35</v>
      </c>
      <c r="M52" s="182" t="s">
        <v>576</v>
      </c>
      <c r="N52" s="399"/>
    </row>
    <row r="53" spans="1:23" x14ac:dyDescent="0.35">
      <c r="A53">
        <f t="shared" si="0"/>
        <v>46</v>
      </c>
      <c r="B53" s="123" t="s">
        <v>588</v>
      </c>
      <c r="C53" s="159">
        <v>870000</v>
      </c>
      <c r="D53" s="159">
        <f>C53*D$6/E$2</f>
        <v>87</v>
      </c>
      <c r="E53" s="159">
        <f>C53*E$6/E$2</f>
        <v>870</v>
      </c>
      <c r="F53" s="175" t="s">
        <v>35</v>
      </c>
      <c r="G53" s="175" t="s">
        <v>35</v>
      </c>
      <c r="H53" s="58" t="s">
        <v>35</v>
      </c>
      <c r="I53" s="58" t="s">
        <v>35</v>
      </c>
      <c r="J53" s="105">
        <v>300</v>
      </c>
      <c r="K53" s="105">
        <v>3552</v>
      </c>
      <c r="L53" s="388" t="s">
        <v>571</v>
      </c>
      <c r="M53" s="182" t="s">
        <v>570</v>
      </c>
      <c r="N53" s="399" t="s">
        <v>572</v>
      </c>
      <c r="R53" t="s">
        <v>455</v>
      </c>
      <c r="U53">
        <f>(J53/K53)*60</f>
        <v>5.0675675675675675</v>
      </c>
    </row>
    <row r="54" spans="1:23" x14ac:dyDescent="0.35">
      <c r="A54">
        <f t="shared" si="0"/>
        <v>47</v>
      </c>
      <c r="B54" s="123" t="s">
        <v>614</v>
      </c>
      <c r="C54" s="159">
        <v>109000000</v>
      </c>
      <c r="D54" s="159">
        <f>C54*D$6/E$2</f>
        <v>10900</v>
      </c>
      <c r="E54" s="159">
        <f>C54*E$6/E$2</f>
        <v>109000</v>
      </c>
      <c r="F54" s="175" t="s">
        <v>35</v>
      </c>
      <c r="G54" s="175" t="s">
        <v>35</v>
      </c>
      <c r="H54" s="58" t="s">
        <v>35</v>
      </c>
      <c r="I54" s="58" t="s">
        <v>35</v>
      </c>
      <c r="J54" s="105">
        <f>1239/2</f>
        <v>619.5</v>
      </c>
      <c r="K54" s="399">
        <v>1908</v>
      </c>
      <c r="L54" s="388" t="s">
        <v>35</v>
      </c>
      <c r="M54" s="399">
        <v>8200</v>
      </c>
      <c r="N54" s="399" t="s">
        <v>609</v>
      </c>
      <c r="O54" t="s">
        <v>35</v>
      </c>
      <c r="V54" s="8"/>
    </row>
    <row r="55" spans="1:23" x14ac:dyDescent="0.35">
      <c r="A55">
        <f t="shared" si="0"/>
        <v>48</v>
      </c>
      <c r="B55" s="123" t="s">
        <v>638</v>
      </c>
      <c r="C55" s="159">
        <v>20</v>
      </c>
      <c r="D55" s="175" t="s">
        <v>35</v>
      </c>
      <c r="E55" s="175" t="s">
        <v>35</v>
      </c>
      <c r="F55" s="175" t="s">
        <v>35</v>
      </c>
      <c r="G55" s="159">
        <f t="shared" ref="G55" si="40">C55*G$6/E$2</f>
        <v>2</v>
      </c>
      <c r="H55" s="8">
        <f t="shared" ref="H55" si="41">C55*H$6/H$2</f>
        <v>0.02</v>
      </c>
      <c r="I55" s="142">
        <f t="shared" ref="I55" si="42">C55*I$6/H$2</f>
        <v>0.2</v>
      </c>
      <c r="J55" s="433">
        <v>3.66</v>
      </c>
      <c r="K55" s="399">
        <v>3744</v>
      </c>
      <c r="L55" s="388" t="s">
        <v>639</v>
      </c>
      <c r="M55" s="399" t="s">
        <v>35</v>
      </c>
      <c r="N55" s="399" t="s">
        <v>403</v>
      </c>
      <c r="R55" t="s">
        <v>455</v>
      </c>
      <c r="U55" s="311">
        <f t="shared" ref="U55" si="43">(J55/K55)*60</f>
        <v>5.8653846153846154E-2</v>
      </c>
      <c r="V55" s="311">
        <f>60*U55</f>
        <v>3.5192307692307692</v>
      </c>
      <c r="W55" s="311">
        <f>U55/60</f>
        <v>9.775641025641026E-4</v>
      </c>
    </row>
    <row r="56" spans="1:23" x14ac:dyDescent="0.35">
      <c r="A56">
        <f t="shared" si="0"/>
        <v>49</v>
      </c>
      <c r="B56" s="123" t="s">
        <v>482</v>
      </c>
      <c r="C56" s="159">
        <v>100000000</v>
      </c>
      <c r="D56" s="159">
        <f>C56*D$6/E$2</f>
        <v>10000</v>
      </c>
      <c r="E56" s="159">
        <f>C56*E$6/E$2</f>
        <v>100000</v>
      </c>
      <c r="F56" s="175" t="s">
        <v>35</v>
      </c>
      <c r="G56" s="175" t="s">
        <v>35</v>
      </c>
      <c r="H56" s="58" t="s">
        <v>35</v>
      </c>
      <c r="I56" s="58" t="s">
        <v>35</v>
      </c>
      <c r="J56" s="105">
        <v>546</v>
      </c>
      <c r="K56" s="105">
        <v>2000</v>
      </c>
      <c r="L56" s="388"/>
      <c r="M56" s="399">
        <v>7700</v>
      </c>
      <c r="N56" s="399" t="s">
        <v>479</v>
      </c>
      <c r="O56" t="s">
        <v>35</v>
      </c>
    </row>
    <row r="57" spans="1:23" x14ac:dyDescent="0.35">
      <c r="A57">
        <f t="shared" si="0"/>
        <v>50</v>
      </c>
      <c r="B57" s="123" t="s">
        <v>589</v>
      </c>
      <c r="C57" s="159">
        <v>30000</v>
      </c>
      <c r="D57" s="175" t="s">
        <v>35</v>
      </c>
      <c r="E57" s="175" t="s">
        <v>35</v>
      </c>
      <c r="F57" s="159">
        <f t="shared" ref="F57:F61" si="44">C57*F$6/E$2</f>
        <v>300</v>
      </c>
      <c r="G57" s="159">
        <f t="shared" ref="G57" si="45">C57*G$6/E$2</f>
        <v>3000</v>
      </c>
      <c r="H57" s="8">
        <f t="shared" ref="H57" si="46">C57*H$6/H$2</f>
        <v>30</v>
      </c>
      <c r="I57" s="58" t="s">
        <v>35</v>
      </c>
      <c r="J57" s="105">
        <v>28</v>
      </c>
      <c r="K57" s="399" t="s">
        <v>35</v>
      </c>
      <c r="L57" s="388" t="s">
        <v>35</v>
      </c>
      <c r="M57" s="182" t="s">
        <v>518</v>
      </c>
      <c r="N57" s="399" t="s">
        <v>553</v>
      </c>
    </row>
    <row r="58" spans="1:23" x14ac:dyDescent="0.35">
      <c r="A58">
        <f t="shared" si="0"/>
        <v>51</v>
      </c>
      <c r="B58" s="123" t="s">
        <v>774</v>
      </c>
      <c r="C58" s="159"/>
      <c r="D58" s="175"/>
      <c r="E58" s="175"/>
      <c r="F58" s="159"/>
      <c r="G58" s="159"/>
      <c r="H58" s="8"/>
      <c r="I58" s="58"/>
      <c r="J58" s="105">
        <v>111</v>
      </c>
      <c r="K58" s="399" t="s">
        <v>35</v>
      </c>
      <c r="L58" s="388" t="s">
        <v>35</v>
      </c>
      <c r="M58" s="182" t="s">
        <v>773</v>
      </c>
      <c r="N58" s="399" t="s">
        <v>772</v>
      </c>
      <c r="O58" t="s">
        <v>777</v>
      </c>
    </row>
    <row r="59" spans="1:23" x14ac:dyDescent="0.35">
      <c r="A59">
        <f t="shared" si="0"/>
        <v>52</v>
      </c>
      <c r="B59" s="123" t="s">
        <v>590</v>
      </c>
      <c r="C59" s="159">
        <f>161000000/48</f>
        <v>3354166.6666666665</v>
      </c>
      <c r="D59" s="159">
        <f>C59*D$6/E$2</f>
        <v>335.41666666666663</v>
      </c>
      <c r="E59" s="159">
        <f>C59*E$6/E$2</f>
        <v>3354.1666666666665</v>
      </c>
      <c r="F59" s="159">
        <f t="shared" si="44"/>
        <v>33541.666666666664</v>
      </c>
      <c r="G59" s="175" t="s">
        <v>35</v>
      </c>
      <c r="H59" s="58" t="s">
        <v>35</v>
      </c>
      <c r="I59" s="58" t="s">
        <v>35</v>
      </c>
      <c r="J59" s="105">
        <v>555</v>
      </c>
      <c r="K59" s="399">
        <v>1073</v>
      </c>
      <c r="L59" s="388" t="s">
        <v>558</v>
      </c>
      <c r="M59" s="182" t="s">
        <v>559</v>
      </c>
      <c r="N59" s="399" t="s">
        <v>560</v>
      </c>
      <c r="R59" t="s">
        <v>455</v>
      </c>
      <c r="U59">
        <f t="shared" ref="U59:U65" si="47">(J59/K59)*60</f>
        <v>31.03448275862069</v>
      </c>
    </row>
    <row r="60" spans="1:23" x14ac:dyDescent="0.35">
      <c r="A60">
        <f t="shared" si="0"/>
        <v>53</v>
      </c>
      <c r="B60" s="123" t="s">
        <v>591</v>
      </c>
      <c r="C60" s="159">
        <v>50000</v>
      </c>
      <c r="D60" s="175" t="s">
        <v>35</v>
      </c>
      <c r="E60" s="175" t="s">
        <v>35</v>
      </c>
      <c r="F60" s="159">
        <f t="shared" ref="F60" si="48">C60*F$6/E$2</f>
        <v>500</v>
      </c>
      <c r="G60" s="159">
        <f t="shared" ref="G60" si="49">C60*G$6/E$2</f>
        <v>5000</v>
      </c>
      <c r="H60" s="58" t="s">
        <v>35</v>
      </c>
      <c r="I60" s="58" t="s">
        <v>35</v>
      </c>
      <c r="J60" s="105">
        <v>22</v>
      </c>
      <c r="K60" s="399">
        <v>1150</v>
      </c>
      <c r="L60" s="388" t="s">
        <v>545</v>
      </c>
      <c r="M60" s="182" t="s">
        <v>555</v>
      </c>
      <c r="N60" s="399" t="s">
        <v>554</v>
      </c>
      <c r="R60" t="s">
        <v>455</v>
      </c>
      <c r="U60">
        <f t="shared" si="47"/>
        <v>1.1478260869565218</v>
      </c>
    </row>
    <row r="61" spans="1:23" x14ac:dyDescent="0.35">
      <c r="A61">
        <f t="shared" si="0"/>
        <v>54</v>
      </c>
      <c r="B61" s="123" t="s">
        <v>592</v>
      </c>
      <c r="C61" s="159">
        <v>1090000</v>
      </c>
      <c r="D61" s="159">
        <f>C61*D$6/E$2</f>
        <v>109</v>
      </c>
      <c r="E61" s="159">
        <f>C61*E$6/E$2</f>
        <v>1090</v>
      </c>
      <c r="F61" s="159">
        <f t="shared" si="44"/>
        <v>10900</v>
      </c>
      <c r="G61" s="175" t="s">
        <v>35</v>
      </c>
      <c r="H61" s="58" t="s">
        <v>35</v>
      </c>
      <c r="I61" s="58" t="s">
        <v>35</v>
      </c>
      <c r="J61" s="105">
        <v>105</v>
      </c>
      <c r="K61" s="105">
        <v>4939</v>
      </c>
      <c r="L61" s="388" t="s">
        <v>545</v>
      </c>
      <c r="M61" s="182" t="s">
        <v>544</v>
      </c>
      <c r="N61" s="399" t="s">
        <v>543</v>
      </c>
      <c r="R61" t="s">
        <v>455</v>
      </c>
      <c r="U61">
        <f t="shared" si="47"/>
        <v>1.2755618546264424</v>
      </c>
    </row>
    <row r="62" spans="1:23" x14ac:dyDescent="0.35">
      <c r="A62">
        <f t="shared" si="0"/>
        <v>55</v>
      </c>
      <c r="B62" s="123" t="s">
        <v>593</v>
      </c>
      <c r="C62" s="159">
        <v>399500</v>
      </c>
      <c r="D62" s="159">
        <f>C62*D$6/E$2</f>
        <v>39.950000000000003</v>
      </c>
      <c r="E62" s="159">
        <f>C62*E$6/E$2</f>
        <v>399.5</v>
      </c>
      <c r="F62" s="159">
        <f t="shared" ref="F62" si="50">C62*F$6/E$2</f>
        <v>3995</v>
      </c>
      <c r="G62" s="175" t="s">
        <v>35</v>
      </c>
      <c r="H62" s="58" t="s">
        <v>35</v>
      </c>
      <c r="I62" s="58" t="s">
        <v>35</v>
      </c>
      <c r="J62" s="105">
        <v>35</v>
      </c>
      <c r="K62" s="105">
        <v>2980</v>
      </c>
      <c r="L62" s="388" t="s">
        <v>404</v>
      </c>
      <c r="M62" s="182" t="s">
        <v>550</v>
      </c>
      <c r="N62" s="399" t="s">
        <v>551</v>
      </c>
      <c r="R62" t="s">
        <v>455</v>
      </c>
      <c r="U62" s="311">
        <f t="shared" si="47"/>
        <v>0.70469798657718119</v>
      </c>
      <c r="V62" s="311">
        <f>60*U62</f>
        <v>42.281879194630875</v>
      </c>
      <c r="W62" s="311">
        <f>U62/60</f>
        <v>1.1744966442953021E-2</v>
      </c>
    </row>
    <row r="63" spans="1:23" x14ac:dyDescent="0.35">
      <c r="A63">
        <f t="shared" si="0"/>
        <v>56</v>
      </c>
      <c r="B63" s="123" t="s">
        <v>735</v>
      </c>
      <c r="C63" s="159">
        <v>150000</v>
      </c>
      <c r="D63" s="159">
        <f>C63*D$6/E$2</f>
        <v>15</v>
      </c>
      <c r="E63" s="159">
        <f>C63*E$6/E$2</f>
        <v>150</v>
      </c>
      <c r="F63" s="159">
        <f t="shared" ref="F63:F64" si="51">C63*F$6/E$2</f>
        <v>1500</v>
      </c>
      <c r="G63" s="175" t="s">
        <v>35</v>
      </c>
      <c r="H63" s="58" t="s">
        <v>35</v>
      </c>
      <c r="I63" s="58" t="s">
        <v>35</v>
      </c>
      <c r="J63" s="433">
        <v>11</v>
      </c>
      <c r="K63" s="105">
        <v>1600</v>
      </c>
      <c r="L63" s="388" t="s">
        <v>696</v>
      </c>
      <c r="M63" s="182" t="s">
        <v>737</v>
      </c>
      <c r="N63" s="399" t="s">
        <v>738</v>
      </c>
      <c r="O63" t="s">
        <v>744</v>
      </c>
      <c r="R63" t="s">
        <v>455</v>
      </c>
      <c r="U63" s="311">
        <f t="shared" ref="U63" si="52">(J63/K63)*60</f>
        <v>0.41249999999999998</v>
      </c>
      <c r="V63" s="311">
        <f>60*U63</f>
        <v>24.75</v>
      </c>
      <c r="W63" s="311">
        <f>U63/60</f>
        <v>6.875E-3</v>
      </c>
    </row>
    <row r="64" spans="1:23" x14ac:dyDescent="0.35">
      <c r="A64">
        <f t="shared" si="0"/>
        <v>57</v>
      </c>
      <c r="B64" s="123" t="s">
        <v>739</v>
      </c>
      <c r="C64" s="159">
        <v>319000</v>
      </c>
      <c r="D64" s="159">
        <f>C64*D$6/E$2</f>
        <v>31.9</v>
      </c>
      <c r="E64" s="159">
        <f>C64*E$6/E$2</f>
        <v>319</v>
      </c>
      <c r="F64" s="159">
        <f t="shared" si="51"/>
        <v>3190</v>
      </c>
      <c r="G64" s="175" t="s">
        <v>35</v>
      </c>
      <c r="H64" s="58" t="s">
        <v>35</v>
      </c>
      <c r="I64" s="58" t="s">
        <v>35</v>
      </c>
      <c r="J64" s="433">
        <v>8</v>
      </c>
      <c r="K64" s="105">
        <f>K63</f>
        <v>1600</v>
      </c>
      <c r="L64" s="388" t="s">
        <v>743</v>
      </c>
      <c r="M64" s="388" t="str">
        <f>M63</f>
        <v>9</v>
      </c>
      <c r="N64" s="399" t="s">
        <v>572</v>
      </c>
      <c r="O64" t="s">
        <v>740</v>
      </c>
      <c r="R64" t="s">
        <v>455</v>
      </c>
      <c r="U64" s="311">
        <f t="shared" ref="U64" si="53">(J64/K64)*60</f>
        <v>0.3</v>
      </c>
      <c r="V64" s="311">
        <f>60*U64</f>
        <v>18</v>
      </c>
      <c r="W64" s="311">
        <f>U64/60</f>
        <v>5.0000000000000001E-3</v>
      </c>
    </row>
    <row r="65" spans="1:23" x14ac:dyDescent="0.35">
      <c r="A65">
        <f t="shared" si="0"/>
        <v>58</v>
      </c>
      <c r="B65" s="123" t="s">
        <v>594</v>
      </c>
      <c r="C65" s="159">
        <v>15</v>
      </c>
      <c r="D65" s="175" t="s">
        <v>35</v>
      </c>
      <c r="E65" s="175" t="s">
        <v>35</v>
      </c>
      <c r="F65" s="175" t="s">
        <v>35</v>
      </c>
      <c r="G65" s="159">
        <f t="shared" ref="G65" si="54">C65*G$6/E$2</f>
        <v>1.5</v>
      </c>
      <c r="H65" s="8">
        <f t="shared" ref="H65" si="55">C65*H$6/H$2</f>
        <v>1.4999999999999999E-2</v>
      </c>
      <c r="I65" s="142">
        <f t="shared" ref="I65" si="56">C65*I$6/H$2</f>
        <v>0.15</v>
      </c>
      <c r="J65" s="433">
        <v>3</v>
      </c>
      <c r="K65" s="105">
        <v>3780</v>
      </c>
      <c r="L65" s="388" t="s">
        <v>634</v>
      </c>
      <c r="M65" s="182" t="s">
        <v>35</v>
      </c>
      <c r="N65" s="399" t="s">
        <v>403</v>
      </c>
      <c r="O65" t="s">
        <v>548</v>
      </c>
      <c r="R65" t="s">
        <v>455</v>
      </c>
      <c r="U65">
        <f t="shared" si="47"/>
        <v>4.7619047619047616E-2</v>
      </c>
      <c r="V65" s="8">
        <f>60*U65</f>
        <v>2.8571428571428568</v>
      </c>
    </row>
    <row r="66" spans="1:23" x14ac:dyDescent="0.35">
      <c r="A66">
        <f t="shared" si="0"/>
        <v>59</v>
      </c>
      <c r="B66" s="123" t="s">
        <v>680</v>
      </c>
      <c r="C66" s="159" t="s">
        <v>660</v>
      </c>
      <c r="D66" s="175" t="s">
        <v>35</v>
      </c>
      <c r="E66" s="175" t="s">
        <v>35</v>
      </c>
      <c r="F66" s="175" t="s">
        <v>35</v>
      </c>
      <c r="G66" s="175" t="s">
        <v>35</v>
      </c>
      <c r="H66" s="58" t="s">
        <v>35</v>
      </c>
      <c r="I66" s="58" t="s">
        <v>35</v>
      </c>
      <c r="J66" s="105">
        <f>14200/2</f>
        <v>7100</v>
      </c>
      <c r="K66" s="105">
        <v>1050</v>
      </c>
      <c r="L66" s="388" t="s">
        <v>35</v>
      </c>
      <c r="M66" s="399">
        <v>32000</v>
      </c>
      <c r="N66" s="399">
        <v>744</v>
      </c>
      <c r="O66" t="s">
        <v>35</v>
      </c>
      <c r="V66" s="8"/>
    </row>
    <row r="67" spans="1:23" x14ac:dyDescent="0.35">
      <c r="A67">
        <f t="shared" si="0"/>
        <v>60</v>
      </c>
      <c r="B67" s="123" t="s">
        <v>706</v>
      </c>
      <c r="C67" s="159">
        <v>4000000000</v>
      </c>
      <c r="D67" s="159">
        <f>C67*D$6/E$2</f>
        <v>400000</v>
      </c>
      <c r="E67" s="175" t="s">
        <v>35</v>
      </c>
      <c r="F67" s="175" t="s">
        <v>35</v>
      </c>
      <c r="G67" s="175" t="s">
        <v>35</v>
      </c>
      <c r="H67" s="58" t="s">
        <v>35</v>
      </c>
      <c r="I67" s="58" t="s">
        <v>35</v>
      </c>
      <c r="J67" s="105">
        <v>11000</v>
      </c>
      <c r="K67" s="105">
        <v>900</v>
      </c>
      <c r="L67" s="388" t="s">
        <v>751</v>
      </c>
      <c r="M67" s="399">
        <v>20000</v>
      </c>
      <c r="N67" s="399">
        <v>21</v>
      </c>
      <c r="R67" t="s">
        <v>455</v>
      </c>
      <c r="U67" s="311">
        <f>(J67/K67)*60</f>
        <v>733.33333333333326</v>
      </c>
      <c r="V67" s="311">
        <f>60*U67</f>
        <v>43999.999999999993</v>
      </c>
      <c r="W67" s="311">
        <f>U67/60</f>
        <v>12.222222222222221</v>
      </c>
    </row>
    <row r="68" spans="1:23" x14ac:dyDescent="0.35">
      <c r="A68">
        <f t="shared" si="0"/>
        <v>61</v>
      </c>
      <c r="B68" s="439" t="s">
        <v>678</v>
      </c>
      <c r="C68" s="440" t="s">
        <v>660</v>
      </c>
      <c r="D68" s="441" t="s">
        <v>35</v>
      </c>
      <c r="E68" s="441" t="s">
        <v>35</v>
      </c>
      <c r="F68" s="441" t="s">
        <v>35</v>
      </c>
      <c r="G68" s="441" t="s">
        <v>35</v>
      </c>
      <c r="H68" s="449" t="s">
        <v>35</v>
      </c>
      <c r="I68" s="449" t="s">
        <v>35</v>
      </c>
      <c r="J68" s="447">
        <v>2500</v>
      </c>
      <c r="K68" s="447">
        <v>1997</v>
      </c>
      <c r="L68" s="448" t="s">
        <v>798</v>
      </c>
      <c r="M68" s="443">
        <v>24000</v>
      </c>
      <c r="N68" s="443">
        <v>497</v>
      </c>
      <c r="O68" t="s">
        <v>804</v>
      </c>
      <c r="R68" t="s">
        <v>455</v>
      </c>
      <c r="U68" s="311">
        <f t="shared" ref="U68:U71" si="57">(J68/K68)*60</f>
        <v>75.11266900350526</v>
      </c>
      <c r="V68" s="311">
        <f t="shared" ref="V68:V71" si="58">60*U68</f>
        <v>4506.7601402103155</v>
      </c>
      <c r="W68" s="311">
        <f t="shared" ref="W68:W71" si="59">U68/60</f>
        <v>1.2518778167250877</v>
      </c>
    </row>
    <row r="69" spans="1:23" x14ac:dyDescent="0.35">
      <c r="A69">
        <f t="shared" si="0"/>
        <v>62</v>
      </c>
      <c r="B69" s="439" t="s">
        <v>794</v>
      </c>
      <c r="C69" s="440" t="s">
        <v>793</v>
      </c>
      <c r="D69" s="441"/>
      <c r="E69" s="441"/>
      <c r="F69" s="441"/>
      <c r="G69" s="441"/>
      <c r="H69" s="449"/>
      <c r="I69" s="449"/>
      <c r="J69" s="447">
        <f>1000/2</f>
        <v>500</v>
      </c>
      <c r="K69" s="447">
        <v>975</v>
      </c>
      <c r="L69" s="448" t="s">
        <v>799</v>
      </c>
      <c r="M69" s="443"/>
      <c r="N69" s="443" t="s">
        <v>464</v>
      </c>
      <c r="O69" t="s">
        <v>35</v>
      </c>
      <c r="R69" t="s">
        <v>455</v>
      </c>
      <c r="U69" s="311">
        <f t="shared" si="57"/>
        <v>30.769230769230766</v>
      </c>
      <c r="V69" s="311">
        <f t="shared" si="58"/>
        <v>1846.153846153846</v>
      </c>
      <c r="W69" s="311">
        <f t="shared" si="59"/>
        <v>0.51282051282051277</v>
      </c>
    </row>
    <row r="70" spans="1:23" x14ac:dyDescent="0.35">
      <c r="A70">
        <f t="shared" si="0"/>
        <v>63</v>
      </c>
      <c r="B70" s="439" t="s">
        <v>595</v>
      </c>
      <c r="C70" s="440">
        <v>85000000</v>
      </c>
      <c r="D70" s="440">
        <f>C70*D$6/E$2</f>
        <v>8500</v>
      </c>
      <c r="E70" s="440">
        <f>C70*E$6/E$2</f>
        <v>85000</v>
      </c>
      <c r="F70" s="441" t="s">
        <v>35</v>
      </c>
      <c r="G70" s="441" t="s">
        <v>35</v>
      </c>
      <c r="H70" s="449" t="s">
        <v>35</v>
      </c>
      <c r="I70" s="449" t="s">
        <v>35</v>
      </c>
      <c r="J70" s="447">
        <f>1600/2</f>
        <v>800</v>
      </c>
      <c r="K70" s="447">
        <v>2400</v>
      </c>
      <c r="L70" s="448" t="s">
        <v>401</v>
      </c>
      <c r="M70" s="443">
        <v>8000</v>
      </c>
      <c r="N70" s="443" t="s">
        <v>596</v>
      </c>
      <c r="O70" t="s">
        <v>35</v>
      </c>
      <c r="R70" t="s">
        <v>455</v>
      </c>
      <c r="U70" s="311">
        <f t="shared" si="57"/>
        <v>20</v>
      </c>
      <c r="V70" s="311">
        <f t="shared" si="58"/>
        <v>1200</v>
      </c>
      <c r="W70" s="311">
        <f t="shared" si="59"/>
        <v>0.33333333333333331</v>
      </c>
    </row>
    <row r="71" spans="1:23" x14ac:dyDescent="0.35">
      <c r="A71">
        <f t="shared" si="0"/>
        <v>64</v>
      </c>
      <c r="B71" s="439" t="s">
        <v>600</v>
      </c>
      <c r="C71" s="440">
        <v>36000000</v>
      </c>
      <c r="D71" s="440">
        <f>C71*D$6/E$2</f>
        <v>3600</v>
      </c>
      <c r="E71" s="440">
        <f>C71*E$6/E$2</f>
        <v>36000</v>
      </c>
      <c r="F71" s="441" t="s">
        <v>35</v>
      </c>
      <c r="G71" s="441" t="s">
        <v>35</v>
      </c>
      <c r="H71" s="449" t="s">
        <v>35</v>
      </c>
      <c r="I71" s="449" t="s">
        <v>35</v>
      </c>
      <c r="J71" s="447">
        <f>1100/2</f>
        <v>550</v>
      </c>
      <c r="K71" s="447">
        <v>1900</v>
      </c>
      <c r="L71" s="448" t="s">
        <v>676</v>
      </c>
      <c r="M71" s="443">
        <v>13000</v>
      </c>
      <c r="N71" s="443" t="s">
        <v>597</v>
      </c>
      <c r="O71" t="s">
        <v>35</v>
      </c>
      <c r="R71" t="s">
        <v>455</v>
      </c>
      <c r="U71" s="311">
        <f t="shared" si="57"/>
        <v>17.368421052631579</v>
      </c>
      <c r="V71" s="311">
        <f t="shared" si="58"/>
        <v>1042.1052631578948</v>
      </c>
      <c r="W71" s="311">
        <f t="shared" si="59"/>
        <v>0.28947368421052633</v>
      </c>
    </row>
    <row r="72" spans="1:23" x14ac:dyDescent="0.35">
      <c r="A72">
        <f t="shared" si="0"/>
        <v>65</v>
      </c>
      <c r="B72" s="123" t="s">
        <v>603</v>
      </c>
      <c r="C72" s="159">
        <f>C57</f>
        <v>30000</v>
      </c>
      <c r="D72" s="175" t="s">
        <v>35</v>
      </c>
      <c r="E72" s="175" t="s">
        <v>35</v>
      </c>
      <c r="F72" s="159">
        <f t="shared" ref="F72" si="60">C72*F$6/E$2</f>
        <v>300</v>
      </c>
      <c r="G72" s="159">
        <f t="shared" ref="G72" si="61">C72*G$6/E$2</f>
        <v>3000</v>
      </c>
      <c r="H72" s="8">
        <f t="shared" ref="H72" si="62">C72*H$6/H$2</f>
        <v>30</v>
      </c>
      <c r="I72" s="58" t="s">
        <v>35</v>
      </c>
      <c r="J72" s="105">
        <v>69</v>
      </c>
      <c r="K72" s="399" t="s">
        <v>35</v>
      </c>
      <c r="L72" s="388" t="s">
        <v>35</v>
      </c>
      <c r="M72" s="182" t="s">
        <v>606</v>
      </c>
      <c r="N72" s="399" t="s">
        <v>533</v>
      </c>
      <c r="O72" t="s">
        <v>612</v>
      </c>
      <c r="V72" s="8"/>
    </row>
    <row r="73" spans="1:23" x14ac:dyDescent="0.35">
      <c r="A73">
        <f t="shared" si="0"/>
        <v>66</v>
      </c>
      <c r="B73" s="123" t="s">
        <v>631</v>
      </c>
      <c r="C73" s="159">
        <v>2000000</v>
      </c>
      <c r="D73" s="159">
        <f>C73*D$6/E$2</f>
        <v>200</v>
      </c>
      <c r="E73" s="159">
        <f>C73*E$6/E$2</f>
        <v>2000</v>
      </c>
      <c r="F73" s="175"/>
      <c r="G73" s="175"/>
      <c r="H73" s="175"/>
      <c r="I73" s="179"/>
      <c r="J73" s="105">
        <v>400</v>
      </c>
      <c r="K73" s="399">
        <f>970</f>
        <v>970</v>
      </c>
      <c r="L73" s="388" t="s">
        <v>628</v>
      </c>
      <c r="M73" s="182" t="s">
        <v>627</v>
      </c>
      <c r="N73" s="399" t="s">
        <v>475</v>
      </c>
      <c r="R73" t="s">
        <v>455</v>
      </c>
      <c r="U73" s="311">
        <f t="shared" ref="U73:U78" si="63">(J73/K73)*60</f>
        <v>24.742268041237111</v>
      </c>
      <c r="V73" s="311">
        <f>60*U73</f>
        <v>1484.5360824742265</v>
      </c>
      <c r="W73" s="311">
        <f>U73/60</f>
        <v>0.41237113402061853</v>
      </c>
    </row>
    <row r="74" spans="1:23" x14ac:dyDescent="0.35">
      <c r="A74">
        <f t="shared" si="0"/>
        <v>67</v>
      </c>
      <c r="B74" s="123" t="s">
        <v>632</v>
      </c>
      <c r="C74" s="159">
        <v>30</v>
      </c>
      <c r="D74" s="175" t="s">
        <v>35</v>
      </c>
      <c r="E74" s="175" t="s">
        <v>35</v>
      </c>
      <c r="F74" s="175" t="s">
        <v>35</v>
      </c>
      <c r="G74" s="159">
        <f t="shared" ref="G74" si="64">C74*G$6/E$2</f>
        <v>3</v>
      </c>
      <c r="H74" s="8">
        <f t="shared" ref="H74" si="65">C74*H$6/H$2</f>
        <v>0.03</v>
      </c>
      <c r="I74" s="142">
        <f t="shared" ref="I74" si="66">C74*I$6/H$2</f>
        <v>0.3</v>
      </c>
      <c r="J74" s="433">
        <v>1.8</v>
      </c>
      <c r="K74" s="399">
        <v>3240</v>
      </c>
      <c r="L74" s="388" t="s">
        <v>635</v>
      </c>
      <c r="M74" s="182" t="s">
        <v>35</v>
      </c>
      <c r="N74" s="399" t="s">
        <v>403</v>
      </c>
      <c r="R74" t="s">
        <v>455</v>
      </c>
      <c r="U74" s="311">
        <f t="shared" si="63"/>
        <v>3.3333333333333333E-2</v>
      </c>
      <c r="V74" s="311">
        <f>60*U74</f>
        <v>2</v>
      </c>
      <c r="W74" s="311">
        <f>U74/60</f>
        <v>5.5555555555555556E-4</v>
      </c>
    </row>
    <row r="75" spans="1:23" x14ac:dyDescent="0.35">
      <c r="A75">
        <f t="shared" si="0"/>
        <v>68</v>
      </c>
      <c r="B75" s="123" t="s">
        <v>675</v>
      </c>
      <c r="C75" s="159">
        <v>700000</v>
      </c>
      <c r="D75" s="159">
        <f>C75*D$6/E$2</f>
        <v>70</v>
      </c>
      <c r="E75" s="159">
        <f>C75*E$6/E$2</f>
        <v>700</v>
      </c>
      <c r="F75" s="175" t="s">
        <v>35</v>
      </c>
      <c r="G75" s="175" t="s">
        <v>35</v>
      </c>
      <c r="H75" s="175" t="s">
        <v>35</v>
      </c>
      <c r="I75" s="179" t="s">
        <v>35</v>
      </c>
      <c r="J75" s="105">
        <v>300</v>
      </c>
      <c r="K75" s="399">
        <v>1041</v>
      </c>
      <c r="L75" s="388" t="s">
        <v>676</v>
      </c>
      <c r="M75" s="182" t="s">
        <v>669</v>
      </c>
      <c r="N75" s="399" t="s">
        <v>674</v>
      </c>
      <c r="R75" t="s">
        <v>455</v>
      </c>
      <c r="U75" s="311">
        <f t="shared" si="63"/>
        <v>17.291066282420751</v>
      </c>
      <c r="V75" s="311">
        <f>60*U75</f>
        <v>1037.4639769452451</v>
      </c>
      <c r="W75" s="311">
        <f>U75/60</f>
        <v>0.28818443804034583</v>
      </c>
    </row>
    <row r="76" spans="1:23" x14ac:dyDescent="0.35">
      <c r="A76">
        <f t="shared" si="0"/>
        <v>69</v>
      </c>
      <c r="B76" s="439" t="s">
        <v>781</v>
      </c>
      <c r="C76" s="440">
        <v>50000000</v>
      </c>
      <c r="D76" s="440">
        <f>C76*D$6/E$2</f>
        <v>5000</v>
      </c>
      <c r="E76" s="441" t="s">
        <v>35</v>
      </c>
      <c r="F76" s="441" t="s">
        <v>35</v>
      </c>
      <c r="G76" s="441" t="s">
        <v>35</v>
      </c>
      <c r="H76" s="449" t="s">
        <v>35</v>
      </c>
      <c r="I76" s="449" t="s">
        <v>35</v>
      </c>
      <c r="J76" s="447">
        <v>7300</v>
      </c>
      <c r="K76" s="443">
        <v>850</v>
      </c>
      <c r="L76" s="448" t="s">
        <v>785</v>
      </c>
      <c r="M76" s="445" t="s">
        <v>35</v>
      </c>
      <c r="N76" s="443">
        <v>53</v>
      </c>
      <c r="O76" t="s">
        <v>792</v>
      </c>
      <c r="R76" t="s">
        <v>455</v>
      </c>
      <c r="U76" s="311">
        <f t="shared" si="63"/>
        <v>515.29411764705878</v>
      </c>
      <c r="V76" s="311">
        <f>60*U76</f>
        <v>30917.647058823528</v>
      </c>
      <c r="W76" s="311">
        <f>U76/60</f>
        <v>8.5882352941176467</v>
      </c>
    </row>
    <row r="77" spans="1:23" x14ac:dyDescent="0.35">
      <c r="A77">
        <f t="shared" si="0"/>
        <v>70</v>
      </c>
      <c r="B77" s="123" t="s">
        <v>791</v>
      </c>
      <c r="C77" s="159">
        <f>54200000000/179</f>
        <v>302793296.08938545</v>
      </c>
      <c r="D77" s="159">
        <f>C77*D$6/E$2</f>
        <v>30279.329608938544</v>
      </c>
      <c r="E77" s="175" t="s">
        <v>35</v>
      </c>
      <c r="F77" s="175" t="s">
        <v>35</v>
      </c>
      <c r="G77" s="175" t="s">
        <v>35</v>
      </c>
      <c r="H77" s="58" t="s">
        <v>35</v>
      </c>
      <c r="I77" s="58" t="s">
        <v>35</v>
      </c>
      <c r="J77" s="105">
        <v>11830</v>
      </c>
      <c r="K77" s="399">
        <v>914</v>
      </c>
      <c r="L77" s="388" t="s">
        <v>790</v>
      </c>
      <c r="M77" s="182" t="s">
        <v>35</v>
      </c>
      <c r="N77" s="399" t="s">
        <v>787</v>
      </c>
      <c r="O77" t="s">
        <v>788</v>
      </c>
      <c r="R77" t="s">
        <v>455</v>
      </c>
      <c r="U77" s="311">
        <f t="shared" si="63"/>
        <v>776.58643326039396</v>
      </c>
      <c r="V77" s="311">
        <f>60*U77</f>
        <v>46595.185995623637</v>
      </c>
      <c r="W77" s="311">
        <f>U77/60</f>
        <v>12.943107221006565</v>
      </c>
    </row>
    <row r="78" spans="1:23" x14ac:dyDescent="0.35">
      <c r="A78">
        <f t="shared" si="0"/>
        <v>71</v>
      </c>
      <c r="B78" s="123" t="s">
        <v>688</v>
      </c>
      <c r="C78" s="159">
        <v>270000000</v>
      </c>
      <c r="D78" s="159">
        <f t="shared" ref="D78:D79" si="67">C78*D$6/E$2</f>
        <v>27000</v>
      </c>
      <c r="E78" s="175" t="s">
        <v>35</v>
      </c>
      <c r="F78" s="175" t="s">
        <v>35</v>
      </c>
      <c r="G78" s="175" t="s">
        <v>35</v>
      </c>
      <c r="H78" s="58" t="s">
        <v>35</v>
      </c>
      <c r="I78" s="58" t="s">
        <v>35</v>
      </c>
      <c r="J78" s="105">
        <v>7400</v>
      </c>
      <c r="K78" s="399">
        <v>854</v>
      </c>
      <c r="L78" s="388" t="s">
        <v>800</v>
      </c>
      <c r="M78" s="182" t="s">
        <v>35</v>
      </c>
      <c r="N78" s="399">
        <v>68</v>
      </c>
      <c r="R78" t="s">
        <v>455</v>
      </c>
      <c r="U78" s="311">
        <f t="shared" ref="U78:U79" si="68">(J78/K78)*60</f>
        <v>519.90632318501173</v>
      </c>
      <c r="V78" s="311">
        <f t="shared" ref="V78:V79" si="69">60*U78</f>
        <v>31194.379391100705</v>
      </c>
      <c r="W78" s="311">
        <f t="shared" ref="W78:W79" si="70">U78/60</f>
        <v>8.6651053864168617</v>
      </c>
    </row>
    <row r="79" spans="1:23" x14ac:dyDescent="0.35">
      <c r="A79">
        <f t="shared" si="0"/>
        <v>72</v>
      </c>
      <c r="B79" s="439" t="s">
        <v>687</v>
      </c>
      <c r="C79" s="440">
        <v>350000000</v>
      </c>
      <c r="D79" s="440">
        <f t="shared" si="67"/>
        <v>35000</v>
      </c>
      <c r="E79" s="441" t="s">
        <v>35</v>
      </c>
      <c r="F79" s="441" t="s">
        <v>35</v>
      </c>
      <c r="G79" s="441" t="s">
        <v>35</v>
      </c>
      <c r="H79" s="449" t="s">
        <v>35</v>
      </c>
      <c r="I79" s="449" t="s">
        <v>35</v>
      </c>
      <c r="J79" s="447">
        <f>7500</f>
        <v>7500</v>
      </c>
      <c r="K79" s="443">
        <v>900</v>
      </c>
      <c r="L79" s="448" t="s">
        <v>800</v>
      </c>
      <c r="M79" s="445" t="s">
        <v>35</v>
      </c>
      <c r="N79" s="443">
        <v>40</v>
      </c>
      <c r="O79" t="s">
        <v>801</v>
      </c>
      <c r="R79" t="s">
        <v>455</v>
      </c>
      <c r="U79" s="311">
        <f t="shared" si="68"/>
        <v>500.00000000000006</v>
      </c>
      <c r="V79" s="311">
        <f t="shared" si="69"/>
        <v>30000.000000000004</v>
      </c>
      <c r="W79" s="311">
        <f t="shared" si="70"/>
        <v>8.3333333333333339</v>
      </c>
    </row>
    <row r="80" spans="1:23" x14ac:dyDescent="0.35">
      <c r="A80">
        <f t="shared" si="0"/>
        <v>73</v>
      </c>
      <c r="B80" s="123" t="s">
        <v>690</v>
      </c>
      <c r="C80" s="159">
        <v>16000000</v>
      </c>
      <c r="D80" s="159">
        <f>C80*D$6/E$2</f>
        <v>1600</v>
      </c>
      <c r="E80" s="159">
        <f>C80*E$6/E$2</f>
        <v>16000</v>
      </c>
      <c r="F80" s="175" t="s">
        <v>35</v>
      </c>
      <c r="G80" s="175" t="s">
        <v>35</v>
      </c>
      <c r="H80" s="175" t="s">
        <v>35</v>
      </c>
      <c r="I80" s="179" t="s">
        <v>35</v>
      </c>
      <c r="J80" s="105">
        <v>470</v>
      </c>
      <c r="K80" s="399">
        <v>315</v>
      </c>
      <c r="L80" s="388" t="s">
        <v>35</v>
      </c>
      <c r="M80" s="399">
        <v>1000</v>
      </c>
      <c r="N80" s="399" t="s">
        <v>515</v>
      </c>
      <c r="U80" s="311"/>
      <c r="V80" s="311"/>
      <c r="W80" s="311"/>
    </row>
    <row r="81" spans="1:23" x14ac:dyDescent="0.35">
      <c r="A81">
        <f>A80+1</f>
        <v>74</v>
      </c>
      <c r="B81" s="123" t="s">
        <v>693</v>
      </c>
      <c r="C81" s="159">
        <v>50000</v>
      </c>
      <c r="D81" s="159">
        <f>C81*D$6/E$2</f>
        <v>5</v>
      </c>
      <c r="E81" s="159">
        <f>C81*E$6/E$2</f>
        <v>50</v>
      </c>
      <c r="F81" s="159">
        <f t="shared" ref="F81:F82" si="71">C81*F$6/E$2</f>
        <v>500</v>
      </c>
      <c r="G81" s="175" t="s">
        <v>35</v>
      </c>
      <c r="H81" s="58" t="s">
        <v>35</v>
      </c>
      <c r="I81" s="58" t="s">
        <v>35</v>
      </c>
      <c r="J81" s="105">
        <v>10</v>
      </c>
      <c r="K81" s="399">
        <v>1440</v>
      </c>
      <c r="L81" s="388" t="s">
        <v>696</v>
      </c>
      <c r="M81" s="182" t="s">
        <v>695</v>
      </c>
      <c r="N81" s="399" t="s">
        <v>416</v>
      </c>
      <c r="R81" t="s">
        <v>455</v>
      </c>
      <c r="U81" s="311">
        <f>(J81/K81)*60</f>
        <v>0.41666666666666663</v>
      </c>
      <c r="V81" s="311">
        <f>60*U81</f>
        <v>24.999999999999996</v>
      </c>
      <c r="W81" s="311">
        <f>U81/60</f>
        <v>6.9444444444444441E-3</v>
      </c>
    </row>
    <row r="82" spans="1:23" x14ac:dyDescent="0.35">
      <c r="A82">
        <f t="shared" si="0"/>
        <v>75</v>
      </c>
      <c r="B82" s="123" t="s">
        <v>691</v>
      </c>
      <c r="C82" s="159">
        <v>159750</v>
      </c>
      <c r="D82" s="159">
        <f>C82*D$6/E$2</f>
        <v>15.975</v>
      </c>
      <c r="E82" s="159">
        <f>C82*E$6/E$2</f>
        <v>159.75</v>
      </c>
      <c r="F82" s="159">
        <f t="shared" si="71"/>
        <v>1597.5</v>
      </c>
      <c r="G82" s="175" t="s">
        <v>35</v>
      </c>
      <c r="H82" s="58" t="s">
        <v>35</v>
      </c>
      <c r="I82" s="58" t="s">
        <v>35</v>
      </c>
      <c r="J82" s="105">
        <v>15</v>
      </c>
      <c r="K82" s="399">
        <v>828</v>
      </c>
      <c r="L82" s="388" t="s">
        <v>699</v>
      </c>
      <c r="M82" s="182" t="s">
        <v>700</v>
      </c>
      <c r="N82" s="399" t="s">
        <v>464</v>
      </c>
      <c r="R82" t="s">
        <v>455</v>
      </c>
      <c r="U82" s="311">
        <f>(J82/K82)*60</f>
        <v>1.0869565217391304</v>
      </c>
      <c r="V82" s="311">
        <f>60*U82</f>
        <v>65.217391304347828</v>
      </c>
      <c r="W82" s="311">
        <f>U82/60</f>
        <v>1.8115942028985508E-2</v>
      </c>
    </row>
    <row r="83" spans="1:23" x14ac:dyDescent="0.35">
      <c r="A83">
        <f t="shared" si="0"/>
        <v>76</v>
      </c>
      <c r="B83" s="123" t="s">
        <v>689</v>
      </c>
      <c r="C83" s="159">
        <v>16000000</v>
      </c>
      <c r="D83" s="159">
        <f>C83*D$6/E$2</f>
        <v>1600</v>
      </c>
      <c r="E83" s="159">
        <f>C83*E$6/E$2</f>
        <v>16000</v>
      </c>
      <c r="F83" s="175" t="s">
        <v>35</v>
      </c>
      <c r="G83" s="175" t="s">
        <v>35</v>
      </c>
      <c r="H83" s="175" t="s">
        <v>35</v>
      </c>
      <c r="I83" s="179" t="s">
        <v>35</v>
      </c>
      <c r="J83" s="105">
        <v>400</v>
      </c>
      <c r="K83" s="399">
        <v>320</v>
      </c>
      <c r="L83" s="388" t="s">
        <v>35</v>
      </c>
      <c r="M83" s="399">
        <v>1000</v>
      </c>
      <c r="N83" s="399" t="s">
        <v>703</v>
      </c>
      <c r="U83" s="311"/>
      <c r="V83" s="311"/>
      <c r="W83" s="311"/>
    </row>
    <row r="84" spans="1:23" x14ac:dyDescent="0.35">
      <c r="A84">
        <f t="shared" si="0"/>
        <v>77</v>
      </c>
      <c r="B84" s="123"/>
      <c r="C84" s="159"/>
      <c r="D84" s="159"/>
      <c r="E84" s="175"/>
      <c r="F84" s="175"/>
      <c r="G84" s="175"/>
      <c r="H84" s="58"/>
      <c r="I84" s="58"/>
      <c r="J84" s="105"/>
      <c r="K84" s="399"/>
      <c r="L84" s="388"/>
      <c r="M84" s="182"/>
      <c r="N84" s="399"/>
      <c r="U84" s="311"/>
      <c r="V84" s="311"/>
      <c r="W84" s="311"/>
    </row>
    <row r="85" spans="1:23" x14ac:dyDescent="0.35">
      <c r="A85">
        <f t="shared" si="0"/>
        <v>78</v>
      </c>
      <c r="B85" s="123"/>
      <c r="C85" s="159"/>
      <c r="D85" s="159"/>
      <c r="E85" s="175"/>
      <c r="F85" s="175"/>
      <c r="G85" s="175"/>
      <c r="H85" s="58"/>
      <c r="I85" s="58"/>
      <c r="J85" s="105"/>
      <c r="K85" s="399"/>
      <c r="L85" s="388"/>
      <c r="M85" s="182"/>
      <c r="N85" s="399"/>
      <c r="U85" s="311"/>
      <c r="V85" s="311"/>
      <c r="W85" s="311"/>
    </row>
    <row r="86" spans="1:23" x14ac:dyDescent="0.35">
      <c r="A86">
        <f t="shared" si="0"/>
        <v>79</v>
      </c>
      <c r="B86" s="104"/>
      <c r="C86" s="159"/>
      <c r="D86" s="159"/>
      <c r="E86" s="159"/>
      <c r="F86" s="159"/>
      <c r="G86" s="159"/>
      <c r="H86" s="159"/>
      <c r="I86" s="171"/>
      <c r="J86" s="105"/>
      <c r="K86" s="105"/>
      <c r="L86" s="388"/>
      <c r="M86" s="182"/>
      <c r="N86" s="399"/>
    </row>
    <row r="87" spans="1:23" x14ac:dyDescent="0.35">
      <c r="A87">
        <f t="shared" si="0"/>
        <v>80</v>
      </c>
      <c r="B87" s="104"/>
      <c r="C87" s="159"/>
      <c r="D87" s="159"/>
      <c r="E87" s="159"/>
      <c r="F87" s="159"/>
      <c r="G87" s="159"/>
      <c r="H87" s="159"/>
      <c r="I87" s="171"/>
      <c r="J87" s="105"/>
      <c r="K87" s="105"/>
      <c r="L87" s="388"/>
      <c r="M87" s="182"/>
      <c r="N87" s="399"/>
    </row>
    <row r="88" spans="1:23" x14ac:dyDescent="0.35">
      <c r="A88">
        <f t="shared" si="0"/>
        <v>81</v>
      </c>
      <c r="B88" s="193" t="s">
        <v>745</v>
      </c>
      <c r="C88" s="187"/>
      <c r="D88" s="187"/>
      <c r="E88" s="187"/>
      <c r="F88" s="187"/>
      <c r="G88" s="187"/>
      <c r="H88" s="187"/>
      <c r="I88" s="188"/>
      <c r="J88" s="398"/>
      <c r="K88" s="398"/>
      <c r="L88" s="395"/>
      <c r="M88" s="194"/>
      <c r="N88" s="400"/>
    </row>
    <row r="89" spans="1:23" x14ac:dyDescent="0.35">
      <c r="A89">
        <f t="shared" si="0"/>
        <v>82</v>
      </c>
      <c r="B89" s="123" t="s">
        <v>374</v>
      </c>
      <c r="C89" s="159">
        <f>400+200</f>
        <v>600</v>
      </c>
      <c r="D89" s="175" t="s">
        <v>35</v>
      </c>
      <c r="E89" s="175" t="s">
        <v>35</v>
      </c>
      <c r="F89" s="175" t="s">
        <v>35</v>
      </c>
      <c r="G89" s="159">
        <f t="shared" ref="G89" si="72">C89*G$6/E$2</f>
        <v>60</v>
      </c>
      <c r="H89" s="8">
        <f t="shared" ref="H89" si="73">C89*H$6/H$2</f>
        <v>0.6</v>
      </c>
      <c r="I89" s="142">
        <f t="shared" ref="I89" si="74">C89*I$6/H$2</f>
        <v>6</v>
      </c>
      <c r="J89" s="399">
        <v>3</v>
      </c>
      <c r="K89" s="399" t="s">
        <v>399</v>
      </c>
      <c r="L89" s="181" t="s">
        <v>418</v>
      </c>
      <c r="M89" s="388" t="str">
        <f>M33</f>
        <v>1.6</v>
      </c>
      <c r="N89" s="399" t="s">
        <v>469</v>
      </c>
    </row>
    <row r="90" spans="1:23" x14ac:dyDescent="0.35">
      <c r="A90">
        <f t="shared" si="0"/>
        <v>83</v>
      </c>
      <c r="B90" s="123" t="s">
        <v>373</v>
      </c>
      <c r="C90" s="159">
        <v>2000</v>
      </c>
      <c r="D90" s="175" t="s">
        <v>35</v>
      </c>
      <c r="E90" s="175" t="s">
        <v>35</v>
      </c>
      <c r="F90" s="175" t="s">
        <v>35</v>
      </c>
      <c r="G90" s="159">
        <f t="shared" ref="G90:G92" si="75">C90*G$6/E$2</f>
        <v>200</v>
      </c>
      <c r="H90" s="8">
        <f t="shared" ref="H90" si="76">C90*H$6/H$2</f>
        <v>2</v>
      </c>
      <c r="I90" s="142">
        <f t="shared" ref="I90:I92" si="77">C90*I$6/H$2</f>
        <v>20</v>
      </c>
      <c r="J90" s="105">
        <v>9</v>
      </c>
      <c r="K90" s="399" t="s">
        <v>399</v>
      </c>
      <c r="L90" s="181" t="s">
        <v>419</v>
      </c>
      <c r="M90" s="388" t="s">
        <v>219</v>
      </c>
      <c r="N90" s="399" t="s">
        <v>469</v>
      </c>
    </row>
    <row r="91" spans="1:23" x14ac:dyDescent="0.35">
      <c r="A91">
        <f t="shared" si="0"/>
        <v>84</v>
      </c>
      <c r="B91" s="123" t="s">
        <v>214</v>
      </c>
      <c r="C91" s="159">
        <v>15000</v>
      </c>
      <c r="D91" s="175" t="s">
        <v>35</v>
      </c>
      <c r="E91" s="159">
        <f>C91*E$6/E$2</f>
        <v>15</v>
      </c>
      <c r="F91" s="159">
        <f>C91*F$6/E$2</f>
        <v>150</v>
      </c>
      <c r="G91" s="175" t="s">
        <v>35</v>
      </c>
      <c r="H91" s="58" t="s">
        <v>35</v>
      </c>
      <c r="I91" s="58" t="s">
        <v>35</v>
      </c>
      <c r="J91" s="105">
        <v>10</v>
      </c>
      <c r="K91" s="399" t="s">
        <v>399</v>
      </c>
      <c r="L91" s="181" t="s">
        <v>401</v>
      </c>
      <c r="M91" s="388" t="s">
        <v>220</v>
      </c>
      <c r="N91" s="399" t="s">
        <v>470</v>
      </c>
    </row>
    <row r="92" spans="1:23" x14ac:dyDescent="0.35">
      <c r="A92">
        <f t="shared" si="0"/>
        <v>85</v>
      </c>
      <c r="B92" s="123" t="s">
        <v>585</v>
      </c>
      <c r="C92" s="159">
        <v>6000</v>
      </c>
      <c r="D92" s="175" t="s">
        <v>35</v>
      </c>
      <c r="E92" s="175" t="s">
        <v>35</v>
      </c>
      <c r="F92" s="175" t="s">
        <v>35</v>
      </c>
      <c r="G92" s="159">
        <f t="shared" si="75"/>
        <v>600</v>
      </c>
      <c r="H92" s="8">
        <f t="shared" ref="H92" si="78">C92*H$6/H$2</f>
        <v>6</v>
      </c>
      <c r="I92" s="142">
        <f t="shared" si="77"/>
        <v>60</v>
      </c>
      <c r="J92" s="105">
        <f>J91</f>
        <v>10</v>
      </c>
      <c r="K92" s="399" t="str">
        <f>K91</f>
        <v>&lt;100</v>
      </c>
      <c r="L92" s="399" t="str">
        <f t="shared" ref="L92:M92" si="79">L91</f>
        <v>20M</v>
      </c>
      <c r="M92" s="399" t="str">
        <f t="shared" si="79"/>
        <v>10/5</v>
      </c>
      <c r="N92" s="399">
        <v>0</v>
      </c>
    </row>
    <row r="93" spans="1:23" x14ac:dyDescent="0.35">
      <c r="A93">
        <f t="shared" si="0"/>
        <v>86</v>
      </c>
      <c r="B93" s="123"/>
      <c r="C93" s="159"/>
      <c r="D93" s="175"/>
      <c r="E93" s="175"/>
      <c r="F93" s="175"/>
      <c r="G93" s="159"/>
      <c r="H93" s="8"/>
      <c r="I93" s="142"/>
      <c r="J93" s="105"/>
      <c r="K93" s="399"/>
      <c r="L93" s="399"/>
      <c r="M93" s="399"/>
      <c r="N93" s="399"/>
    </row>
    <row r="94" spans="1:23" x14ac:dyDescent="0.35">
      <c r="A94">
        <f t="shared" si="0"/>
        <v>87</v>
      </c>
      <c r="B94" s="123"/>
      <c r="C94" s="159"/>
      <c r="D94" s="175"/>
      <c r="E94" s="175"/>
      <c r="F94" s="175"/>
      <c r="G94" s="159"/>
      <c r="H94" s="8"/>
      <c r="I94" s="142"/>
      <c r="J94" s="105"/>
      <c r="K94" s="399"/>
      <c r="L94" s="399"/>
      <c r="M94" s="399"/>
      <c r="N94" s="399"/>
    </row>
    <row r="95" spans="1:23" x14ac:dyDescent="0.35">
      <c r="A95">
        <f t="shared" si="0"/>
        <v>88</v>
      </c>
      <c r="B95" s="193" t="s">
        <v>746</v>
      </c>
      <c r="C95" s="187"/>
      <c r="D95" s="187"/>
      <c r="E95" s="187"/>
      <c r="F95" s="187"/>
      <c r="G95" s="187"/>
      <c r="H95" s="187"/>
      <c r="I95" s="188"/>
      <c r="J95" s="398"/>
      <c r="K95" s="398"/>
      <c r="L95" s="395"/>
      <c r="M95" s="194"/>
      <c r="N95" s="400"/>
    </row>
    <row r="96" spans="1:23" x14ac:dyDescent="0.35">
      <c r="A96">
        <f t="shared" si="0"/>
        <v>89</v>
      </c>
      <c r="B96" s="123" t="s">
        <v>223</v>
      </c>
      <c r="C96" s="159">
        <v>193000</v>
      </c>
      <c r="D96" s="159">
        <f>C96*D$6/E$2</f>
        <v>19.3</v>
      </c>
      <c r="E96" s="159">
        <f>C96*E$6/E$2</f>
        <v>193</v>
      </c>
      <c r="F96" s="159">
        <f>C96*F$6/E$2</f>
        <v>1930</v>
      </c>
      <c r="G96" s="175" t="s">
        <v>35</v>
      </c>
      <c r="H96" s="175" t="s">
        <v>35</v>
      </c>
      <c r="I96" s="179" t="s">
        <v>35</v>
      </c>
      <c r="J96" s="105">
        <v>2500</v>
      </c>
      <c r="K96" s="105">
        <v>185</v>
      </c>
      <c r="L96" s="181" t="s">
        <v>390</v>
      </c>
      <c r="M96" s="431">
        <v>50</v>
      </c>
      <c r="N96" s="399" t="s">
        <v>579</v>
      </c>
      <c r="O96" t="s">
        <v>578</v>
      </c>
      <c r="R96" t="s">
        <v>455</v>
      </c>
      <c r="U96" s="311">
        <f>(J96/K96)*60</f>
        <v>810.81081081081084</v>
      </c>
      <c r="V96" s="311">
        <f>60*U96</f>
        <v>48648.648648648654</v>
      </c>
      <c r="W96" s="311">
        <f>U96/60</f>
        <v>13.513513513513514</v>
      </c>
    </row>
    <row r="97" spans="1:23" x14ac:dyDescent="0.35">
      <c r="A97">
        <f t="shared" si="0"/>
        <v>90</v>
      </c>
      <c r="B97" s="123" t="s">
        <v>582</v>
      </c>
      <c r="C97" s="159">
        <v>20000</v>
      </c>
      <c r="D97" s="175" t="s">
        <v>35</v>
      </c>
      <c r="E97" s="175" t="s">
        <v>35</v>
      </c>
      <c r="F97" s="175" t="s">
        <v>35</v>
      </c>
      <c r="G97" s="159">
        <f t="shared" ref="G97" si="80">C97*G$6/E$2</f>
        <v>2000</v>
      </c>
      <c r="H97" s="8">
        <f t="shared" ref="H97" si="81">C97*H$6/H$2</f>
        <v>20</v>
      </c>
      <c r="I97" s="87" t="s">
        <v>35</v>
      </c>
      <c r="J97" s="105">
        <f>J96</f>
        <v>2500</v>
      </c>
      <c r="K97" s="105">
        <f t="shared" ref="K97:M97" si="82">K96</f>
        <v>185</v>
      </c>
      <c r="L97" s="399" t="str">
        <f t="shared" si="82"/>
        <v>&gt;10H</v>
      </c>
      <c r="M97" s="105">
        <f t="shared" si="82"/>
        <v>50</v>
      </c>
      <c r="N97" s="399">
        <v>0</v>
      </c>
      <c r="O97" t="s">
        <v>578</v>
      </c>
      <c r="R97" t="s">
        <v>455</v>
      </c>
      <c r="U97" s="311">
        <f>(J97/K97)*60</f>
        <v>810.81081081081084</v>
      </c>
      <c r="V97" s="311">
        <f>60*U97</f>
        <v>48648.648648648654</v>
      </c>
      <c r="W97" s="311">
        <f>U97/60</f>
        <v>13.513513513513514</v>
      </c>
    </row>
    <row r="98" spans="1:23" x14ac:dyDescent="0.35">
      <c r="A98">
        <f t="shared" si="0"/>
        <v>91</v>
      </c>
      <c r="B98" s="123" t="s">
        <v>467</v>
      </c>
      <c r="C98" s="159">
        <v>35000</v>
      </c>
      <c r="D98" s="159">
        <f>C98*D$6/E$2</f>
        <v>3.5</v>
      </c>
      <c r="E98" s="159">
        <f>C98*E$6/E$2</f>
        <v>35</v>
      </c>
      <c r="F98" s="159">
        <f>C98*F$6/E$2</f>
        <v>350</v>
      </c>
      <c r="G98" s="175" t="s">
        <v>35</v>
      </c>
      <c r="H98" s="175" t="s">
        <v>35</v>
      </c>
      <c r="I98" s="179" t="s">
        <v>35</v>
      </c>
      <c r="J98" s="105">
        <v>40</v>
      </c>
      <c r="K98" s="105">
        <v>300</v>
      </c>
      <c r="L98" s="181" t="s">
        <v>386</v>
      </c>
      <c r="M98" s="431">
        <v>5</v>
      </c>
      <c r="N98" s="399" t="s">
        <v>473</v>
      </c>
      <c r="R98" t="s">
        <v>455</v>
      </c>
      <c r="U98" s="311">
        <f>(J98/K98)*60</f>
        <v>8</v>
      </c>
      <c r="V98" s="311">
        <f>60*U98</f>
        <v>480</v>
      </c>
      <c r="W98" s="311">
        <f>U98/60</f>
        <v>0.13333333333333333</v>
      </c>
    </row>
    <row r="99" spans="1:23" x14ac:dyDescent="0.35">
      <c r="A99">
        <f t="shared" si="0"/>
        <v>92</v>
      </c>
      <c r="B99" s="123" t="s">
        <v>581</v>
      </c>
      <c r="C99" s="159">
        <v>10000</v>
      </c>
      <c r="D99" s="175" t="s">
        <v>35</v>
      </c>
      <c r="E99" s="175" t="s">
        <v>35</v>
      </c>
      <c r="F99" s="175" t="s">
        <v>35</v>
      </c>
      <c r="G99" s="159">
        <f t="shared" ref="G99" si="83">C99*G$6/E$2</f>
        <v>1000</v>
      </c>
      <c r="H99" s="8">
        <f t="shared" ref="H99" si="84">C99*H$6/H$2</f>
        <v>10</v>
      </c>
      <c r="I99" s="179" t="s">
        <v>35</v>
      </c>
      <c r="J99" s="105">
        <f>J98</f>
        <v>40</v>
      </c>
      <c r="K99" s="105">
        <f t="shared" ref="K99:M99" si="85">K98</f>
        <v>300</v>
      </c>
      <c r="L99" s="399" t="str">
        <f t="shared" si="85"/>
        <v>40M</v>
      </c>
      <c r="M99" s="105">
        <f t="shared" si="85"/>
        <v>5</v>
      </c>
      <c r="N99" s="399">
        <v>0</v>
      </c>
    </row>
    <row r="100" spans="1:23" x14ac:dyDescent="0.35">
      <c r="A100">
        <f t="shared" si="0"/>
        <v>93</v>
      </c>
      <c r="B100" s="123" t="s">
        <v>393</v>
      </c>
      <c r="C100" s="159">
        <v>300000</v>
      </c>
      <c r="D100" s="159">
        <f>C100*D$6/E$2</f>
        <v>30</v>
      </c>
      <c r="E100" s="159">
        <f>C100*E$6/E$2</f>
        <v>300</v>
      </c>
      <c r="F100" s="159">
        <f>C100*F$6/E$2</f>
        <v>3000</v>
      </c>
      <c r="G100" s="159">
        <f t="shared" ref="G100" si="86">C100*G$6/E$2</f>
        <v>30000</v>
      </c>
      <c r="H100" s="175" t="s">
        <v>35</v>
      </c>
      <c r="I100" s="179" t="s">
        <v>35</v>
      </c>
      <c r="J100" s="105">
        <v>3000</v>
      </c>
      <c r="K100" s="399" t="s">
        <v>420</v>
      </c>
      <c r="L100" s="181" t="s">
        <v>421</v>
      </c>
      <c r="M100" s="431">
        <v>80</v>
      </c>
      <c r="N100" s="399" t="s">
        <v>475</v>
      </c>
    </row>
    <row r="101" spans="1:23" x14ac:dyDescent="0.35">
      <c r="A101">
        <f t="shared" si="0"/>
        <v>94</v>
      </c>
      <c r="B101" s="123" t="s">
        <v>395</v>
      </c>
      <c r="C101" s="175">
        <v>200000</v>
      </c>
      <c r="D101" s="159">
        <f>C101*D$6/E$2</f>
        <v>20</v>
      </c>
      <c r="E101" s="159">
        <f>C101*E$6/E$2</f>
        <v>200</v>
      </c>
      <c r="F101" s="159">
        <f>C101*F$6/E$2</f>
        <v>2000</v>
      </c>
      <c r="G101" s="159">
        <f t="shared" ref="G101" si="87">C101*G$6/E$2</f>
        <v>20000</v>
      </c>
      <c r="H101" s="175" t="s">
        <v>35</v>
      </c>
      <c r="I101" s="179" t="s">
        <v>35</v>
      </c>
      <c r="J101" s="105">
        <v>1000</v>
      </c>
      <c r="K101" s="399" t="s">
        <v>420</v>
      </c>
      <c r="L101" s="181" t="s">
        <v>422</v>
      </c>
      <c r="M101" s="431">
        <v>50</v>
      </c>
      <c r="N101" s="399" t="s">
        <v>476</v>
      </c>
    </row>
    <row r="102" spans="1:23" x14ac:dyDescent="0.35">
      <c r="A102">
        <f t="shared" si="0"/>
        <v>95</v>
      </c>
      <c r="B102" s="123" t="s">
        <v>718</v>
      </c>
      <c r="C102" s="175" t="s">
        <v>748</v>
      </c>
      <c r="D102" s="175" t="s">
        <v>35</v>
      </c>
      <c r="E102" s="175" t="s">
        <v>35</v>
      </c>
      <c r="F102" s="175" t="s">
        <v>35</v>
      </c>
      <c r="G102" s="175" t="s">
        <v>35</v>
      </c>
      <c r="H102" s="175" t="s">
        <v>35</v>
      </c>
      <c r="I102" s="179" t="s">
        <v>35</v>
      </c>
      <c r="J102" s="105">
        <v>22000</v>
      </c>
      <c r="K102" s="399">
        <v>900</v>
      </c>
      <c r="L102" s="181" t="s">
        <v>717</v>
      </c>
      <c r="M102" s="431" t="s">
        <v>716</v>
      </c>
      <c r="N102" s="399" t="s">
        <v>750</v>
      </c>
      <c r="R102" t="s">
        <v>455</v>
      </c>
      <c r="U102" s="311">
        <f>(J102/K102)*60</f>
        <v>1466.6666666666665</v>
      </c>
      <c r="V102" s="311">
        <f>60*U102</f>
        <v>87999.999999999985</v>
      </c>
      <c r="W102" s="311">
        <f>U102/60</f>
        <v>24.444444444444443</v>
      </c>
    </row>
    <row r="103" spans="1:23" x14ac:dyDescent="0.35">
      <c r="A103">
        <f t="shared" si="0"/>
        <v>96</v>
      </c>
      <c r="B103" s="123" t="s">
        <v>721</v>
      </c>
      <c r="C103" s="175">
        <v>18000000</v>
      </c>
      <c r="D103" s="159">
        <f>C103*D$6/E$2</f>
        <v>1800</v>
      </c>
      <c r="E103" s="175" t="s">
        <v>35</v>
      </c>
      <c r="F103" s="175" t="s">
        <v>35</v>
      </c>
      <c r="G103" s="175" t="s">
        <v>35</v>
      </c>
      <c r="H103" s="175" t="s">
        <v>35</v>
      </c>
      <c r="I103" s="179" t="s">
        <v>35</v>
      </c>
      <c r="J103" s="105">
        <v>6750</v>
      </c>
      <c r="K103" s="399">
        <v>150</v>
      </c>
      <c r="L103" s="181" t="s">
        <v>722</v>
      </c>
      <c r="M103" s="181">
        <v>250</v>
      </c>
      <c r="N103" s="399" t="s">
        <v>515</v>
      </c>
      <c r="P103">
        <f>45*150</f>
        <v>6750</v>
      </c>
    </row>
    <row r="104" spans="1:23" x14ac:dyDescent="0.35">
      <c r="A104">
        <f t="shared" si="0"/>
        <v>97</v>
      </c>
      <c r="B104" s="123"/>
      <c r="C104" s="175"/>
      <c r="D104" s="175"/>
      <c r="E104" s="175"/>
      <c r="F104" s="175"/>
      <c r="G104" s="175"/>
      <c r="H104" s="175"/>
      <c r="I104" s="179"/>
      <c r="J104" s="105"/>
      <c r="K104" s="399"/>
      <c r="L104" s="181"/>
      <c r="M104" s="181"/>
      <c r="N104" s="399"/>
    </row>
    <row r="105" spans="1:23" x14ac:dyDescent="0.35">
      <c r="A105">
        <f t="shared" si="0"/>
        <v>98</v>
      </c>
      <c r="B105" s="123"/>
      <c r="C105" s="159"/>
      <c r="D105" s="159"/>
      <c r="E105" s="159"/>
      <c r="F105" s="159"/>
      <c r="G105" s="159"/>
      <c r="H105" s="159"/>
      <c r="I105" s="171"/>
      <c r="J105" s="105"/>
      <c r="K105" s="399"/>
      <c r="L105" s="181"/>
      <c r="M105" s="181"/>
      <c r="N105" s="399"/>
    </row>
    <row r="106" spans="1:23" x14ac:dyDescent="0.35">
      <c r="A106">
        <f t="shared" si="0"/>
        <v>99</v>
      </c>
      <c r="B106" s="193" t="s">
        <v>461</v>
      </c>
      <c r="C106" s="187"/>
      <c r="D106" s="187"/>
      <c r="E106" s="187"/>
      <c r="F106" s="187"/>
      <c r="G106" s="187"/>
      <c r="H106" s="187"/>
      <c r="I106" s="188"/>
      <c r="J106" s="398"/>
      <c r="K106" s="400"/>
      <c r="L106" s="391"/>
      <c r="M106" s="391"/>
      <c r="N106" s="400"/>
    </row>
    <row r="107" spans="1:23" x14ac:dyDescent="0.35">
      <c r="A107">
        <f t="shared" si="0"/>
        <v>100</v>
      </c>
      <c r="B107" s="123" t="s">
        <v>617</v>
      </c>
      <c r="C107" s="159">
        <v>2500000</v>
      </c>
      <c r="D107" s="159">
        <f t="shared" ref="D107:D118" si="88">C107*D$6/E$2</f>
        <v>250</v>
      </c>
      <c r="E107" s="159">
        <f t="shared" ref="E107:E118" si="89">C107*E$6/E$2</f>
        <v>2500</v>
      </c>
      <c r="F107" s="175" t="s">
        <v>35</v>
      </c>
      <c r="G107" s="175" t="s">
        <v>35</v>
      </c>
      <c r="H107" s="175" t="s">
        <v>35</v>
      </c>
      <c r="I107" s="179" t="s">
        <v>35</v>
      </c>
      <c r="J107" s="105">
        <v>550</v>
      </c>
      <c r="K107" s="399">
        <v>1130</v>
      </c>
      <c r="L107" s="388" t="s">
        <v>385</v>
      </c>
      <c r="M107" s="182" t="s">
        <v>384</v>
      </c>
      <c r="N107" s="399" t="s">
        <v>466</v>
      </c>
    </row>
    <row r="108" spans="1:23" x14ac:dyDescent="0.35">
      <c r="A108">
        <f t="shared" si="0"/>
        <v>101</v>
      </c>
      <c r="B108" s="123" t="s">
        <v>616</v>
      </c>
      <c r="C108" s="159">
        <v>2000000</v>
      </c>
      <c r="D108" s="159">
        <f t="shared" si="88"/>
        <v>200</v>
      </c>
      <c r="E108" s="159">
        <f t="shared" si="89"/>
        <v>2000</v>
      </c>
      <c r="F108" s="175" t="s">
        <v>35</v>
      </c>
      <c r="G108" s="175" t="s">
        <v>35</v>
      </c>
      <c r="H108" s="175" t="s">
        <v>35</v>
      </c>
      <c r="I108" s="179" t="s">
        <v>35</v>
      </c>
      <c r="J108" s="105">
        <v>1500</v>
      </c>
      <c r="K108" s="399">
        <v>913</v>
      </c>
      <c r="L108" s="388" t="s">
        <v>463</v>
      </c>
      <c r="M108" s="182" t="s">
        <v>384</v>
      </c>
      <c r="N108" s="399" t="s">
        <v>464</v>
      </c>
      <c r="R108" t="s">
        <v>455</v>
      </c>
      <c r="U108">
        <f t="shared" ref="U108:U118" si="90">(J108/K108)*60</f>
        <v>98.57612267250822</v>
      </c>
    </row>
    <row r="109" spans="1:23" x14ac:dyDescent="0.35">
      <c r="A109">
        <f t="shared" si="0"/>
        <v>102</v>
      </c>
      <c r="B109" s="439" t="s">
        <v>709</v>
      </c>
      <c r="C109" s="440">
        <v>689000</v>
      </c>
      <c r="D109" s="440">
        <f t="shared" ref="D109" si="91">C109*D$6/E$2</f>
        <v>68.900000000000006</v>
      </c>
      <c r="E109" s="440">
        <f t="shared" ref="E109" si="92">C109*E$6/E$2</f>
        <v>689</v>
      </c>
      <c r="F109" s="440">
        <f>C109*F$6/E$2</f>
        <v>6890</v>
      </c>
      <c r="G109" s="441" t="s">
        <v>35</v>
      </c>
      <c r="H109" s="441" t="s">
        <v>35</v>
      </c>
      <c r="I109" s="446" t="s">
        <v>35</v>
      </c>
      <c r="J109" s="447">
        <v>370</v>
      </c>
      <c r="K109" s="443">
        <v>900</v>
      </c>
      <c r="L109" s="448" t="s">
        <v>714</v>
      </c>
      <c r="M109" s="445" t="s">
        <v>384</v>
      </c>
      <c r="N109" s="443" t="s">
        <v>711</v>
      </c>
      <c r="R109" t="s">
        <v>455</v>
      </c>
      <c r="U109" s="311">
        <f t="shared" ref="U109" si="93">(J109/K109)*60</f>
        <v>24.666666666666664</v>
      </c>
      <c r="V109" s="311">
        <f>60*U109</f>
        <v>1479.9999999999998</v>
      </c>
      <c r="W109" s="311">
        <f>U109/60</f>
        <v>0.41111111111111109</v>
      </c>
    </row>
    <row r="110" spans="1:23" x14ac:dyDescent="0.35">
      <c r="A110">
        <f t="shared" si="0"/>
        <v>103</v>
      </c>
      <c r="B110" s="439" t="s">
        <v>760</v>
      </c>
      <c r="C110" s="440">
        <v>1665000</v>
      </c>
      <c r="D110" s="440">
        <f t="shared" ref="D110" si="94">C110*D$6/E$2</f>
        <v>166.5</v>
      </c>
      <c r="E110" s="440">
        <f t="shared" ref="E110" si="95">C110*E$6/E$2</f>
        <v>1665</v>
      </c>
      <c r="F110" s="441" t="s">
        <v>35</v>
      </c>
      <c r="G110" s="441" t="s">
        <v>35</v>
      </c>
      <c r="H110" s="441" t="s">
        <v>35</v>
      </c>
      <c r="I110" s="446" t="s">
        <v>35</v>
      </c>
      <c r="J110" s="447">
        <v>926</v>
      </c>
      <c r="K110" s="443">
        <v>900</v>
      </c>
      <c r="L110" s="448" t="s">
        <v>715</v>
      </c>
      <c r="M110" s="445" t="s">
        <v>384</v>
      </c>
      <c r="N110" s="443" t="s">
        <v>710</v>
      </c>
      <c r="R110" t="s">
        <v>455</v>
      </c>
      <c r="U110" s="311">
        <f>(J110/K110)*60</f>
        <v>61.733333333333334</v>
      </c>
      <c r="V110" s="311">
        <f>60*U110</f>
        <v>3704</v>
      </c>
      <c r="W110" s="311">
        <f>U110/60</f>
        <v>1.028888888888889</v>
      </c>
    </row>
    <row r="111" spans="1:23" x14ac:dyDescent="0.35">
      <c r="A111">
        <f t="shared" si="0"/>
        <v>104</v>
      </c>
      <c r="B111" s="439" t="s">
        <v>761</v>
      </c>
      <c r="C111" s="440">
        <v>1700000</v>
      </c>
      <c r="D111" s="441" t="s">
        <v>35</v>
      </c>
      <c r="E111" s="440">
        <f>C111*E$6/E$2</f>
        <v>1700</v>
      </c>
      <c r="F111" s="440">
        <f>C111*F$6/E$2</f>
        <v>17000</v>
      </c>
      <c r="G111" s="441" t="s">
        <v>35</v>
      </c>
      <c r="H111" s="449" t="s">
        <v>35</v>
      </c>
      <c r="I111" s="449" t="s">
        <v>35</v>
      </c>
      <c r="J111" s="443">
        <v>300</v>
      </c>
      <c r="K111" s="443">
        <f>K29</f>
        <v>3062</v>
      </c>
      <c r="L111" s="444" t="s">
        <v>458</v>
      </c>
      <c r="M111" s="445" t="s">
        <v>459</v>
      </c>
      <c r="N111" s="443" t="s">
        <v>480</v>
      </c>
      <c r="R111" t="s">
        <v>455</v>
      </c>
      <c r="U111">
        <f>(J111/K111)*60</f>
        <v>5.8785107772697582</v>
      </c>
    </row>
    <row r="112" spans="1:23" x14ac:dyDescent="0.35">
      <c r="A112">
        <f t="shared" si="0"/>
        <v>105</v>
      </c>
      <c r="B112" s="123" t="s">
        <v>724</v>
      </c>
      <c r="C112" s="159">
        <v>2000000</v>
      </c>
      <c r="D112" s="175" t="s">
        <v>35</v>
      </c>
      <c r="E112" s="159">
        <f>C112*E$6/E$2</f>
        <v>2000</v>
      </c>
      <c r="F112" s="159">
        <f>C112*F$6/E$2</f>
        <v>20000</v>
      </c>
      <c r="G112" s="175" t="s">
        <v>35</v>
      </c>
      <c r="H112" s="58" t="s">
        <v>35</v>
      </c>
      <c r="I112" s="58" t="s">
        <v>35</v>
      </c>
      <c r="J112" s="399">
        <v>500</v>
      </c>
      <c r="K112" s="399">
        <f>K29</f>
        <v>3062</v>
      </c>
      <c r="L112" s="178" t="s">
        <v>402</v>
      </c>
      <c r="M112" s="182" t="s">
        <v>459</v>
      </c>
      <c r="N112" s="399" t="s">
        <v>398</v>
      </c>
      <c r="R112" t="s">
        <v>455</v>
      </c>
      <c r="U112">
        <f>(J112/K112)*60</f>
        <v>9.7975179621162649</v>
      </c>
    </row>
    <row r="113" spans="1:23" x14ac:dyDescent="0.35">
      <c r="A113">
        <f t="shared" si="0"/>
        <v>106</v>
      </c>
      <c r="B113" s="123" t="s">
        <v>618</v>
      </c>
      <c r="C113" s="159">
        <v>1634250</v>
      </c>
      <c r="D113" s="159">
        <f t="shared" si="88"/>
        <v>163.42500000000001</v>
      </c>
      <c r="E113" s="159">
        <f t="shared" si="89"/>
        <v>1634.25</v>
      </c>
      <c r="F113" s="175" t="s">
        <v>35</v>
      </c>
      <c r="G113" s="175" t="s">
        <v>35</v>
      </c>
      <c r="H113" s="175" t="s">
        <v>35</v>
      </c>
      <c r="I113" s="179" t="s">
        <v>35</v>
      </c>
      <c r="J113" s="105">
        <v>500</v>
      </c>
      <c r="K113" s="399">
        <v>1073</v>
      </c>
      <c r="L113" s="388" t="s">
        <v>567</v>
      </c>
      <c r="M113" s="182" t="s">
        <v>566</v>
      </c>
      <c r="N113" s="399">
        <v>800</v>
      </c>
      <c r="R113" t="s">
        <v>455</v>
      </c>
      <c r="U113">
        <f t="shared" si="90"/>
        <v>27.958993476234856</v>
      </c>
    </row>
    <row r="114" spans="1:23" x14ac:dyDescent="0.35">
      <c r="A114">
        <f t="shared" si="0"/>
        <v>107</v>
      </c>
      <c r="B114" s="123" t="s">
        <v>647</v>
      </c>
      <c r="C114" s="159">
        <v>3000000</v>
      </c>
      <c r="D114" s="159">
        <f t="shared" si="88"/>
        <v>300</v>
      </c>
      <c r="E114" s="159">
        <f t="shared" si="89"/>
        <v>3000</v>
      </c>
      <c r="F114" s="175" t="s">
        <v>35</v>
      </c>
      <c r="G114" s="175" t="s">
        <v>35</v>
      </c>
      <c r="H114" s="175" t="s">
        <v>35</v>
      </c>
      <c r="I114" s="179" t="s">
        <v>35</v>
      </c>
      <c r="J114" s="105">
        <v>500</v>
      </c>
      <c r="K114" s="399">
        <v>7200</v>
      </c>
      <c r="L114" s="388" t="s">
        <v>571</v>
      </c>
      <c r="M114" s="182" t="s">
        <v>615</v>
      </c>
      <c r="N114" s="399" t="s">
        <v>648</v>
      </c>
      <c r="R114" t="s">
        <v>455</v>
      </c>
      <c r="U114" s="311">
        <f t="shared" si="90"/>
        <v>4.166666666666667</v>
      </c>
      <c r="V114" s="311">
        <f>60*U114</f>
        <v>250.00000000000003</v>
      </c>
      <c r="W114" s="311">
        <f>U114/60</f>
        <v>6.9444444444444448E-2</v>
      </c>
    </row>
    <row r="115" spans="1:23" x14ac:dyDescent="0.35">
      <c r="A115">
        <f t="shared" si="0"/>
        <v>108</v>
      </c>
      <c r="B115" s="123" t="s">
        <v>651</v>
      </c>
      <c r="C115" s="159">
        <v>1250000</v>
      </c>
      <c r="D115" s="159">
        <f t="shared" si="88"/>
        <v>125</v>
      </c>
      <c r="E115" s="159">
        <f t="shared" si="89"/>
        <v>1250</v>
      </c>
      <c r="F115" s="175" t="s">
        <v>35</v>
      </c>
      <c r="G115" s="175" t="s">
        <v>35</v>
      </c>
      <c r="H115" s="175" t="s">
        <v>35</v>
      </c>
      <c r="I115" s="179" t="s">
        <v>35</v>
      </c>
      <c r="J115" s="105">
        <v>600</v>
      </c>
      <c r="K115" s="399">
        <v>3180</v>
      </c>
      <c r="L115" s="388" t="s">
        <v>653</v>
      </c>
      <c r="M115" s="182" t="s">
        <v>652</v>
      </c>
      <c r="N115" s="399">
        <v>470</v>
      </c>
      <c r="R115" t="s">
        <v>455</v>
      </c>
      <c r="U115" s="311">
        <f t="shared" si="90"/>
        <v>11.320754716981133</v>
      </c>
      <c r="V115" s="311">
        <f>60*U115</f>
        <v>679.24528301886801</v>
      </c>
      <c r="W115" s="311">
        <f>U115/60</f>
        <v>0.18867924528301888</v>
      </c>
    </row>
    <row r="116" spans="1:23" x14ac:dyDescent="0.35">
      <c r="A116">
        <f t="shared" si="0"/>
        <v>109</v>
      </c>
      <c r="B116" s="123" t="s">
        <v>646</v>
      </c>
      <c r="C116" s="159">
        <v>13000000</v>
      </c>
      <c r="D116" s="159">
        <f t="shared" si="88"/>
        <v>1300</v>
      </c>
      <c r="E116" s="159">
        <f t="shared" si="89"/>
        <v>13000</v>
      </c>
      <c r="F116" s="175" t="s">
        <v>35</v>
      </c>
      <c r="G116" s="175" t="s">
        <v>35</v>
      </c>
      <c r="H116" s="175" t="s">
        <v>35</v>
      </c>
      <c r="I116" s="179" t="s">
        <v>35</v>
      </c>
      <c r="J116" s="105">
        <v>3000</v>
      </c>
      <c r="K116" s="399">
        <v>970</v>
      </c>
      <c r="L116" s="388" t="s">
        <v>626</v>
      </c>
      <c r="M116" s="182" t="s">
        <v>619</v>
      </c>
      <c r="N116" s="399" t="s">
        <v>410</v>
      </c>
      <c r="R116" t="s">
        <v>455</v>
      </c>
      <c r="U116" s="311">
        <f t="shared" si="90"/>
        <v>185.56701030927834</v>
      </c>
      <c r="V116" s="311">
        <f>60*U116</f>
        <v>11134.0206185567</v>
      </c>
      <c r="W116" s="311">
        <f>U116/60</f>
        <v>3.0927835051546393</v>
      </c>
    </row>
    <row r="117" spans="1:23" x14ac:dyDescent="0.35">
      <c r="A117">
        <f t="shared" si="0"/>
        <v>110</v>
      </c>
      <c r="B117" s="123" t="s">
        <v>645</v>
      </c>
      <c r="C117" s="159">
        <v>980000</v>
      </c>
      <c r="D117" s="159">
        <f t="shared" si="88"/>
        <v>98</v>
      </c>
      <c r="E117" s="159">
        <f t="shared" si="89"/>
        <v>980</v>
      </c>
      <c r="F117" s="175"/>
      <c r="G117" s="175"/>
      <c r="H117" s="175"/>
      <c r="I117" s="179"/>
      <c r="J117" s="105">
        <v>2000</v>
      </c>
      <c r="K117" s="399">
        <v>3704</v>
      </c>
      <c r="L117" s="388" t="s">
        <v>657</v>
      </c>
      <c r="M117" s="182" t="s">
        <v>606</v>
      </c>
      <c r="N117" s="399" t="s">
        <v>656</v>
      </c>
      <c r="R117" t="s">
        <v>455</v>
      </c>
      <c r="U117" s="311">
        <f t="shared" si="90"/>
        <v>32.39740820734341</v>
      </c>
      <c r="V117" s="311">
        <f>60*U117</f>
        <v>1943.8444924406047</v>
      </c>
      <c r="W117" s="311">
        <f>U117/60</f>
        <v>0.5399568034557235</v>
      </c>
    </row>
    <row r="118" spans="1:23" x14ac:dyDescent="0.35">
      <c r="A118">
        <f t="shared" si="0"/>
        <v>111</v>
      </c>
      <c r="B118" s="123" t="s">
        <v>644</v>
      </c>
      <c r="C118" s="159">
        <v>10000000</v>
      </c>
      <c r="D118" s="159">
        <f t="shared" si="88"/>
        <v>1000</v>
      </c>
      <c r="E118" s="159">
        <f t="shared" si="89"/>
        <v>10000</v>
      </c>
      <c r="F118" s="175" t="s">
        <v>35</v>
      </c>
      <c r="G118" s="175" t="s">
        <v>35</v>
      </c>
      <c r="H118" s="175" t="s">
        <v>35</v>
      </c>
      <c r="I118" s="179" t="s">
        <v>35</v>
      </c>
      <c r="J118" s="105">
        <v>2000</v>
      </c>
      <c r="K118" s="399">
        <v>12240</v>
      </c>
      <c r="L118" s="388" t="s">
        <v>402</v>
      </c>
      <c r="M118" s="182" t="s">
        <v>606</v>
      </c>
      <c r="N118" s="399" t="s">
        <v>476</v>
      </c>
      <c r="R118" t="s">
        <v>455</v>
      </c>
      <c r="U118" s="311">
        <f t="shared" si="90"/>
        <v>9.8039215686274517</v>
      </c>
      <c r="V118" s="311">
        <f>60*U118</f>
        <v>588.23529411764707</v>
      </c>
      <c r="W118" s="311">
        <f>U118/60</f>
        <v>0.16339869281045752</v>
      </c>
    </row>
    <row r="119" spans="1:23" x14ac:dyDescent="0.35">
      <c r="A119">
        <f t="shared" si="0"/>
        <v>112</v>
      </c>
      <c r="B119" s="123"/>
      <c r="C119" s="159"/>
      <c r="D119" s="159"/>
      <c r="E119" s="159"/>
      <c r="F119" s="175"/>
      <c r="G119" s="175"/>
      <c r="H119" s="175"/>
      <c r="I119" s="179"/>
      <c r="J119" s="105"/>
      <c r="K119" s="399"/>
      <c r="L119" s="388"/>
      <c r="M119" s="182"/>
      <c r="N119" s="399"/>
      <c r="U119" s="311"/>
      <c r="V119" s="311"/>
      <c r="W119" s="311"/>
    </row>
    <row r="120" spans="1:23" x14ac:dyDescent="0.35">
      <c r="A120">
        <f t="shared" si="0"/>
        <v>113</v>
      </c>
      <c r="B120" s="123"/>
      <c r="C120" s="159"/>
      <c r="D120" s="159"/>
      <c r="E120" s="159"/>
      <c r="F120" s="175"/>
      <c r="G120" s="175"/>
      <c r="H120" s="175"/>
      <c r="I120" s="179"/>
      <c r="J120" s="105"/>
      <c r="K120" s="399"/>
      <c r="L120" s="388"/>
      <c r="M120" s="182"/>
      <c r="N120" s="399"/>
    </row>
    <row r="121" spans="1:23" x14ac:dyDescent="0.35">
      <c r="A121">
        <f t="shared" si="0"/>
        <v>114</v>
      </c>
      <c r="B121" s="123"/>
      <c r="C121" s="159"/>
      <c r="D121" s="159"/>
      <c r="E121" s="159"/>
      <c r="F121" s="175"/>
      <c r="G121" s="175"/>
      <c r="H121" s="175"/>
      <c r="I121" s="179"/>
      <c r="J121" s="105"/>
      <c r="K121" s="399"/>
      <c r="L121" s="388"/>
      <c r="M121" s="182"/>
      <c r="N121" s="399"/>
    </row>
    <row r="122" spans="1:23" x14ac:dyDescent="0.35">
      <c r="A122">
        <f t="shared" si="0"/>
        <v>115</v>
      </c>
      <c r="B122" s="193" t="s">
        <v>485</v>
      </c>
      <c r="C122" s="187"/>
      <c r="D122" s="187"/>
      <c r="E122" s="187"/>
      <c r="F122" s="186"/>
      <c r="G122" s="186"/>
      <c r="H122" s="186"/>
      <c r="I122" s="422"/>
      <c r="J122" s="398"/>
      <c r="K122" s="400"/>
      <c r="L122" s="395"/>
      <c r="M122" s="194"/>
      <c r="N122" s="400"/>
    </row>
    <row r="123" spans="1:23" x14ac:dyDescent="0.35">
      <c r="A123">
        <f t="shared" si="0"/>
        <v>116</v>
      </c>
      <c r="B123" s="123" t="s">
        <v>488</v>
      </c>
      <c r="C123" s="159">
        <v>1000000000</v>
      </c>
      <c r="D123" s="159">
        <f>C123*D$6/E$2</f>
        <v>100000</v>
      </c>
      <c r="E123" s="175" t="s">
        <v>35</v>
      </c>
      <c r="F123" s="175" t="s">
        <v>35</v>
      </c>
      <c r="G123" s="175" t="s">
        <v>35</v>
      </c>
      <c r="H123" s="175" t="s">
        <v>35</v>
      </c>
      <c r="I123" s="179" t="s">
        <v>35</v>
      </c>
      <c r="J123" s="178" t="s">
        <v>35</v>
      </c>
      <c r="K123" s="178" t="s">
        <v>35</v>
      </c>
      <c r="L123" s="178" t="s">
        <v>35</v>
      </c>
      <c r="M123" s="178" t="s">
        <v>35</v>
      </c>
      <c r="N123" s="399" t="s">
        <v>486</v>
      </c>
    </row>
    <row r="124" spans="1:23" x14ac:dyDescent="0.35">
      <c r="A124">
        <f t="shared" si="0"/>
        <v>117</v>
      </c>
      <c r="B124" s="123" t="s">
        <v>489</v>
      </c>
      <c r="C124" s="159">
        <v>3000000</v>
      </c>
      <c r="D124" s="159">
        <f>C124*D$6/E$2</f>
        <v>300</v>
      </c>
      <c r="E124" s="159">
        <f>C124*E$6/E$2</f>
        <v>3000</v>
      </c>
      <c r="F124" s="159">
        <f>C124*F$6/E$2</f>
        <v>30000</v>
      </c>
      <c r="G124" s="175" t="s">
        <v>35</v>
      </c>
      <c r="H124" s="175" t="s">
        <v>35</v>
      </c>
      <c r="I124" s="179" t="s">
        <v>35</v>
      </c>
      <c r="J124" s="105">
        <v>120</v>
      </c>
      <c r="K124" s="399">
        <v>4000</v>
      </c>
      <c r="L124" s="388" t="s">
        <v>456</v>
      </c>
      <c r="M124" s="182" t="s">
        <v>492</v>
      </c>
      <c r="N124" s="399" t="s">
        <v>416</v>
      </c>
      <c r="R124" t="s">
        <v>455</v>
      </c>
      <c r="U124">
        <f>(J124/K124)*60</f>
        <v>1.7999999999999998</v>
      </c>
    </row>
    <row r="125" spans="1:23" x14ac:dyDescent="0.35">
      <c r="A125">
        <f t="shared" si="0"/>
        <v>118</v>
      </c>
      <c r="B125" s="123" t="s">
        <v>496</v>
      </c>
      <c r="C125" s="159">
        <v>285000000</v>
      </c>
      <c r="D125" s="159">
        <f>C125*D$6/E$2</f>
        <v>28500</v>
      </c>
      <c r="E125" s="175" t="s">
        <v>35</v>
      </c>
      <c r="F125" s="175" t="s">
        <v>35</v>
      </c>
      <c r="G125" s="175" t="s">
        <v>35</v>
      </c>
      <c r="H125" s="175" t="s">
        <v>35</v>
      </c>
      <c r="I125" s="179" t="s">
        <v>35</v>
      </c>
      <c r="J125" s="178" t="s">
        <v>35</v>
      </c>
      <c r="K125" s="178" t="s">
        <v>35</v>
      </c>
      <c r="L125" s="178" t="s">
        <v>35</v>
      </c>
      <c r="M125" s="178" t="s">
        <v>35</v>
      </c>
      <c r="N125" s="399" t="s">
        <v>476</v>
      </c>
    </row>
    <row r="126" spans="1:23" x14ac:dyDescent="0.35">
      <c r="A126">
        <f t="shared" si="0"/>
        <v>119</v>
      </c>
      <c r="B126" s="123" t="s">
        <v>542</v>
      </c>
      <c r="C126" s="159">
        <v>1200000</v>
      </c>
      <c r="D126" s="159">
        <f>C126*D$6/E$2</f>
        <v>120</v>
      </c>
      <c r="E126" s="159">
        <f>C126*E$6/E$2</f>
        <v>1200</v>
      </c>
      <c r="F126" s="159">
        <f>C126*F$6/E$2</f>
        <v>12000</v>
      </c>
      <c r="G126" s="159">
        <f t="shared" ref="G126" si="96">C126*G$6/E$2</f>
        <v>120000</v>
      </c>
      <c r="H126" s="175" t="s">
        <v>35</v>
      </c>
      <c r="I126" s="179" t="s">
        <v>35</v>
      </c>
      <c r="J126" s="399" t="s">
        <v>495</v>
      </c>
      <c r="K126" s="399"/>
      <c r="L126" s="388"/>
      <c r="M126" s="182"/>
      <c r="N126" s="399" t="s">
        <v>500</v>
      </c>
    </row>
    <row r="127" spans="1:23" x14ac:dyDescent="0.35">
      <c r="A127">
        <f t="shared" si="0"/>
        <v>120</v>
      </c>
      <c r="B127" s="123" t="s">
        <v>498</v>
      </c>
      <c r="C127" s="159">
        <v>136000000</v>
      </c>
      <c r="D127" s="159">
        <f>C127*D$6/E$2</f>
        <v>13600</v>
      </c>
      <c r="E127" s="175" t="s">
        <v>35</v>
      </c>
      <c r="F127" s="175" t="s">
        <v>35</v>
      </c>
      <c r="G127" s="175" t="s">
        <v>35</v>
      </c>
      <c r="H127" s="175" t="s">
        <v>35</v>
      </c>
      <c r="I127" s="179" t="s">
        <v>35</v>
      </c>
      <c r="J127" s="178" t="s">
        <v>35</v>
      </c>
      <c r="K127" s="178" t="s">
        <v>35</v>
      </c>
      <c r="L127" s="178" t="s">
        <v>35</v>
      </c>
      <c r="M127" s="178" t="s">
        <v>35</v>
      </c>
      <c r="N127" s="399" t="s">
        <v>398</v>
      </c>
    </row>
    <row r="128" spans="1:23" x14ac:dyDescent="0.35">
      <c r="A128">
        <f t="shared" si="0"/>
        <v>121</v>
      </c>
      <c r="B128" s="123" t="s">
        <v>503</v>
      </c>
      <c r="C128" s="159" t="s">
        <v>660</v>
      </c>
      <c r="D128" s="175"/>
      <c r="E128" s="175" t="s">
        <v>35</v>
      </c>
      <c r="F128" s="175" t="s">
        <v>35</v>
      </c>
      <c r="G128" s="175" t="s">
        <v>35</v>
      </c>
      <c r="H128" s="175" t="s">
        <v>35</v>
      </c>
      <c r="I128" s="179" t="s">
        <v>35</v>
      </c>
      <c r="J128" s="178">
        <v>50</v>
      </c>
      <c r="K128" s="399">
        <v>2500</v>
      </c>
      <c r="L128" s="178" t="s">
        <v>502</v>
      </c>
      <c r="M128" s="178">
        <v>54</v>
      </c>
      <c r="N128" s="399">
        <v>40000</v>
      </c>
      <c r="R128" t="s">
        <v>455</v>
      </c>
      <c r="U128">
        <f>(J128/K128)*60</f>
        <v>1.2</v>
      </c>
    </row>
    <row r="129" spans="1:23" x14ac:dyDescent="0.35">
      <c r="A129">
        <f t="shared" si="0"/>
        <v>122</v>
      </c>
      <c r="B129" s="123" t="s">
        <v>505</v>
      </c>
      <c r="C129" s="159">
        <v>500000</v>
      </c>
      <c r="D129" s="159">
        <f>C129*D$6/E$2</f>
        <v>50</v>
      </c>
      <c r="E129" s="159">
        <f>C129*E$6/E$2</f>
        <v>500</v>
      </c>
      <c r="F129" s="159">
        <f>C129*F$6/E$2</f>
        <v>5000</v>
      </c>
      <c r="G129" s="175" t="s">
        <v>35</v>
      </c>
      <c r="H129" s="175" t="s">
        <v>35</v>
      </c>
      <c r="I129" s="179" t="s">
        <v>35</v>
      </c>
      <c r="J129" s="178">
        <v>400</v>
      </c>
      <c r="K129" s="399">
        <v>170</v>
      </c>
      <c r="L129" s="178" t="s">
        <v>35</v>
      </c>
      <c r="M129" s="178" t="s">
        <v>35</v>
      </c>
      <c r="N129" s="399" t="s">
        <v>398</v>
      </c>
    </row>
    <row r="130" spans="1:23" x14ac:dyDescent="0.35">
      <c r="A130">
        <f t="shared" si="0"/>
        <v>123</v>
      </c>
      <c r="B130" s="123" t="s">
        <v>508</v>
      </c>
      <c r="C130" s="159">
        <v>120</v>
      </c>
      <c r="D130" s="159"/>
      <c r="E130" s="175"/>
      <c r="F130" s="175"/>
      <c r="G130" s="159">
        <f t="shared" ref="G130" si="97">C130*G$6/E$2</f>
        <v>12</v>
      </c>
      <c r="H130" s="8">
        <f t="shared" ref="H130" si="98">C130*H$6/H$2</f>
        <v>0.12</v>
      </c>
      <c r="I130" s="142">
        <f t="shared" ref="I130" si="99">C130*I$6/H$2</f>
        <v>1.2</v>
      </c>
      <c r="J130" s="178"/>
      <c r="K130" s="399"/>
      <c r="L130" s="178"/>
      <c r="M130" s="178"/>
      <c r="N130" s="399" t="s">
        <v>509</v>
      </c>
    </row>
    <row r="131" spans="1:23" x14ac:dyDescent="0.35">
      <c r="A131">
        <f t="shared" si="0"/>
        <v>124</v>
      </c>
      <c r="B131" s="123" t="s">
        <v>511</v>
      </c>
      <c r="C131" s="175" t="s">
        <v>35</v>
      </c>
      <c r="D131" s="175" t="s">
        <v>35</v>
      </c>
      <c r="E131" s="175" t="s">
        <v>35</v>
      </c>
      <c r="F131" s="175" t="s">
        <v>35</v>
      </c>
      <c r="G131" s="175" t="s">
        <v>35</v>
      </c>
      <c r="H131" s="175" t="s">
        <v>35</v>
      </c>
      <c r="I131" s="179" t="s">
        <v>35</v>
      </c>
      <c r="J131" s="178">
        <v>550</v>
      </c>
      <c r="K131" s="399">
        <v>65</v>
      </c>
      <c r="L131" s="178" t="s">
        <v>35</v>
      </c>
      <c r="M131" s="178" t="s">
        <v>35</v>
      </c>
      <c r="N131" s="399" t="s">
        <v>515</v>
      </c>
    </row>
    <row r="132" spans="1:23" x14ac:dyDescent="0.35">
      <c r="A132">
        <f t="shared" si="0"/>
        <v>125</v>
      </c>
      <c r="B132" s="123" t="s">
        <v>510</v>
      </c>
      <c r="C132" s="159">
        <v>200</v>
      </c>
      <c r="D132" s="175" t="s">
        <v>35</v>
      </c>
      <c r="E132" s="175" t="s">
        <v>35</v>
      </c>
      <c r="F132" s="159">
        <f>C132*F$6/E$2</f>
        <v>2</v>
      </c>
      <c r="G132" s="159">
        <f t="shared" ref="G132" si="100">C132*G$6/E$2</f>
        <v>20</v>
      </c>
      <c r="H132" s="8">
        <f t="shared" ref="H132" si="101">C132*H$6/H$2</f>
        <v>0.2</v>
      </c>
      <c r="I132" s="87" t="s">
        <v>35</v>
      </c>
      <c r="J132" s="178">
        <v>5.5</v>
      </c>
      <c r="K132" s="399">
        <v>4230</v>
      </c>
      <c r="L132" s="178" t="s">
        <v>758</v>
      </c>
      <c r="M132" s="178">
        <v>0.5</v>
      </c>
      <c r="N132" s="399" t="s">
        <v>469</v>
      </c>
      <c r="R132" t="s">
        <v>455</v>
      </c>
      <c r="U132" s="311">
        <f>(J132/K132)*60</f>
        <v>7.8014184397163122E-2</v>
      </c>
      <c r="V132" s="311">
        <f>60*U132</f>
        <v>4.6808510638297873</v>
      </c>
      <c r="W132" s="311">
        <f>U132/60</f>
        <v>1.3002364066193853E-3</v>
      </c>
    </row>
    <row r="133" spans="1:23" x14ac:dyDescent="0.35">
      <c r="A133">
        <f t="shared" si="0"/>
        <v>126</v>
      </c>
      <c r="B133" s="123" t="s">
        <v>756</v>
      </c>
      <c r="C133" s="159">
        <v>100000000</v>
      </c>
      <c r="D133" s="159">
        <f>C133*D$6/E$2</f>
        <v>10000</v>
      </c>
      <c r="E133" s="175" t="s">
        <v>35</v>
      </c>
      <c r="F133" s="175" t="s">
        <v>35</v>
      </c>
      <c r="G133" s="175" t="s">
        <v>35</v>
      </c>
      <c r="H133" s="175" t="s">
        <v>35</v>
      </c>
      <c r="I133" s="179" t="s">
        <v>35</v>
      </c>
      <c r="J133" s="178">
        <v>4</v>
      </c>
      <c r="K133" s="399">
        <v>4230</v>
      </c>
      <c r="L133" s="178" t="s">
        <v>757</v>
      </c>
      <c r="M133" s="178">
        <v>0.5</v>
      </c>
      <c r="N133" s="399" t="s">
        <v>560</v>
      </c>
      <c r="O133" t="s">
        <v>759</v>
      </c>
      <c r="R133" t="s">
        <v>455</v>
      </c>
      <c r="U133" s="311">
        <f>(J133/K133)*60</f>
        <v>5.6737588652482268E-2</v>
      </c>
      <c r="V133" s="311">
        <f>60*U133</f>
        <v>3.4042553191489362</v>
      </c>
      <c r="W133" s="311">
        <f>U133/60</f>
        <v>9.4562647754137111E-4</v>
      </c>
    </row>
    <row r="134" spans="1:23" x14ac:dyDescent="0.35">
      <c r="A134">
        <f t="shared" si="0"/>
        <v>127</v>
      </c>
      <c r="B134" s="123" t="s">
        <v>659</v>
      </c>
      <c r="C134" s="159" t="s">
        <v>660</v>
      </c>
      <c r="D134" s="175"/>
      <c r="E134" s="175" t="s">
        <v>35</v>
      </c>
      <c r="F134" s="175" t="s">
        <v>35</v>
      </c>
      <c r="G134" s="175" t="s">
        <v>35</v>
      </c>
      <c r="H134" s="175" t="s">
        <v>35</v>
      </c>
      <c r="I134" s="179" t="s">
        <v>35</v>
      </c>
      <c r="J134" s="178">
        <v>300</v>
      </c>
      <c r="K134" s="399">
        <v>4900</v>
      </c>
      <c r="L134" s="178" t="s">
        <v>418</v>
      </c>
      <c r="M134" s="178">
        <v>217</v>
      </c>
      <c r="N134" s="399" t="s">
        <v>661</v>
      </c>
      <c r="R134" t="s">
        <v>455</v>
      </c>
      <c r="U134" s="311">
        <f>(J134/K134)*60</f>
        <v>3.6734693877551021</v>
      </c>
      <c r="V134" s="311">
        <f>60*U134</f>
        <v>220.40816326530611</v>
      </c>
      <c r="W134" s="311">
        <f>U134/60</f>
        <v>6.1224489795918366E-2</v>
      </c>
    </row>
    <row r="135" spans="1:23" x14ac:dyDescent="0.35">
      <c r="A135">
        <f t="shared" si="0"/>
        <v>128</v>
      </c>
      <c r="B135" s="123" t="s">
        <v>662</v>
      </c>
      <c r="C135" s="175" t="s">
        <v>35</v>
      </c>
      <c r="D135" s="175" t="s">
        <v>35</v>
      </c>
      <c r="E135" s="175" t="s">
        <v>35</v>
      </c>
      <c r="F135" s="175" t="s">
        <v>35</v>
      </c>
      <c r="G135" s="175" t="s">
        <v>35</v>
      </c>
      <c r="H135" s="175" t="s">
        <v>35</v>
      </c>
      <c r="I135" s="179" t="s">
        <v>35</v>
      </c>
      <c r="J135" s="178">
        <v>195</v>
      </c>
      <c r="K135" s="399">
        <v>10080</v>
      </c>
      <c r="L135" s="178"/>
      <c r="M135" s="178">
        <v>150</v>
      </c>
      <c r="N135" s="399" t="s">
        <v>416</v>
      </c>
    </row>
    <row r="136" spans="1:23" x14ac:dyDescent="0.35">
      <c r="A136">
        <f t="shared" si="0"/>
        <v>129</v>
      </c>
      <c r="B136" s="123" t="s">
        <v>665</v>
      </c>
      <c r="C136" s="175">
        <v>800000000</v>
      </c>
      <c r="D136" s="159">
        <f>C136*D$6/E$2</f>
        <v>80000</v>
      </c>
      <c r="E136" s="175" t="s">
        <v>35</v>
      </c>
      <c r="F136" s="175" t="s">
        <v>35</v>
      </c>
      <c r="G136" s="175" t="s">
        <v>35</v>
      </c>
      <c r="H136" s="175" t="s">
        <v>35</v>
      </c>
      <c r="I136" s="179" t="s">
        <v>35</v>
      </c>
      <c r="J136" s="178" t="s">
        <v>35</v>
      </c>
      <c r="K136" s="178" t="s">
        <v>35</v>
      </c>
      <c r="L136" s="178" t="s">
        <v>35</v>
      </c>
      <c r="M136" s="178" t="s">
        <v>35</v>
      </c>
      <c r="N136" s="399" t="s">
        <v>475</v>
      </c>
    </row>
    <row r="137" spans="1:23" x14ac:dyDescent="0.35">
      <c r="A137">
        <f t="shared" si="0"/>
        <v>130</v>
      </c>
      <c r="B137" s="123" t="s">
        <v>666</v>
      </c>
      <c r="C137" s="159">
        <v>2000000</v>
      </c>
      <c r="D137" s="159">
        <f>C137*D$6/E$2</f>
        <v>200</v>
      </c>
      <c r="E137" s="159">
        <f>C137*E$6/E$2</f>
        <v>2000</v>
      </c>
      <c r="F137" s="159">
        <f>C137*F$6/E$2</f>
        <v>20000</v>
      </c>
      <c r="G137" s="175" t="s">
        <v>35</v>
      </c>
      <c r="H137" s="175" t="s">
        <v>35</v>
      </c>
      <c r="I137" s="179" t="s">
        <v>35</v>
      </c>
      <c r="J137" s="178">
        <v>380</v>
      </c>
      <c r="K137" s="399">
        <v>17280</v>
      </c>
      <c r="L137" s="178" t="s">
        <v>667</v>
      </c>
      <c r="M137" s="178">
        <v>180</v>
      </c>
      <c r="N137" s="399" t="s">
        <v>415</v>
      </c>
      <c r="R137" t="s">
        <v>455</v>
      </c>
      <c r="U137" s="311">
        <f>(J137/K137)*60</f>
        <v>1.3194444444444444</v>
      </c>
      <c r="V137" s="311">
        <f>60*U137</f>
        <v>79.166666666666671</v>
      </c>
      <c r="W137" s="311">
        <f>U137/60</f>
        <v>2.1990740740740741E-2</v>
      </c>
    </row>
    <row r="138" spans="1:23" x14ac:dyDescent="0.35">
      <c r="A138">
        <f t="shared" si="0"/>
        <v>131</v>
      </c>
      <c r="B138" s="123"/>
      <c r="C138" s="159"/>
      <c r="D138" s="159"/>
      <c r="E138" s="175"/>
      <c r="F138" s="175"/>
      <c r="G138" s="175"/>
      <c r="H138" s="175"/>
      <c r="I138" s="179"/>
      <c r="J138" s="178"/>
      <c r="K138" s="399"/>
      <c r="L138" s="178"/>
      <c r="M138" s="178"/>
      <c r="N138" s="399"/>
    </row>
    <row r="139" spans="1:23" x14ac:dyDescent="0.35">
      <c r="A139">
        <f t="shared" si="0"/>
        <v>132</v>
      </c>
      <c r="B139" s="123"/>
      <c r="C139" s="159"/>
      <c r="D139" s="159"/>
      <c r="E139" s="159"/>
      <c r="F139" s="159"/>
      <c r="G139" s="159"/>
      <c r="H139" s="159"/>
      <c r="I139" s="171"/>
      <c r="J139" s="105"/>
      <c r="K139" s="399"/>
      <c r="L139" s="181"/>
      <c r="M139" s="181"/>
      <c r="N139" s="399"/>
    </row>
    <row r="140" spans="1:23" x14ac:dyDescent="0.35">
      <c r="A140">
        <f t="shared" si="0"/>
        <v>133</v>
      </c>
      <c r="B140" s="193" t="s">
        <v>778</v>
      </c>
      <c r="C140" s="187"/>
      <c r="D140" s="187"/>
      <c r="E140" s="187"/>
      <c r="F140" s="187"/>
      <c r="G140" s="187"/>
      <c r="H140" s="187"/>
      <c r="I140" s="188"/>
      <c r="J140" s="398"/>
      <c r="K140" s="400"/>
      <c r="L140" s="391"/>
      <c r="M140" s="391"/>
      <c r="N140" s="400"/>
    </row>
    <row r="141" spans="1:23" x14ac:dyDescent="0.35">
      <c r="A141">
        <f t="shared" ref="A141:A145" si="102">A140+1</f>
        <v>134</v>
      </c>
      <c r="B141" s="123" t="s">
        <v>779</v>
      </c>
      <c r="C141" s="159">
        <v>30000000</v>
      </c>
      <c r="D141" s="159"/>
      <c r="E141" s="159"/>
      <c r="F141" s="159"/>
      <c r="G141" s="159"/>
      <c r="H141" s="159"/>
      <c r="I141" s="171"/>
      <c r="J141" s="105">
        <v>300</v>
      </c>
      <c r="K141" s="399" t="s">
        <v>35</v>
      </c>
      <c r="L141" s="181" t="s">
        <v>35</v>
      </c>
      <c r="M141" s="181" t="s">
        <v>35</v>
      </c>
      <c r="N141" s="399" t="s">
        <v>398</v>
      </c>
    </row>
    <row r="142" spans="1:23" x14ac:dyDescent="0.35">
      <c r="A142">
        <f t="shared" si="102"/>
        <v>135</v>
      </c>
      <c r="B142" s="123"/>
      <c r="C142" s="159"/>
      <c r="D142" s="159"/>
      <c r="E142" s="159"/>
      <c r="F142" s="159"/>
      <c r="G142" s="159"/>
      <c r="H142" s="159"/>
      <c r="I142" s="171"/>
      <c r="J142" s="105"/>
      <c r="K142" s="399"/>
      <c r="L142" s="181"/>
      <c r="M142" s="181"/>
      <c r="N142" s="399"/>
    </row>
    <row r="143" spans="1:23" x14ac:dyDescent="0.35">
      <c r="A143">
        <f t="shared" si="102"/>
        <v>136</v>
      </c>
      <c r="B143" s="123"/>
      <c r="C143" s="159"/>
      <c r="D143" s="159"/>
      <c r="E143" s="159"/>
      <c r="F143" s="159"/>
      <c r="G143" s="159"/>
      <c r="H143" s="159"/>
      <c r="I143" s="171"/>
      <c r="J143" s="105"/>
      <c r="K143" s="399"/>
      <c r="L143" s="181"/>
      <c r="M143" s="181"/>
      <c r="N143" s="399"/>
    </row>
    <row r="144" spans="1:23" x14ac:dyDescent="0.35">
      <c r="A144">
        <f t="shared" si="102"/>
        <v>137</v>
      </c>
      <c r="B144" s="123"/>
      <c r="C144" s="159"/>
      <c r="D144" s="159"/>
      <c r="E144" s="159"/>
      <c r="F144" s="159"/>
      <c r="G144" s="159"/>
      <c r="H144" s="159"/>
      <c r="I144" s="171"/>
      <c r="J144" s="105"/>
      <c r="K144" s="399"/>
      <c r="L144" s="181"/>
      <c r="M144" s="181"/>
      <c r="N144" s="399"/>
    </row>
    <row r="145" spans="1:16" ht="15" thickBot="1" x14ac:dyDescent="0.4">
      <c r="A145">
        <f t="shared" si="102"/>
        <v>138</v>
      </c>
      <c r="B145" s="112"/>
      <c r="C145" s="172"/>
      <c r="D145" s="160"/>
      <c r="E145" s="160"/>
      <c r="F145" s="160"/>
      <c r="G145" s="160"/>
      <c r="H145" s="172"/>
      <c r="I145" s="173"/>
      <c r="J145" s="397"/>
      <c r="K145" s="401"/>
      <c r="L145" s="389"/>
      <c r="M145" s="389"/>
      <c r="N145" s="401"/>
    </row>
    <row r="146" spans="1:16" ht="15" thickTop="1" x14ac:dyDescent="0.35"/>
    <row r="149" spans="1:16" ht="24" thickBot="1" x14ac:dyDescent="0.6">
      <c r="B149" s="2" t="s">
        <v>21</v>
      </c>
      <c r="C149" s="2"/>
      <c r="D149" s="2"/>
    </row>
    <row r="150" spans="1:16" ht="15" thickTop="1" x14ac:dyDescent="0.35">
      <c r="B150" s="5"/>
      <c r="C150" s="15" t="s">
        <v>176</v>
      </c>
      <c r="D150" s="6" t="s">
        <v>186</v>
      </c>
      <c r="E150" s="6" t="s">
        <v>178</v>
      </c>
      <c r="F150" s="6" t="s">
        <v>178</v>
      </c>
      <c r="G150" s="6" t="s">
        <v>178</v>
      </c>
      <c r="H150" s="6" t="s">
        <v>178</v>
      </c>
      <c r="I150" s="6" t="s">
        <v>186</v>
      </c>
      <c r="J150" s="80" t="str">
        <f>J5</f>
        <v xml:space="preserve">Range </v>
      </c>
      <c r="K150" s="80" t="str">
        <f>K5</f>
        <v>Speed</v>
      </c>
      <c r="L150" s="80" t="str">
        <f>L5</f>
        <v>Time</v>
      </c>
      <c r="M150" s="80" t="str">
        <f>M5</f>
        <v>Warhead</v>
      </c>
      <c r="N150" s="80" t="str">
        <f>N5</f>
        <v># build</v>
      </c>
      <c r="O150" s="3" t="s">
        <v>35</v>
      </c>
    </row>
    <row r="151" spans="1:16" x14ac:dyDescent="0.35">
      <c r="B151" s="51"/>
      <c r="C151" s="7"/>
      <c r="D151" s="3">
        <v>100</v>
      </c>
      <c r="E151" s="133">
        <v>1000</v>
      </c>
      <c r="F151" s="133">
        <v>10000</v>
      </c>
      <c r="G151" s="133">
        <v>100000</v>
      </c>
      <c r="H151" s="133">
        <v>1000000</v>
      </c>
      <c r="I151" s="133">
        <v>10000000</v>
      </c>
      <c r="J151" s="123" t="str">
        <f>J6</f>
        <v>in km</v>
      </c>
      <c r="K151" s="104" t="str">
        <f>K6</f>
        <v>in km/h</v>
      </c>
      <c r="L151" s="123" t="str">
        <f>L6</f>
        <v>Minutes</v>
      </c>
      <c r="M151" s="123" t="str">
        <f>M6</f>
        <v>kilograms</v>
      </c>
      <c r="N151" s="104"/>
      <c r="O151" s="3" t="s">
        <v>35</v>
      </c>
    </row>
    <row r="152" spans="1:16" ht="15" thickBot="1" x14ac:dyDescent="0.4">
      <c r="B152" s="17"/>
      <c r="C152" s="13"/>
      <c r="D152" s="18" t="s">
        <v>183</v>
      </c>
      <c r="E152" s="18" t="s">
        <v>183</v>
      </c>
      <c r="F152" s="18" t="s">
        <v>183</v>
      </c>
      <c r="G152" s="18" t="s">
        <v>183</v>
      </c>
      <c r="H152" s="18" t="s">
        <v>174</v>
      </c>
      <c r="I152" s="18" t="s">
        <v>174</v>
      </c>
      <c r="J152" s="106"/>
      <c r="K152" s="106"/>
      <c r="L152" s="112" t="str">
        <f>L7</f>
        <v>Hours</v>
      </c>
      <c r="M152" s="112" t="str">
        <f>M7</f>
        <v>all/explos.</v>
      </c>
      <c r="N152" s="106"/>
      <c r="O152" s="3" t="s">
        <v>35</v>
      </c>
    </row>
    <row r="153" spans="1:16" ht="15" thickTop="1" x14ac:dyDescent="0.35">
      <c r="A153">
        <v>1</v>
      </c>
      <c r="B153" s="184" t="s">
        <v>177</v>
      </c>
      <c r="C153" s="198"/>
      <c r="D153" s="199"/>
      <c r="E153" s="192"/>
      <c r="F153" s="192"/>
      <c r="G153" s="192"/>
      <c r="H153" s="197"/>
      <c r="I153" s="197"/>
      <c r="J153" s="189"/>
      <c r="K153" s="189"/>
      <c r="L153" s="189"/>
      <c r="M153" s="392"/>
      <c r="N153" s="189"/>
      <c r="O153" s="3" t="s">
        <v>35</v>
      </c>
    </row>
    <row r="154" spans="1:16" x14ac:dyDescent="0.35">
      <c r="A154">
        <f>A153+1</f>
        <v>2</v>
      </c>
      <c r="B154" s="51" t="str">
        <f>B9</f>
        <v>MAGURA V5 navy drone</v>
      </c>
      <c r="C154" s="174" t="s">
        <v>182</v>
      </c>
      <c r="D154" s="70" t="s">
        <v>36</v>
      </c>
      <c r="E154" s="70" t="s">
        <v>36</v>
      </c>
      <c r="F154" s="58" t="s">
        <v>35</v>
      </c>
      <c r="G154" s="58" t="s">
        <v>35</v>
      </c>
      <c r="H154" s="175" t="s">
        <v>35</v>
      </c>
      <c r="I154" s="179" t="s">
        <v>35</v>
      </c>
      <c r="J154" s="123" t="s">
        <v>182</v>
      </c>
      <c r="K154" s="149" t="s">
        <v>182</v>
      </c>
      <c r="L154" s="149" t="s">
        <v>182</v>
      </c>
      <c r="M154" s="31" t="s">
        <v>182</v>
      </c>
      <c r="N154" s="123" t="s">
        <v>207</v>
      </c>
      <c r="O154" s="3" t="s">
        <v>35</v>
      </c>
    </row>
    <row r="155" spans="1:16" x14ac:dyDescent="0.35">
      <c r="A155">
        <f t="shared" ref="A155:A285" si="103">A154+1</f>
        <v>3</v>
      </c>
      <c r="B155" s="51" t="str">
        <f>B10</f>
        <v>R-360 Neptune anti-ship missile</v>
      </c>
      <c r="C155" s="174" t="s">
        <v>189</v>
      </c>
      <c r="D155" s="70" t="s">
        <v>36</v>
      </c>
      <c r="E155" s="70" t="s">
        <v>36</v>
      </c>
      <c r="F155" s="58" t="s">
        <v>35</v>
      </c>
      <c r="G155" s="58" t="s">
        <v>35</v>
      </c>
      <c r="H155" s="175" t="s">
        <v>35</v>
      </c>
      <c r="I155" s="179" t="s">
        <v>35</v>
      </c>
      <c r="J155" s="123" t="s">
        <v>189</v>
      </c>
      <c r="K155" s="123" t="s">
        <v>189</v>
      </c>
      <c r="L155" s="123" t="s">
        <v>189</v>
      </c>
      <c r="M155" s="31" t="s">
        <v>189</v>
      </c>
      <c r="N155" s="396" t="s">
        <v>207</v>
      </c>
      <c r="O155" s="3" t="s">
        <v>35</v>
      </c>
    </row>
    <row r="156" spans="1:16" x14ac:dyDescent="0.35">
      <c r="A156">
        <f t="shared" si="103"/>
        <v>4</v>
      </c>
      <c r="B156" s="51" t="str">
        <f>B11</f>
        <v>Harpoon anti-ship missile</v>
      </c>
      <c r="C156" s="174" t="s">
        <v>191</v>
      </c>
      <c r="D156" s="70" t="s">
        <v>36</v>
      </c>
      <c r="E156" s="70" t="s">
        <v>36</v>
      </c>
      <c r="F156" s="58" t="s">
        <v>35</v>
      </c>
      <c r="G156" s="58" t="s">
        <v>35</v>
      </c>
      <c r="H156" s="175" t="s">
        <v>35</v>
      </c>
      <c r="I156" s="179" t="s">
        <v>35</v>
      </c>
      <c r="J156" s="123" t="s">
        <v>191</v>
      </c>
      <c r="K156" s="123" t="s">
        <v>191</v>
      </c>
      <c r="L156" s="123" t="s">
        <v>191</v>
      </c>
      <c r="M156" t="s">
        <v>191</v>
      </c>
      <c r="N156" s="25" t="s">
        <v>191</v>
      </c>
      <c r="O156" s="3" t="s">
        <v>35</v>
      </c>
    </row>
    <row r="157" spans="1:16" x14ac:dyDescent="0.35">
      <c r="A157">
        <f t="shared" si="103"/>
        <v>5</v>
      </c>
      <c r="B157" s="184" t="s">
        <v>179</v>
      </c>
      <c r="C157" s="195"/>
      <c r="D157" s="196"/>
      <c r="E157" s="196"/>
      <c r="F157" s="196"/>
      <c r="G157" s="196"/>
      <c r="H157" s="196"/>
      <c r="I157" s="196"/>
      <c r="J157" s="189"/>
      <c r="K157" s="189"/>
      <c r="L157" s="189"/>
      <c r="M157" s="392"/>
      <c r="N157" s="189"/>
      <c r="O157" s="3" t="s">
        <v>35</v>
      </c>
    </row>
    <row r="158" spans="1:16" x14ac:dyDescent="0.35">
      <c r="A158">
        <f t="shared" si="103"/>
        <v>6</v>
      </c>
      <c r="B158" s="123" t="str">
        <f t="shared" ref="B158:B190" si="104">B13</f>
        <v>M15 anti-tank mine</v>
      </c>
      <c r="C158" s="4" t="s">
        <v>184</v>
      </c>
      <c r="D158" s="177" t="s">
        <v>35</v>
      </c>
      <c r="E158" s="177" t="s">
        <v>35</v>
      </c>
      <c r="F158" s="177" t="s">
        <v>35</v>
      </c>
      <c r="G158" s="177" t="s">
        <v>35</v>
      </c>
      <c r="H158" s="70" t="s">
        <v>36</v>
      </c>
      <c r="I158" s="70" t="s">
        <v>36</v>
      </c>
      <c r="J158" s="123" t="s">
        <v>35</v>
      </c>
      <c r="K158" s="123" t="s">
        <v>35</v>
      </c>
      <c r="L158" s="123" t="s">
        <v>35</v>
      </c>
      <c r="M158" s="31" t="s">
        <v>184</v>
      </c>
      <c r="N158" s="123" t="s">
        <v>207</v>
      </c>
      <c r="O158" s="3" t="s">
        <v>35</v>
      </c>
    </row>
    <row r="159" spans="1:16" x14ac:dyDescent="0.35">
      <c r="A159">
        <f t="shared" si="103"/>
        <v>7</v>
      </c>
      <c r="B159" s="123" t="str">
        <f t="shared" si="104"/>
        <v>Small anti-personel mine</v>
      </c>
      <c r="C159" s="4" t="s">
        <v>192</v>
      </c>
      <c r="D159" s="177" t="s">
        <v>35</v>
      </c>
      <c r="E159" s="177" t="s">
        <v>35</v>
      </c>
      <c r="F159" s="177" t="s">
        <v>35</v>
      </c>
      <c r="G159" s="177" t="s">
        <v>35</v>
      </c>
      <c r="H159" s="70" t="s">
        <v>36</v>
      </c>
      <c r="I159" s="70" t="s">
        <v>36</v>
      </c>
      <c r="J159" s="123" t="s">
        <v>35</v>
      </c>
      <c r="K159" s="123" t="s">
        <v>35</v>
      </c>
      <c r="L159" s="123" t="s">
        <v>35</v>
      </c>
      <c r="M159" s="51" t="s">
        <v>192</v>
      </c>
      <c r="N159" s="396" t="s">
        <v>207</v>
      </c>
      <c r="O159" s="3" t="s">
        <v>35</v>
      </c>
    </row>
    <row r="160" spans="1:16" x14ac:dyDescent="0.35">
      <c r="A160">
        <f t="shared" si="103"/>
        <v>8</v>
      </c>
      <c r="B160" s="123" t="str">
        <f t="shared" si="104"/>
        <v>Artillery shells 155mm, M107</v>
      </c>
      <c r="C160" s="4" t="s">
        <v>193</v>
      </c>
      <c r="D160" s="177" t="s">
        <v>35</v>
      </c>
      <c r="E160" s="177" t="s">
        <v>35</v>
      </c>
      <c r="F160" s="177" t="s">
        <v>35</v>
      </c>
      <c r="G160" s="177" t="s">
        <v>35</v>
      </c>
      <c r="H160" s="70" t="s">
        <v>36</v>
      </c>
      <c r="I160" s="70" t="s">
        <v>36</v>
      </c>
      <c r="J160" s="149" t="s">
        <v>200</v>
      </c>
      <c r="K160" s="396" t="s">
        <v>407</v>
      </c>
      <c r="L160" s="149"/>
      <c r="M160" s="31" t="s">
        <v>217</v>
      </c>
      <c r="N160" s="396" t="s">
        <v>207</v>
      </c>
      <c r="O160" t="s">
        <v>228</v>
      </c>
      <c r="P160" t="s">
        <v>35</v>
      </c>
    </row>
    <row r="161" spans="1:16" x14ac:dyDescent="0.35">
      <c r="A161">
        <f t="shared" si="103"/>
        <v>9</v>
      </c>
      <c r="B161" s="123" t="str">
        <f t="shared" si="104"/>
        <v>Art.shells 155mm, base bleed</v>
      </c>
      <c r="C161" s="183" t="s">
        <v>239</v>
      </c>
      <c r="D161" s="177" t="s">
        <v>35</v>
      </c>
      <c r="E161" s="177" t="s">
        <v>35</v>
      </c>
      <c r="F161" s="177" t="s">
        <v>35</v>
      </c>
      <c r="G161" s="70"/>
      <c r="H161" s="70"/>
      <c r="I161" s="70"/>
      <c r="J161" s="149" t="s">
        <v>224</v>
      </c>
      <c r="K161" s="396" t="s">
        <v>407</v>
      </c>
      <c r="L161" s="149"/>
      <c r="M161" s="31"/>
      <c r="N161" s="396" t="s">
        <v>207</v>
      </c>
      <c r="O161" t="s">
        <v>228</v>
      </c>
      <c r="P161" t="s">
        <v>35</v>
      </c>
    </row>
    <row r="162" spans="1:16" x14ac:dyDescent="0.35">
      <c r="A162">
        <f t="shared" si="103"/>
        <v>10</v>
      </c>
      <c r="B162" s="123" t="str">
        <f t="shared" si="104"/>
        <v>Art.shells 155mm, rocket assist</v>
      </c>
      <c r="C162" s="183" t="s">
        <v>239</v>
      </c>
      <c r="D162" s="177" t="s">
        <v>35</v>
      </c>
      <c r="E162" s="177" t="s">
        <v>35</v>
      </c>
      <c r="F162" s="70"/>
      <c r="G162" s="70"/>
      <c r="H162" s="70"/>
      <c r="I162" s="70"/>
      <c r="J162" s="123" t="s">
        <v>224</v>
      </c>
      <c r="K162" s="396" t="s">
        <v>407</v>
      </c>
      <c r="L162" s="123"/>
      <c r="M162" s="31" t="s">
        <v>238</v>
      </c>
      <c r="N162" s="396" t="s">
        <v>207</v>
      </c>
      <c r="O162" t="s">
        <v>228</v>
      </c>
      <c r="P162" t="s">
        <v>35</v>
      </c>
    </row>
    <row r="163" spans="1:16" x14ac:dyDescent="0.35">
      <c r="A163">
        <f t="shared" si="103"/>
        <v>11</v>
      </c>
      <c r="B163" s="123" t="str">
        <f t="shared" si="104"/>
        <v>Art.shells 155mm, M982 GPS</v>
      </c>
      <c r="C163" s="4" t="s">
        <v>233</v>
      </c>
      <c r="D163" s="70" t="s">
        <v>35</v>
      </c>
      <c r="E163" s="70" t="s">
        <v>36</v>
      </c>
      <c r="F163" s="70" t="s">
        <v>36</v>
      </c>
      <c r="G163" s="70"/>
      <c r="H163" s="70"/>
      <c r="I163" s="70"/>
      <c r="J163" s="123" t="s">
        <v>233</v>
      </c>
      <c r="K163" s="396" t="s">
        <v>407</v>
      </c>
      <c r="L163" s="123"/>
      <c r="M163" s="31" t="s">
        <v>233</v>
      </c>
      <c r="N163" s="396" t="s">
        <v>207</v>
      </c>
      <c r="O163" s="3" t="s">
        <v>35</v>
      </c>
    </row>
    <row r="164" spans="1:16" x14ac:dyDescent="0.35">
      <c r="A164">
        <f t="shared" si="103"/>
        <v>12</v>
      </c>
      <c r="B164" s="123" t="str">
        <f t="shared" si="104"/>
        <v>Archer self-propelled howitzer</v>
      </c>
      <c r="C164" s="4" t="s">
        <v>200</v>
      </c>
      <c r="D164" s="70" t="s">
        <v>36</v>
      </c>
      <c r="E164" s="70" t="s">
        <v>36</v>
      </c>
      <c r="F164" s="175" t="s">
        <v>35</v>
      </c>
      <c r="G164" s="58" t="s">
        <v>35</v>
      </c>
      <c r="H164" s="58" t="s">
        <v>35</v>
      </c>
      <c r="I164" s="70" t="s">
        <v>35</v>
      </c>
      <c r="J164" s="123" t="s">
        <v>200</v>
      </c>
      <c r="K164" s="123" t="s">
        <v>200</v>
      </c>
      <c r="L164" s="123" t="s">
        <v>200</v>
      </c>
      <c r="M164" s="123" t="s">
        <v>200</v>
      </c>
      <c r="N164" s="123" t="s">
        <v>200</v>
      </c>
      <c r="O164" s="3" t="s">
        <v>35</v>
      </c>
    </row>
    <row r="165" spans="1:16" x14ac:dyDescent="0.35">
      <c r="A165">
        <f t="shared" si="103"/>
        <v>13</v>
      </c>
      <c r="B165" s="123" t="str">
        <f t="shared" si="104"/>
        <v>Panzerhaubitze 2000</v>
      </c>
      <c r="C165" s="4" t="s">
        <v>203</v>
      </c>
      <c r="D165" s="70" t="s">
        <v>36</v>
      </c>
      <c r="E165" s="70" t="s">
        <v>36</v>
      </c>
      <c r="F165" s="175" t="s">
        <v>35</v>
      </c>
      <c r="G165" s="58" t="s">
        <v>35</v>
      </c>
      <c r="H165" s="58" t="s">
        <v>35</v>
      </c>
      <c r="I165" s="70" t="s">
        <v>35</v>
      </c>
      <c r="J165" s="149" t="s">
        <v>203</v>
      </c>
      <c r="K165" s="149" t="s">
        <v>203</v>
      </c>
      <c r="L165" s="149" t="s">
        <v>203</v>
      </c>
      <c r="M165" s="149" t="s">
        <v>203</v>
      </c>
      <c r="N165" s="25" t="s">
        <v>207</v>
      </c>
      <c r="O165" s="3" t="s">
        <v>35</v>
      </c>
    </row>
    <row r="166" spans="1:16" x14ac:dyDescent="0.35">
      <c r="A166">
        <f t="shared" si="103"/>
        <v>14</v>
      </c>
      <c r="B166" s="123" t="str">
        <f t="shared" si="104"/>
        <v>RCH155 Remote Controlled Howitzer155 mm</v>
      </c>
      <c r="C166" s="4" t="s">
        <v>769</v>
      </c>
      <c r="D166" s="70" t="s">
        <v>36</v>
      </c>
      <c r="E166" s="70" t="s">
        <v>36</v>
      </c>
      <c r="F166" s="175" t="s">
        <v>35</v>
      </c>
      <c r="G166" s="58" t="s">
        <v>35</v>
      </c>
      <c r="H166" s="58" t="s">
        <v>35</v>
      </c>
      <c r="I166" s="70" t="s">
        <v>35</v>
      </c>
      <c r="J166" s="149" t="s">
        <v>769</v>
      </c>
      <c r="K166" s="149" t="s">
        <v>770</v>
      </c>
      <c r="L166" s="149" t="s">
        <v>35</v>
      </c>
      <c r="M166" s="149"/>
      <c r="N166" s="25" t="s">
        <v>207</v>
      </c>
      <c r="O166" s="3" t="s">
        <v>35</v>
      </c>
    </row>
    <row r="167" spans="1:16" x14ac:dyDescent="0.35">
      <c r="A167">
        <f t="shared" si="103"/>
        <v>15</v>
      </c>
      <c r="B167" s="123" t="str">
        <f t="shared" si="104"/>
        <v>CAESAR self-propelled howitzer</v>
      </c>
      <c r="C167" t="s">
        <v>93</v>
      </c>
      <c r="D167" s="70" t="s">
        <v>36</v>
      </c>
      <c r="E167" s="70" t="s">
        <v>36</v>
      </c>
      <c r="F167" s="70"/>
      <c r="G167" s="70"/>
      <c r="H167" s="70"/>
      <c r="I167" s="70"/>
      <c r="J167" s="149" t="s">
        <v>224</v>
      </c>
      <c r="K167" s="149" t="s">
        <v>224</v>
      </c>
      <c r="L167" s="149" t="s">
        <v>224</v>
      </c>
      <c r="M167" s="149" t="s">
        <v>224</v>
      </c>
      <c r="N167" s="25" t="s">
        <v>207</v>
      </c>
      <c r="O167" s="3"/>
    </row>
    <row r="168" spans="1:16" x14ac:dyDescent="0.35">
      <c r="A168">
        <f>A167+1</f>
        <v>16</v>
      </c>
      <c r="B168" s="123" t="str">
        <f t="shared" si="104"/>
        <v>Mortar shells 60mm</v>
      </c>
      <c r="C168" s="4" t="s">
        <v>199</v>
      </c>
      <c r="D168" s="70" t="s">
        <v>35</v>
      </c>
      <c r="E168" s="58" t="s">
        <v>35</v>
      </c>
      <c r="F168" s="58" t="s">
        <v>35</v>
      </c>
      <c r="G168" s="70" t="s">
        <v>36</v>
      </c>
      <c r="H168" s="70" t="s">
        <v>36</v>
      </c>
      <c r="I168" s="70" t="s">
        <v>36</v>
      </c>
      <c r="J168" s="396" t="s">
        <v>407</v>
      </c>
      <c r="K168" s="396" t="s">
        <v>407</v>
      </c>
      <c r="L168" s="123"/>
      <c r="M168" s="31" t="s">
        <v>199</v>
      </c>
      <c r="N168" s="25" t="s">
        <v>207</v>
      </c>
      <c r="O168" s="3" t="s">
        <v>35</v>
      </c>
    </row>
    <row r="169" spans="1:16" x14ac:dyDescent="0.35">
      <c r="A169">
        <f t="shared" si="103"/>
        <v>17</v>
      </c>
      <c r="B169" s="123" t="str">
        <f t="shared" si="104"/>
        <v>Mortar shells 81mm</v>
      </c>
      <c r="C169" t="s">
        <v>199</v>
      </c>
      <c r="D169" s="70" t="s">
        <v>35</v>
      </c>
      <c r="E169" s="58" t="s">
        <v>35</v>
      </c>
      <c r="F169" s="58" t="s">
        <v>35</v>
      </c>
      <c r="G169" s="70" t="s">
        <v>36</v>
      </c>
      <c r="H169" s="70" t="s">
        <v>36</v>
      </c>
      <c r="I169" s="70" t="s">
        <v>36</v>
      </c>
      <c r="J169" s="396" t="s">
        <v>407</v>
      </c>
      <c r="K169" s="396" t="s">
        <v>407</v>
      </c>
      <c r="L169" s="123"/>
      <c r="M169" s="123" t="s">
        <v>199</v>
      </c>
      <c r="N169" s="123" t="s">
        <v>207</v>
      </c>
      <c r="O169" s="3" t="s">
        <v>35</v>
      </c>
    </row>
    <row r="170" spans="1:16" x14ac:dyDescent="0.35">
      <c r="A170">
        <f t="shared" si="103"/>
        <v>18</v>
      </c>
      <c r="B170" s="123" t="str">
        <f t="shared" si="104"/>
        <v>Mortar shells 120mm</v>
      </c>
      <c r="C170" t="s">
        <v>199</v>
      </c>
      <c r="D170" s="70" t="s">
        <v>35</v>
      </c>
      <c r="E170" s="58" t="s">
        <v>35</v>
      </c>
      <c r="F170" s="58" t="s">
        <v>35</v>
      </c>
      <c r="G170" s="70" t="s">
        <v>36</v>
      </c>
      <c r="H170" s="70" t="s">
        <v>36</v>
      </c>
      <c r="I170" s="70" t="s">
        <v>36</v>
      </c>
      <c r="J170" s="396" t="s">
        <v>407</v>
      </c>
      <c r="K170" s="396" t="s">
        <v>407</v>
      </c>
      <c r="L170" s="123"/>
      <c r="M170" s="123" t="s">
        <v>199</v>
      </c>
      <c r="N170" s="123" t="s">
        <v>207</v>
      </c>
      <c r="O170" s="3" t="s">
        <v>35</v>
      </c>
    </row>
    <row r="171" spans="1:16" x14ac:dyDescent="0.35">
      <c r="A171">
        <f t="shared" si="103"/>
        <v>19</v>
      </c>
      <c r="B171" s="123" t="str">
        <f t="shared" si="104"/>
        <v>60mm M224 mortar launcher</v>
      </c>
      <c r="C171" t="s">
        <v>205</v>
      </c>
      <c r="D171" s="70" t="s">
        <v>36</v>
      </c>
      <c r="E171" s="70" t="s">
        <v>36</v>
      </c>
      <c r="F171" s="70" t="s">
        <v>36</v>
      </c>
      <c r="G171" s="70" t="s">
        <v>35</v>
      </c>
      <c r="H171" s="70" t="s">
        <v>35</v>
      </c>
      <c r="I171" s="70" t="s">
        <v>35</v>
      </c>
      <c r="J171" s="149" t="s">
        <v>205</v>
      </c>
      <c r="K171" s="388" t="s">
        <v>35</v>
      </c>
      <c r="L171" s="388" t="s">
        <v>35</v>
      </c>
      <c r="M171" s="123"/>
      <c r="N171" s="123" t="s">
        <v>207</v>
      </c>
      <c r="O171" s="3" t="s">
        <v>35</v>
      </c>
    </row>
    <row r="172" spans="1:16" x14ac:dyDescent="0.35">
      <c r="A172">
        <f t="shared" si="103"/>
        <v>20</v>
      </c>
      <c r="B172" s="123" t="str">
        <f t="shared" si="104"/>
        <v>120mm Soltam K6 mortar launcher</v>
      </c>
      <c r="C172" t="s">
        <v>207</v>
      </c>
      <c r="D172" s="70" t="s">
        <v>36</v>
      </c>
      <c r="E172" s="70" t="s">
        <v>36</v>
      </c>
      <c r="F172" s="70" t="s">
        <v>36</v>
      </c>
      <c r="G172" s="70" t="s">
        <v>35</v>
      </c>
      <c r="H172" s="70" t="s">
        <v>35</v>
      </c>
      <c r="I172" s="70" t="s">
        <v>35</v>
      </c>
      <c r="J172" s="149" t="s">
        <v>206</v>
      </c>
      <c r="K172" s="388" t="s">
        <v>35</v>
      </c>
      <c r="L172" s="388" t="s">
        <v>35</v>
      </c>
      <c r="M172" s="123"/>
      <c r="N172" s="123" t="s">
        <v>207</v>
      </c>
      <c r="O172" s="3" t="s">
        <v>35</v>
      </c>
    </row>
    <row r="173" spans="1:16" x14ac:dyDescent="0.35">
      <c r="A173">
        <f t="shared" si="103"/>
        <v>21</v>
      </c>
      <c r="B173" s="123" t="str">
        <f t="shared" si="104"/>
        <v>227 mm unguided rocket MLRS</v>
      </c>
      <c r="C173" s="183" t="s">
        <v>239</v>
      </c>
      <c r="D173" s="70" t="s">
        <v>35</v>
      </c>
      <c r="E173" s="70" t="s">
        <v>36</v>
      </c>
      <c r="F173" s="70" t="s">
        <v>36</v>
      </c>
      <c r="G173" s="70" t="s">
        <v>35</v>
      </c>
      <c r="H173" s="70" t="s">
        <v>35</v>
      </c>
      <c r="I173" s="70" t="s">
        <v>35</v>
      </c>
      <c r="J173" s="429" t="s">
        <v>460</v>
      </c>
      <c r="K173" s="388" t="s">
        <v>35</v>
      </c>
      <c r="L173" s="388" t="s">
        <v>35</v>
      </c>
      <c r="M173" s="123" t="s">
        <v>439</v>
      </c>
      <c r="N173" s="123" t="s">
        <v>207</v>
      </c>
      <c r="O173" s="3" t="s">
        <v>35</v>
      </c>
    </row>
    <row r="174" spans="1:16" x14ac:dyDescent="0.35">
      <c r="A174">
        <f t="shared" si="103"/>
        <v>22</v>
      </c>
      <c r="B174" s="123" t="str">
        <f t="shared" si="104"/>
        <v>227 mm guided rocket GMLRS</v>
      </c>
      <c r="C174" t="s">
        <v>444</v>
      </c>
      <c r="D174" s="70" t="s">
        <v>35</v>
      </c>
      <c r="E174" s="70" t="s">
        <v>36</v>
      </c>
      <c r="F174" s="70" t="s">
        <v>36</v>
      </c>
      <c r="G174" s="70" t="s">
        <v>35</v>
      </c>
      <c r="H174" s="70" t="s">
        <v>35</v>
      </c>
      <c r="I174" s="70" t="s">
        <v>35</v>
      </c>
      <c r="J174" s="149" t="s">
        <v>447</v>
      </c>
      <c r="K174" s="149" t="s">
        <v>454</v>
      </c>
      <c r="L174" s="388" t="s">
        <v>36</v>
      </c>
      <c r="M174" s="123"/>
      <c r="N174" s="123" t="s">
        <v>447</v>
      </c>
      <c r="O174" s="3" t="s">
        <v>35</v>
      </c>
    </row>
    <row r="175" spans="1:16" x14ac:dyDescent="0.35">
      <c r="A175">
        <f t="shared" si="103"/>
        <v>23</v>
      </c>
      <c r="B175" s="123" t="str">
        <f t="shared" si="104"/>
        <v>227 mm guided rocket GLSDB/GBU-39</v>
      </c>
      <c r="C175" t="s">
        <v>448</v>
      </c>
      <c r="D175" s="70" t="s">
        <v>35</v>
      </c>
      <c r="E175" s="70" t="s">
        <v>36</v>
      </c>
      <c r="F175" s="70" t="s">
        <v>36</v>
      </c>
      <c r="G175" s="70" t="s">
        <v>35</v>
      </c>
      <c r="H175" s="70" t="s">
        <v>35</v>
      </c>
      <c r="I175" s="70" t="s">
        <v>35</v>
      </c>
      <c r="J175" s="149" t="s">
        <v>448</v>
      </c>
      <c r="K175" s="388" t="s">
        <v>35</v>
      </c>
      <c r="L175" s="388" t="s">
        <v>35</v>
      </c>
      <c r="M175" s="123" t="s">
        <v>448</v>
      </c>
      <c r="N175" s="123" t="s">
        <v>207</v>
      </c>
      <c r="O175" s="3" t="s">
        <v>35</v>
      </c>
    </row>
    <row r="176" spans="1:16" x14ac:dyDescent="0.35">
      <c r="A176">
        <f t="shared" si="103"/>
        <v>24</v>
      </c>
      <c r="B176" s="123" t="str">
        <f t="shared" si="104"/>
        <v>HIMARS M142 rocket launcher</v>
      </c>
      <c r="C176" t="s">
        <v>439</v>
      </c>
      <c r="D176" s="70" t="s">
        <v>36</v>
      </c>
      <c r="E176" s="70" t="s">
        <v>36</v>
      </c>
      <c r="F176" s="70" t="s">
        <v>35</v>
      </c>
      <c r="G176" s="70" t="s">
        <v>35</v>
      </c>
      <c r="H176" s="70" t="s">
        <v>35</v>
      </c>
      <c r="I176" s="70" t="s">
        <v>35</v>
      </c>
      <c r="J176" s="123" t="s">
        <v>439</v>
      </c>
      <c r="K176" s="123" t="s">
        <v>439</v>
      </c>
      <c r="L176" s="123" t="s">
        <v>35</v>
      </c>
      <c r="M176" s="123" t="s">
        <v>35</v>
      </c>
      <c r="N176" s="123" t="s">
        <v>439</v>
      </c>
      <c r="O176" s="3" t="s">
        <v>35</v>
      </c>
    </row>
    <row r="177" spans="1:15" x14ac:dyDescent="0.35">
      <c r="A177">
        <f t="shared" si="103"/>
        <v>25</v>
      </c>
      <c r="B177" s="123" t="str">
        <f t="shared" si="104"/>
        <v>RPG-7 rocket with armor p. grenate</v>
      </c>
      <c r="C177" t="s">
        <v>208</v>
      </c>
      <c r="D177" s="175" t="s">
        <v>35</v>
      </c>
      <c r="E177" s="58" t="s">
        <v>35</v>
      </c>
      <c r="F177" s="58" t="s">
        <v>35</v>
      </c>
      <c r="G177" s="70" t="s">
        <v>36</v>
      </c>
      <c r="H177" s="70" t="s">
        <v>36</v>
      </c>
      <c r="I177" s="70" t="s">
        <v>36</v>
      </c>
      <c r="J177" s="149" t="s">
        <v>381</v>
      </c>
      <c r="K177" s="149" t="s">
        <v>381</v>
      </c>
      <c r="L177" s="388" t="s">
        <v>36</v>
      </c>
      <c r="M177" s="149" t="s">
        <v>381</v>
      </c>
      <c r="N177" s="123" t="s">
        <v>381</v>
      </c>
      <c r="O177" s="3" t="s">
        <v>35</v>
      </c>
    </row>
    <row r="178" spans="1:15" x14ac:dyDescent="0.35">
      <c r="A178">
        <f t="shared" si="103"/>
        <v>26</v>
      </c>
      <c r="B178" s="123" t="str">
        <f t="shared" si="104"/>
        <v>RPG-7 armor p. grenate only</v>
      </c>
      <c r="C178" t="s">
        <v>208</v>
      </c>
      <c r="D178" s="175" t="s">
        <v>35</v>
      </c>
      <c r="E178" s="58" t="s">
        <v>35</v>
      </c>
      <c r="F178" s="58" t="s">
        <v>35</v>
      </c>
      <c r="G178" s="70" t="s">
        <v>36</v>
      </c>
      <c r="H178" s="70" t="s">
        <v>36</v>
      </c>
      <c r="I178" s="70" t="s">
        <v>36</v>
      </c>
      <c r="J178" s="399" t="s">
        <v>35</v>
      </c>
      <c r="K178" s="399" t="s">
        <v>35</v>
      </c>
      <c r="L178" s="178" t="s">
        <v>35</v>
      </c>
      <c r="M178" s="123" t="s">
        <v>207</v>
      </c>
      <c r="N178" s="123" t="s">
        <v>207</v>
      </c>
      <c r="O178" s="3"/>
    </row>
    <row r="179" spans="1:15" x14ac:dyDescent="0.35">
      <c r="A179">
        <f t="shared" si="103"/>
        <v>27</v>
      </c>
      <c r="B179" s="123" t="str">
        <f t="shared" si="104"/>
        <v>RPG-7 fragmentation grenate only</v>
      </c>
      <c r="C179" t="s">
        <v>208</v>
      </c>
      <c r="D179" s="175" t="s">
        <v>35</v>
      </c>
      <c r="E179" s="58" t="s">
        <v>35</v>
      </c>
      <c r="F179" s="58" t="s">
        <v>35</v>
      </c>
      <c r="G179" s="70" t="s">
        <v>36</v>
      </c>
      <c r="H179" s="70" t="s">
        <v>36</v>
      </c>
      <c r="I179" s="70" t="s">
        <v>36</v>
      </c>
      <c r="J179" s="399" t="s">
        <v>35</v>
      </c>
      <c r="K179" s="399" t="s">
        <v>35</v>
      </c>
      <c r="L179" s="178" t="s">
        <v>35</v>
      </c>
      <c r="M179" s="123" t="s">
        <v>207</v>
      </c>
      <c r="N179" s="123" t="s">
        <v>207</v>
      </c>
      <c r="O179" s="3"/>
    </row>
    <row r="180" spans="1:15" x14ac:dyDescent="0.35">
      <c r="A180">
        <f t="shared" si="103"/>
        <v>28</v>
      </c>
      <c r="B180" s="123" t="str">
        <f t="shared" si="104"/>
        <v>RPG-7 launcher</v>
      </c>
      <c r="C180" t="s">
        <v>208</v>
      </c>
      <c r="D180" s="175" t="s">
        <v>35</v>
      </c>
      <c r="E180" s="58" t="s">
        <v>35</v>
      </c>
      <c r="F180" s="70" t="s">
        <v>36</v>
      </c>
      <c r="G180" s="70" t="s">
        <v>36</v>
      </c>
      <c r="H180" s="70" t="s">
        <v>35</v>
      </c>
      <c r="I180" s="70" t="s">
        <v>35</v>
      </c>
      <c r="J180" s="399" t="s">
        <v>35</v>
      </c>
      <c r="K180" s="399" t="s">
        <v>35</v>
      </c>
      <c r="L180" s="178" t="s">
        <v>35</v>
      </c>
      <c r="M180" s="425" t="s">
        <v>35</v>
      </c>
      <c r="N180" s="123" t="s">
        <v>381</v>
      </c>
      <c r="O180" s="3" t="s">
        <v>35</v>
      </c>
    </row>
    <row r="181" spans="1:15" x14ac:dyDescent="0.35">
      <c r="A181">
        <f t="shared" si="103"/>
        <v>29</v>
      </c>
      <c r="B181" s="123" t="str">
        <f t="shared" si="104"/>
        <v>FGM-148 Javelin anti-tank launch unit</v>
      </c>
      <c r="C181" t="s">
        <v>528</v>
      </c>
      <c r="D181" s="175" t="s">
        <v>35</v>
      </c>
      <c r="E181" s="70" t="s">
        <v>36</v>
      </c>
      <c r="F181" s="70" t="s">
        <v>36</v>
      </c>
      <c r="G181" s="70" t="s">
        <v>35</v>
      </c>
      <c r="H181" s="70" t="s">
        <v>35</v>
      </c>
      <c r="I181" s="70" t="s">
        <v>35</v>
      </c>
      <c r="J181" s="399" t="s">
        <v>35</v>
      </c>
      <c r="K181" s="399" t="s">
        <v>35</v>
      </c>
      <c r="L181" s="178" t="s">
        <v>35</v>
      </c>
      <c r="M181" s="425" t="s">
        <v>35</v>
      </c>
      <c r="N181" s="123" t="s">
        <v>528</v>
      </c>
      <c r="O181" s="3" t="s">
        <v>35</v>
      </c>
    </row>
    <row r="182" spans="1:15" x14ac:dyDescent="0.35">
      <c r="A182">
        <f t="shared" si="103"/>
        <v>30</v>
      </c>
      <c r="B182" s="123" t="str">
        <f t="shared" si="104"/>
        <v>Javlin anti-tank missile</v>
      </c>
      <c r="C182" s="4" t="s">
        <v>528</v>
      </c>
      <c r="D182" s="175" t="s">
        <v>35</v>
      </c>
      <c r="E182" s="70" t="s">
        <v>36</v>
      </c>
      <c r="F182" s="70" t="s">
        <v>36</v>
      </c>
      <c r="G182" s="70" t="s">
        <v>35</v>
      </c>
      <c r="H182" s="70" t="s">
        <v>35</v>
      </c>
      <c r="I182" s="70" t="s">
        <v>35</v>
      </c>
      <c r="J182" s="123" t="s">
        <v>528</v>
      </c>
      <c r="K182" s="399" t="s">
        <v>35</v>
      </c>
      <c r="L182" s="178" t="s">
        <v>35</v>
      </c>
      <c r="M182" s="123" t="s">
        <v>528</v>
      </c>
      <c r="N182" s="123" t="s">
        <v>528</v>
      </c>
      <c r="O182" t="s">
        <v>726</v>
      </c>
    </row>
    <row r="183" spans="1:15" x14ac:dyDescent="0.35">
      <c r="A183">
        <f t="shared" si="103"/>
        <v>31</v>
      </c>
      <c r="B183" s="123" t="str">
        <f t="shared" si="104"/>
        <v>Spike SR Israeli anti-tank/personel/structure</v>
      </c>
      <c r="C183" s="4" t="s">
        <v>727</v>
      </c>
      <c r="D183" s="175" t="s">
        <v>35</v>
      </c>
      <c r="E183" s="70" t="s">
        <v>36</v>
      </c>
      <c r="F183" s="70" t="s">
        <v>36</v>
      </c>
      <c r="G183" s="70" t="s">
        <v>35</v>
      </c>
      <c r="H183" s="70" t="s">
        <v>35</v>
      </c>
      <c r="I183" s="70" t="s">
        <v>35</v>
      </c>
      <c r="J183" s="123" t="s">
        <v>727</v>
      </c>
      <c r="K183" s="123" t="s">
        <v>732</v>
      </c>
      <c r="L183" s="123" t="s">
        <v>36</v>
      </c>
      <c r="M183" s="123" t="s">
        <v>727</v>
      </c>
      <c r="N183" s="123" t="s">
        <v>727</v>
      </c>
      <c r="O183" s="159" t="str">
        <f>O38</f>
        <v xml:space="preserve"> is fire and forget infrared seeker 8kg rocket, system 10 kg and disposible</v>
      </c>
    </row>
    <row r="184" spans="1:15" x14ac:dyDescent="0.35">
      <c r="A184">
        <f t="shared" si="103"/>
        <v>32</v>
      </c>
      <c r="B184" s="123" t="str">
        <f t="shared" si="104"/>
        <v>Spike LR Israeli anti-tank/personel/structure</v>
      </c>
      <c r="C184" s="4" t="s">
        <v>727</v>
      </c>
      <c r="D184" s="175" t="s">
        <v>35</v>
      </c>
      <c r="E184" s="70" t="s">
        <v>36</v>
      </c>
      <c r="F184" s="70" t="s">
        <v>36</v>
      </c>
      <c r="G184" s="70" t="s">
        <v>35</v>
      </c>
      <c r="H184" s="70" t="s">
        <v>35</v>
      </c>
      <c r="I184" s="70" t="s">
        <v>35</v>
      </c>
      <c r="J184" s="123" t="s">
        <v>727</v>
      </c>
      <c r="K184" s="123" t="s">
        <v>732</v>
      </c>
      <c r="L184" s="123" t="s">
        <v>36</v>
      </c>
      <c r="M184" s="123" t="s">
        <v>727</v>
      </c>
      <c r="N184" s="123" t="s">
        <v>727</v>
      </c>
      <c r="O184" s="159" t="str">
        <f>O39</f>
        <v xml:space="preserve"> is fire and forget infrared seeker 9kg rocket</v>
      </c>
    </row>
    <row r="185" spans="1:15" x14ac:dyDescent="0.35">
      <c r="A185">
        <f t="shared" si="103"/>
        <v>33</v>
      </c>
      <c r="B185" s="123" t="str">
        <f t="shared" si="104"/>
        <v>Spike NLOS anti-tank/personel/structure</v>
      </c>
      <c r="C185" s="4" t="s">
        <v>727</v>
      </c>
      <c r="D185" s="175" t="s">
        <v>35</v>
      </c>
      <c r="E185" s="70" t="s">
        <v>36</v>
      </c>
      <c r="F185" s="70" t="s">
        <v>36</v>
      </c>
      <c r="G185" s="70" t="s">
        <v>35</v>
      </c>
      <c r="H185" s="70" t="s">
        <v>35</v>
      </c>
      <c r="I185" s="70" t="s">
        <v>35</v>
      </c>
      <c r="J185" s="123" t="s">
        <v>727</v>
      </c>
      <c r="K185" s="123" t="s">
        <v>732</v>
      </c>
      <c r="L185" s="123" t="s">
        <v>36</v>
      </c>
      <c r="M185" s="123" t="s">
        <v>727</v>
      </c>
      <c r="N185" s="123" t="s">
        <v>727</v>
      </c>
      <c r="O185" s="159" t="str">
        <f>O40</f>
        <v>No line of sight. Target must be aquired by frontline infantry. Helicopter in the rear shot rocket that is optical wire guided for first 8 km then radio and my guess for final 2 km it is optical infrared with target info uploaded via radio.</v>
      </c>
    </row>
    <row r="186" spans="1:15" x14ac:dyDescent="0.35">
      <c r="A186">
        <f t="shared" si="103"/>
        <v>34</v>
      </c>
      <c r="B186" s="123" t="str">
        <f t="shared" si="104"/>
        <v>Stugna P launch unit anti-tank</v>
      </c>
      <c r="C186" s="183" t="s">
        <v>239</v>
      </c>
      <c r="D186" s="175" t="s">
        <v>35</v>
      </c>
      <c r="E186" s="70" t="s">
        <v>36</v>
      </c>
      <c r="F186" s="70" t="s">
        <v>36</v>
      </c>
      <c r="G186" s="70" t="s">
        <v>35</v>
      </c>
      <c r="H186" s="70" t="s">
        <v>35</v>
      </c>
      <c r="I186" s="70" t="s">
        <v>35</v>
      </c>
      <c r="J186" s="399" t="s">
        <v>35</v>
      </c>
      <c r="K186" s="399" t="s">
        <v>35</v>
      </c>
      <c r="L186" s="178" t="s">
        <v>35</v>
      </c>
      <c r="M186" s="178" t="s">
        <v>35</v>
      </c>
      <c r="N186" s="123" t="s">
        <v>535</v>
      </c>
      <c r="O186" s="3" t="s">
        <v>35</v>
      </c>
    </row>
    <row r="187" spans="1:15" x14ac:dyDescent="0.35">
      <c r="A187">
        <f t="shared" si="103"/>
        <v>35</v>
      </c>
      <c r="B187" s="123" t="str">
        <f t="shared" si="104"/>
        <v>Stugna P anti-tank missile</v>
      </c>
      <c r="C187" s="183" t="s">
        <v>239</v>
      </c>
      <c r="D187" s="175" t="s">
        <v>35</v>
      </c>
      <c r="E187" s="70" t="s">
        <v>36</v>
      </c>
      <c r="F187" s="70" t="s">
        <v>36</v>
      </c>
      <c r="G187" s="70" t="s">
        <v>35</v>
      </c>
      <c r="H187" s="70" t="s">
        <v>35</v>
      </c>
      <c r="I187" s="70" t="s">
        <v>35</v>
      </c>
      <c r="J187" s="123" t="s">
        <v>534</v>
      </c>
      <c r="K187" s="399" t="s">
        <v>35</v>
      </c>
      <c r="L187" s="178" t="s">
        <v>35</v>
      </c>
      <c r="M187" s="178" t="s">
        <v>35</v>
      </c>
      <c r="N187" s="123" t="s">
        <v>535</v>
      </c>
      <c r="O187" s="3" t="s">
        <v>35</v>
      </c>
    </row>
    <row r="188" spans="1:15" x14ac:dyDescent="0.35">
      <c r="A188">
        <f t="shared" si="103"/>
        <v>36</v>
      </c>
      <c r="B188" s="123" t="str">
        <f t="shared" si="104"/>
        <v>NLAW anti-tank missile</v>
      </c>
      <c r="C188" t="s">
        <v>541</v>
      </c>
      <c r="D188" s="175" t="s">
        <v>35</v>
      </c>
      <c r="E188" s="70" t="s">
        <v>36</v>
      </c>
      <c r="F188" s="70" t="s">
        <v>36</v>
      </c>
      <c r="G188" s="70" t="s">
        <v>35</v>
      </c>
      <c r="H188" s="70" t="s">
        <v>35</v>
      </c>
      <c r="I188" s="70" t="s">
        <v>35</v>
      </c>
      <c r="J188" s="396" t="s">
        <v>541</v>
      </c>
      <c r="K188" s="396" t="s">
        <v>541</v>
      </c>
      <c r="L188" s="388" t="s">
        <v>36</v>
      </c>
      <c r="M188" s="123" t="s">
        <v>541</v>
      </c>
      <c r="N188" s="123" t="s">
        <v>541</v>
      </c>
      <c r="O188" s="3" t="s">
        <v>35</v>
      </c>
    </row>
    <row r="189" spans="1:15" x14ac:dyDescent="0.35">
      <c r="A189">
        <f t="shared" si="103"/>
        <v>37</v>
      </c>
      <c r="B189" s="123" t="str">
        <f t="shared" si="104"/>
        <v>Bradley armored fighting vehicle</v>
      </c>
      <c r="C189" t="s">
        <v>520</v>
      </c>
      <c r="D189" s="70" t="s">
        <v>36</v>
      </c>
      <c r="E189" s="70" t="s">
        <v>36</v>
      </c>
      <c r="F189" s="70" t="s">
        <v>36</v>
      </c>
      <c r="G189" s="70" t="s">
        <v>35</v>
      </c>
      <c r="H189" s="70" t="s">
        <v>35</v>
      </c>
      <c r="I189" s="70" t="s">
        <v>35</v>
      </c>
      <c r="J189" s="123" t="s">
        <v>520</v>
      </c>
      <c r="K189" s="123" t="s">
        <v>520</v>
      </c>
      <c r="L189" s="178" t="s">
        <v>35</v>
      </c>
      <c r="M189" s="178" t="s">
        <v>35</v>
      </c>
      <c r="N189" s="123" t="s">
        <v>520</v>
      </c>
      <c r="O189" s="3" t="s">
        <v>35</v>
      </c>
    </row>
    <row r="190" spans="1:15" x14ac:dyDescent="0.35">
      <c r="A190">
        <f t="shared" si="103"/>
        <v>38</v>
      </c>
      <c r="B190" s="123" t="str">
        <f t="shared" si="104"/>
        <v>25mm M242 Bushmaster for Bradley</v>
      </c>
      <c r="C190" t="s">
        <v>493</v>
      </c>
      <c r="D190" s="177" t="s">
        <v>35</v>
      </c>
      <c r="E190" s="177" t="s">
        <v>35</v>
      </c>
      <c r="F190" s="177" t="s">
        <v>35</v>
      </c>
      <c r="G190" s="177" t="s">
        <v>35</v>
      </c>
      <c r="H190" s="70" t="s">
        <v>36</v>
      </c>
      <c r="I190" s="70" t="s">
        <v>36</v>
      </c>
      <c r="J190" s="396" t="s">
        <v>522</v>
      </c>
      <c r="K190" s="396" t="s">
        <v>522</v>
      </c>
      <c r="L190" s="388" t="s">
        <v>36</v>
      </c>
      <c r="M190" s="427" t="s">
        <v>35</v>
      </c>
      <c r="N190" s="396" t="s">
        <v>239</v>
      </c>
      <c r="O190" s="3" t="s">
        <v>35</v>
      </c>
    </row>
    <row r="191" spans="1:15" x14ac:dyDescent="0.35">
      <c r="A191">
        <f t="shared" si="103"/>
        <v>39</v>
      </c>
      <c r="B191" s="123"/>
      <c r="D191" s="175"/>
      <c r="E191" s="58"/>
      <c r="F191" s="70"/>
      <c r="G191" s="70"/>
      <c r="H191" s="70"/>
      <c r="I191" s="70"/>
      <c r="J191" s="396"/>
      <c r="K191" s="396"/>
      <c r="L191" s="396"/>
      <c r="M191" s="396"/>
      <c r="N191" s="396"/>
      <c r="O191" s="3"/>
    </row>
    <row r="192" spans="1:15" x14ac:dyDescent="0.35">
      <c r="A192">
        <f t="shared" si="103"/>
        <v>40</v>
      </c>
      <c r="B192" s="123"/>
      <c r="D192" s="175"/>
      <c r="E192" s="58"/>
      <c r="F192" s="70"/>
      <c r="G192" s="70"/>
      <c r="H192" s="70"/>
      <c r="I192" s="70"/>
      <c r="J192" s="396"/>
      <c r="K192" s="396"/>
      <c r="L192" s="396"/>
      <c r="M192" s="396"/>
      <c r="N192" s="396"/>
      <c r="O192" s="3"/>
    </row>
    <row r="193" spans="1:15" x14ac:dyDescent="0.35">
      <c r="A193">
        <f t="shared" si="103"/>
        <v>41</v>
      </c>
      <c r="B193" s="123"/>
      <c r="D193" s="175"/>
      <c r="E193" s="58"/>
      <c r="F193" s="70"/>
      <c r="G193" s="70"/>
      <c r="H193" s="70"/>
      <c r="I193" s="70"/>
      <c r="J193" s="149"/>
      <c r="K193" s="149"/>
      <c r="L193" s="149"/>
      <c r="M193" s="123"/>
      <c r="N193" s="123"/>
      <c r="O193" s="3"/>
    </row>
    <row r="194" spans="1:15" x14ac:dyDescent="0.35">
      <c r="A194">
        <f t="shared" si="103"/>
        <v>42</v>
      </c>
      <c r="B194" s="193" t="s">
        <v>180</v>
      </c>
      <c r="C194" s="197"/>
      <c r="D194" s="197"/>
      <c r="E194" s="197"/>
      <c r="F194" s="197"/>
      <c r="G194" s="197"/>
      <c r="H194" s="197"/>
      <c r="I194" s="197"/>
      <c r="J194" s="189"/>
      <c r="K194" s="189"/>
      <c r="L194" s="189"/>
      <c r="M194" s="189"/>
      <c r="N194" s="189"/>
      <c r="O194" s="3" t="s">
        <v>35</v>
      </c>
    </row>
    <row r="195" spans="1:15" x14ac:dyDescent="0.35">
      <c r="A195">
        <f t="shared" si="103"/>
        <v>43</v>
      </c>
      <c r="B195" s="123" t="str">
        <f t="shared" ref="B195:B228" si="105">B50</f>
        <v>Mig-29 (Ukr main fighter)</v>
      </c>
      <c r="C195" t="s">
        <v>417</v>
      </c>
      <c r="D195" s="70" t="s">
        <v>36</v>
      </c>
      <c r="E195" s="70" t="s">
        <v>36</v>
      </c>
      <c r="F195" s="70" t="s">
        <v>35</v>
      </c>
      <c r="G195" s="70" t="s">
        <v>35</v>
      </c>
      <c r="H195" s="70" t="s">
        <v>35</v>
      </c>
      <c r="I195" s="430" t="s">
        <v>35</v>
      </c>
      <c r="J195" s="396" t="s">
        <v>413</v>
      </c>
      <c r="K195" s="123" t="s">
        <v>413</v>
      </c>
      <c r="L195" s="123" t="s">
        <v>35</v>
      </c>
      <c r="M195" s="149" t="s">
        <v>413</v>
      </c>
      <c r="N195" s="123" t="s">
        <v>413</v>
      </c>
      <c r="O195" s="3" t="s">
        <v>35</v>
      </c>
    </row>
    <row r="196" spans="1:15" x14ac:dyDescent="0.35">
      <c r="A196">
        <f t="shared" si="103"/>
        <v>44</v>
      </c>
      <c r="B196" s="123" t="str">
        <f t="shared" si="105"/>
        <v xml:space="preserve"> - 30mm Gryazev-Shipunov GSh-30-1</v>
      </c>
      <c r="C196" t="s">
        <v>172</v>
      </c>
      <c r="D196" s="175" t="s">
        <v>35</v>
      </c>
      <c r="E196" s="58" t="s">
        <v>35</v>
      </c>
      <c r="F196" s="70" t="s">
        <v>35</v>
      </c>
      <c r="G196" s="70" t="s">
        <v>36</v>
      </c>
      <c r="H196" s="70" t="s">
        <v>36</v>
      </c>
      <c r="I196" s="70" t="s">
        <v>36</v>
      </c>
      <c r="J196" s="123" t="s">
        <v>633</v>
      </c>
      <c r="K196" s="123" t="s">
        <v>633</v>
      </c>
      <c r="L196" s="123"/>
      <c r="M196" s="123" t="s">
        <v>35</v>
      </c>
      <c r="N196" s="123" t="s">
        <v>207</v>
      </c>
      <c r="O196" s="3"/>
    </row>
    <row r="197" spans="1:15" x14ac:dyDescent="0.35">
      <c r="A197">
        <f t="shared" si="103"/>
        <v>45</v>
      </c>
      <c r="B197" s="123" t="str">
        <f t="shared" si="105"/>
        <v xml:space="preserve"> - HAMMER rocket assisted bomb</v>
      </c>
      <c r="C197" t="s">
        <v>574</v>
      </c>
      <c r="D197" s="70" t="s">
        <v>36</v>
      </c>
      <c r="E197" s="70" t="s">
        <v>36</v>
      </c>
      <c r="F197" s="70" t="s">
        <v>35</v>
      </c>
      <c r="G197" s="70" t="s">
        <v>35</v>
      </c>
      <c r="H197" s="70" t="s">
        <v>35</v>
      </c>
      <c r="I197" s="430" t="s">
        <v>35</v>
      </c>
      <c r="J197" s="396" t="s">
        <v>575</v>
      </c>
      <c r="K197" s="396" t="s">
        <v>575</v>
      </c>
      <c r="L197" s="396" t="s">
        <v>36</v>
      </c>
      <c r="M197" s="396" t="s">
        <v>575</v>
      </c>
      <c r="N197" s="396" t="s">
        <v>575</v>
      </c>
      <c r="O197" s="3" t="s">
        <v>35</v>
      </c>
    </row>
    <row r="198" spans="1:15" x14ac:dyDescent="0.35">
      <c r="A198">
        <f t="shared" si="103"/>
        <v>46</v>
      </c>
      <c r="B198" s="123" t="str">
        <f t="shared" si="105"/>
        <v xml:space="preserve"> - AGM-88 HARM anti-radar missile</v>
      </c>
      <c r="C198" t="s">
        <v>569</v>
      </c>
      <c r="D198" s="70" t="s">
        <v>36</v>
      </c>
      <c r="E198" s="70" t="s">
        <v>36</v>
      </c>
      <c r="F198" s="70" t="s">
        <v>35</v>
      </c>
      <c r="G198" s="70" t="s">
        <v>35</v>
      </c>
      <c r="H198" s="70" t="s">
        <v>35</v>
      </c>
      <c r="I198" s="430" t="s">
        <v>35</v>
      </c>
      <c r="J198" s="396" t="s">
        <v>569</v>
      </c>
      <c r="K198" s="396" t="s">
        <v>569</v>
      </c>
      <c r="L198" s="396" t="s">
        <v>36</v>
      </c>
      <c r="M198" s="396" t="s">
        <v>569</v>
      </c>
      <c r="N198" s="396" t="s">
        <v>573</v>
      </c>
      <c r="O198" s="3" t="s">
        <v>35</v>
      </c>
    </row>
    <row r="199" spans="1:15" x14ac:dyDescent="0.35">
      <c r="A199">
        <f t="shared" si="103"/>
        <v>47</v>
      </c>
      <c r="B199" s="123" t="str">
        <f t="shared" si="105"/>
        <v>F35 NATO fighter jet radar invisible</v>
      </c>
      <c r="C199" t="s">
        <v>610</v>
      </c>
      <c r="D199" s="70" t="s">
        <v>36</v>
      </c>
      <c r="E199" s="70" t="s">
        <v>36</v>
      </c>
      <c r="F199" s="70" t="s">
        <v>35</v>
      </c>
      <c r="G199" s="70" t="s">
        <v>35</v>
      </c>
      <c r="H199" s="70" t="s">
        <v>35</v>
      </c>
      <c r="I199" s="70" t="s">
        <v>35</v>
      </c>
      <c r="J199" s="149" t="s">
        <v>611</v>
      </c>
      <c r="K199" s="123" t="s">
        <v>611</v>
      </c>
      <c r="L199" s="123" t="s">
        <v>35</v>
      </c>
      <c r="M199" s="149" t="s">
        <v>611</v>
      </c>
      <c r="N199" s="123" t="s">
        <v>611</v>
      </c>
      <c r="O199" s="3" t="s">
        <v>35</v>
      </c>
    </row>
    <row r="200" spans="1:15" x14ac:dyDescent="0.35">
      <c r="A200">
        <f t="shared" si="103"/>
        <v>48</v>
      </c>
      <c r="B200" s="123" t="str">
        <f t="shared" si="105"/>
        <v xml:space="preserve"> - 25mm gun GAU-22/A</v>
      </c>
      <c r="C200" t="s">
        <v>493</v>
      </c>
      <c r="D200" s="175" t="s">
        <v>35</v>
      </c>
      <c r="E200" s="58" t="s">
        <v>35</v>
      </c>
      <c r="F200" s="70" t="s">
        <v>35</v>
      </c>
      <c r="G200" s="70" t="s">
        <v>36</v>
      </c>
      <c r="H200" s="70" t="s">
        <v>36</v>
      </c>
      <c r="I200" s="70" t="s">
        <v>36</v>
      </c>
      <c r="J200" s="396" t="s">
        <v>640</v>
      </c>
      <c r="K200" s="396" t="s">
        <v>640</v>
      </c>
      <c r="L200" s="396" t="s">
        <v>36</v>
      </c>
      <c r="M200" s="123" t="s">
        <v>35</v>
      </c>
      <c r="N200" s="123" t="s">
        <v>207</v>
      </c>
      <c r="O200" s="3" t="s">
        <v>35</v>
      </c>
    </row>
    <row r="201" spans="1:15" x14ac:dyDescent="0.35">
      <c r="A201">
        <f t="shared" si="103"/>
        <v>49</v>
      </c>
      <c r="B201" s="123" t="str">
        <f t="shared" si="105"/>
        <v>F16 (AM/BM Danish v. for UKR)</v>
      </c>
      <c r="C201" t="s">
        <v>484</v>
      </c>
      <c r="D201" s="70" t="s">
        <v>36</v>
      </c>
      <c r="E201" s="70" t="s">
        <v>36</v>
      </c>
      <c r="F201" s="70" t="s">
        <v>35</v>
      </c>
      <c r="G201" s="70" t="s">
        <v>35</v>
      </c>
      <c r="H201" s="70" t="s">
        <v>35</v>
      </c>
      <c r="I201" s="70" t="s">
        <v>35</v>
      </c>
      <c r="J201" s="149" t="s">
        <v>483</v>
      </c>
      <c r="K201" s="396" t="s">
        <v>483</v>
      </c>
      <c r="L201" s="123" t="s">
        <v>35</v>
      </c>
      <c r="M201" s="149" t="s">
        <v>481</v>
      </c>
      <c r="N201" s="123" t="s">
        <v>481</v>
      </c>
      <c r="O201" s="3" t="s">
        <v>35</v>
      </c>
    </row>
    <row r="202" spans="1:15" x14ac:dyDescent="0.35">
      <c r="A202">
        <f t="shared" si="103"/>
        <v>50</v>
      </c>
      <c r="B202" s="123" t="str">
        <f t="shared" si="105"/>
        <v xml:space="preserve"> - JDAM glider bomb for F16</v>
      </c>
      <c r="C202" s="4" t="s">
        <v>517</v>
      </c>
      <c r="D202" s="175" t="s">
        <v>35</v>
      </c>
      <c r="E202" s="58" t="s">
        <v>35</v>
      </c>
      <c r="F202" s="70" t="s">
        <v>36</v>
      </c>
      <c r="G202" s="70" t="s">
        <v>36</v>
      </c>
      <c r="H202" s="70" t="s">
        <v>36</v>
      </c>
      <c r="I202" s="70" t="s">
        <v>35</v>
      </c>
      <c r="J202" s="428" t="s">
        <v>517</v>
      </c>
      <c r="K202" s="123" t="s">
        <v>35</v>
      </c>
      <c r="L202" s="123" t="s">
        <v>35</v>
      </c>
      <c r="M202" s="123" t="s">
        <v>517</v>
      </c>
      <c r="N202" s="123" t="s">
        <v>517</v>
      </c>
      <c r="O202" s="3" t="s">
        <v>35</v>
      </c>
    </row>
    <row r="203" spans="1:15" x14ac:dyDescent="0.35">
      <c r="A203">
        <f t="shared" si="103"/>
        <v>51</v>
      </c>
      <c r="B203" s="439" t="str">
        <f t="shared" si="105"/>
        <v xml:space="preserve"> - GBU-39 Small Glider Bomb/GLSDB</v>
      </c>
      <c r="C203" s="451" t="s">
        <v>776</v>
      </c>
      <c r="D203" s="441"/>
      <c r="E203" s="449"/>
      <c r="F203" s="71"/>
      <c r="G203" s="71"/>
      <c r="H203" s="71"/>
      <c r="I203" s="71"/>
      <c r="J203" s="450" t="s">
        <v>776</v>
      </c>
      <c r="K203" s="439" t="s">
        <v>35</v>
      </c>
      <c r="L203" s="439" t="s">
        <v>35</v>
      </c>
      <c r="M203" s="439" t="s">
        <v>776</v>
      </c>
      <c r="N203" s="439" t="s">
        <v>776</v>
      </c>
      <c r="O203" s="3" t="s">
        <v>35</v>
      </c>
    </row>
    <row r="204" spans="1:15" x14ac:dyDescent="0.35">
      <c r="A204">
        <f t="shared" si="103"/>
        <v>52</v>
      </c>
      <c r="B204" s="123" t="str">
        <f t="shared" si="105"/>
        <v xml:space="preserve"> - Joint Strike Missile cruise missile</v>
      </c>
      <c r="C204" t="s">
        <v>556</v>
      </c>
      <c r="D204" s="70" t="s">
        <v>36</v>
      </c>
      <c r="E204" s="70" t="s">
        <v>36</v>
      </c>
      <c r="F204" s="70" t="s">
        <v>36</v>
      </c>
      <c r="G204" s="70" t="s">
        <v>35</v>
      </c>
      <c r="H204" s="70" t="s">
        <v>35</v>
      </c>
      <c r="I204" s="70" t="s">
        <v>35</v>
      </c>
      <c r="J204" s="428" t="s">
        <v>557</v>
      </c>
      <c r="K204" s="428" t="s">
        <v>557</v>
      </c>
      <c r="L204" s="123" t="s">
        <v>36</v>
      </c>
      <c r="M204" s="428" t="s">
        <v>557</v>
      </c>
      <c r="N204" s="428" t="s">
        <v>557</v>
      </c>
      <c r="O204" s="3" t="s">
        <v>35</v>
      </c>
    </row>
    <row r="205" spans="1:15" x14ac:dyDescent="0.35">
      <c r="A205">
        <f t="shared" si="103"/>
        <v>53</v>
      </c>
      <c r="B205" s="123" t="str">
        <f t="shared" si="105"/>
        <v xml:space="preserve"> - AGM-65 Maverick land rocket for F16 </v>
      </c>
      <c r="C205" t="s">
        <v>552</v>
      </c>
      <c r="D205" s="175" t="s">
        <v>35</v>
      </c>
      <c r="E205" s="58" t="s">
        <v>35</v>
      </c>
      <c r="F205" s="70" t="s">
        <v>36</v>
      </c>
      <c r="G205" s="70" t="s">
        <v>36</v>
      </c>
      <c r="H205" s="70" t="s">
        <v>36</v>
      </c>
      <c r="I205" s="70" t="s">
        <v>35</v>
      </c>
      <c r="J205" s="428" t="s">
        <v>552</v>
      </c>
      <c r="K205" s="428" t="s">
        <v>552</v>
      </c>
      <c r="L205" s="123" t="s">
        <v>36</v>
      </c>
      <c r="M205" s="428" t="s">
        <v>552</v>
      </c>
      <c r="N205" s="428" t="s">
        <v>552</v>
      </c>
      <c r="O205" s="3" t="s">
        <v>35</v>
      </c>
    </row>
    <row r="206" spans="1:15" x14ac:dyDescent="0.35">
      <c r="A206">
        <f t="shared" si="103"/>
        <v>54</v>
      </c>
      <c r="B206" s="123" t="str">
        <f t="shared" si="105"/>
        <v xml:space="preserve"> - AMRAAM 120 anti-aircraft for F16</v>
      </c>
      <c r="C206" t="s">
        <v>499</v>
      </c>
      <c r="D206" s="70" t="s">
        <v>35</v>
      </c>
      <c r="E206" s="70" t="s">
        <v>36</v>
      </c>
      <c r="F206" s="70" t="s">
        <v>36</v>
      </c>
      <c r="G206" s="70" t="s">
        <v>35</v>
      </c>
      <c r="H206" s="70" t="s">
        <v>35</v>
      </c>
      <c r="I206" s="70" t="s">
        <v>35</v>
      </c>
      <c r="J206" s="396" t="s">
        <v>499</v>
      </c>
      <c r="K206" s="396" t="s">
        <v>499</v>
      </c>
      <c r="L206" s="123" t="s">
        <v>36</v>
      </c>
      <c r="M206" s="123" t="s">
        <v>499</v>
      </c>
      <c r="N206" s="123" t="s">
        <v>499</v>
      </c>
      <c r="O206" s="3" t="s">
        <v>35</v>
      </c>
    </row>
    <row r="207" spans="1:15" x14ac:dyDescent="0.35">
      <c r="A207">
        <f t="shared" si="103"/>
        <v>55</v>
      </c>
      <c r="B207" s="123" t="str">
        <f t="shared" si="105"/>
        <v xml:space="preserve"> - AIM-9 Sidewinder anti-aircraft for F16</v>
      </c>
      <c r="C207" t="s">
        <v>549</v>
      </c>
      <c r="D207" s="70" t="s">
        <v>35</v>
      </c>
      <c r="E207" s="70" t="s">
        <v>36</v>
      </c>
      <c r="F207" s="70" t="s">
        <v>36</v>
      </c>
      <c r="G207" s="70" t="s">
        <v>35</v>
      </c>
      <c r="H207" s="70" t="s">
        <v>35</v>
      </c>
      <c r="I207" s="70" t="s">
        <v>35</v>
      </c>
      <c r="J207" s="396" t="s">
        <v>549</v>
      </c>
      <c r="K207" s="396" t="s">
        <v>549</v>
      </c>
      <c r="L207" s="123" t="s">
        <v>36</v>
      </c>
      <c r="M207" s="123" t="s">
        <v>549</v>
      </c>
      <c r="N207" s="123" t="s">
        <v>549</v>
      </c>
      <c r="O207" s="3" t="s">
        <v>35</v>
      </c>
    </row>
    <row r="208" spans="1:15" x14ac:dyDescent="0.35">
      <c r="A208">
        <f t="shared" si="103"/>
        <v>56</v>
      </c>
      <c r="B208" s="123" t="str">
        <f t="shared" si="105"/>
        <v xml:space="preserve"> - AGM-114 Hellfire missile, any aircraft</v>
      </c>
      <c r="C208" t="s">
        <v>736</v>
      </c>
      <c r="D208" s="70" t="s">
        <v>35</v>
      </c>
      <c r="E208" s="70" t="s">
        <v>36</v>
      </c>
      <c r="F208" s="70" t="s">
        <v>36</v>
      </c>
      <c r="G208" s="70" t="s">
        <v>35</v>
      </c>
      <c r="H208" s="70" t="s">
        <v>35</v>
      </c>
      <c r="I208" s="70" t="s">
        <v>35</v>
      </c>
      <c r="J208" s="396" t="s">
        <v>736</v>
      </c>
      <c r="K208" s="396" t="s">
        <v>736</v>
      </c>
      <c r="L208" s="123" t="s">
        <v>36</v>
      </c>
      <c r="M208" s="396" t="s">
        <v>736</v>
      </c>
      <c r="N208" s="396" t="s">
        <v>736</v>
      </c>
      <c r="O208" s="3" t="s">
        <v>35</v>
      </c>
    </row>
    <row r="209" spans="1:16" x14ac:dyDescent="0.35">
      <c r="A209">
        <f t="shared" si="103"/>
        <v>57</v>
      </c>
      <c r="B209" s="123" t="str">
        <f t="shared" si="105"/>
        <v xml:space="preserve"> - AGM-179 JAGM missile any aircraft</v>
      </c>
      <c r="C209" t="s">
        <v>741</v>
      </c>
      <c r="D209" s="70" t="s">
        <v>35</v>
      </c>
      <c r="E209" s="70" t="s">
        <v>36</v>
      </c>
      <c r="F209" s="70" t="s">
        <v>36</v>
      </c>
      <c r="G209" s="70" t="s">
        <v>35</v>
      </c>
      <c r="H209" s="70" t="s">
        <v>35</v>
      </c>
      <c r="I209" s="70" t="s">
        <v>35</v>
      </c>
      <c r="J209" s="396" t="s">
        <v>741</v>
      </c>
      <c r="K209" s="396" t="s">
        <v>742</v>
      </c>
      <c r="L209" s="123" t="s">
        <v>36</v>
      </c>
      <c r="M209" s="396" t="s">
        <v>742</v>
      </c>
      <c r="N209" s="396" t="s">
        <v>741</v>
      </c>
      <c r="O209" s="3" t="s">
        <v>35</v>
      </c>
    </row>
    <row r="210" spans="1:16" x14ac:dyDescent="0.35">
      <c r="A210">
        <f t="shared" si="103"/>
        <v>58</v>
      </c>
      <c r="B210" s="123" t="str">
        <f t="shared" si="105"/>
        <v xml:space="preserve"> - 20mm gun M61 Vulcan for F16s</v>
      </c>
      <c r="C210" t="s">
        <v>493</v>
      </c>
      <c r="D210" s="175" t="s">
        <v>35</v>
      </c>
      <c r="E210" s="58" t="s">
        <v>35</v>
      </c>
      <c r="F210" s="70" t="s">
        <v>35</v>
      </c>
      <c r="G210" s="70" t="s">
        <v>36</v>
      </c>
      <c r="H210" s="70" t="s">
        <v>36</v>
      </c>
      <c r="I210" s="70" t="s">
        <v>36</v>
      </c>
      <c r="J210" s="123" t="s">
        <v>547</v>
      </c>
      <c r="K210" s="123" t="s">
        <v>547</v>
      </c>
      <c r="L210" s="123" t="s">
        <v>36</v>
      </c>
      <c r="M210" s="123" t="s">
        <v>35</v>
      </c>
      <c r="N210" s="123" t="s">
        <v>207</v>
      </c>
      <c r="O210" s="3" t="s">
        <v>35</v>
      </c>
    </row>
    <row r="211" spans="1:16" x14ac:dyDescent="0.35">
      <c r="A211">
        <f t="shared" si="103"/>
        <v>59</v>
      </c>
      <c r="B211" s="123" t="str">
        <f t="shared" si="105"/>
        <v>B-52 US strategic bomber (legacy)</v>
      </c>
      <c r="C211" t="s">
        <v>679</v>
      </c>
      <c r="D211" s="58" t="s">
        <v>35</v>
      </c>
      <c r="E211" s="58" t="s">
        <v>35</v>
      </c>
      <c r="F211" s="70" t="s">
        <v>35</v>
      </c>
      <c r="G211" s="70" t="s">
        <v>35</v>
      </c>
      <c r="H211" s="70" t="s">
        <v>35</v>
      </c>
      <c r="I211" s="430" t="s">
        <v>35</v>
      </c>
      <c r="J211" s="123" t="s">
        <v>679</v>
      </c>
      <c r="K211" s="123" t="s">
        <v>679</v>
      </c>
      <c r="L211" s="123" t="s">
        <v>36</v>
      </c>
      <c r="M211" s="123" t="s">
        <v>679</v>
      </c>
      <c r="N211" s="123" t="s">
        <v>679</v>
      </c>
      <c r="O211" s="3" t="s">
        <v>35</v>
      </c>
    </row>
    <row r="212" spans="1:16" x14ac:dyDescent="0.35">
      <c r="A212">
        <f t="shared" si="103"/>
        <v>60</v>
      </c>
      <c r="B212" s="123" t="str">
        <f t="shared" si="105"/>
        <v>B-2 Spirit strategic stealth bomber</v>
      </c>
      <c r="C212" s="4" t="s">
        <v>707</v>
      </c>
      <c r="D212" s="175" t="s">
        <v>36</v>
      </c>
      <c r="E212" s="58" t="s">
        <v>35</v>
      </c>
      <c r="F212" s="70" t="s">
        <v>35</v>
      </c>
      <c r="G212" s="70" t="s">
        <v>35</v>
      </c>
      <c r="H212" s="70" t="s">
        <v>35</v>
      </c>
      <c r="I212" s="430" t="s">
        <v>35</v>
      </c>
      <c r="J212" s="123" t="s">
        <v>707</v>
      </c>
      <c r="K212" s="123" t="s">
        <v>707</v>
      </c>
      <c r="L212" s="123" t="s">
        <v>36</v>
      </c>
      <c r="M212" s="123" t="s">
        <v>707</v>
      </c>
      <c r="N212" s="123" t="s">
        <v>707</v>
      </c>
      <c r="O212" s="3" t="s">
        <v>35</v>
      </c>
    </row>
    <row r="213" spans="1:16" x14ac:dyDescent="0.35">
      <c r="A213">
        <f t="shared" si="103"/>
        <v>61</v>
      </c>
      <c r="B213" s="123" t="str">
        <f t="shared" si="105"/>
        <v>Tu-22M3 RUS strategic bomber (legacy)</v>
      </c>
      <c r="C213" t="s">
        <v>677</v>
      </c>
      <c r="D213" s="175" t="s">
        <v>35</v>
      </c>
      <c r="E213" s="58" t="s">
        <v>35</v>
      </c>
      <c r="F213" s="70" t="s">
        <v>35</v>
      </c>
      <c r="G213" s="70" t="s">
        <v>35</v>
      </c>
      <c r="H213" s="70" t="s">
        <v>35</v>
      </c>
      <c r="I213" s="430" t="s">
        <v>35</v>
      </c>
      <c r="J213" s="123" t="s">
        <v>677</v>
      </c>
      <c r="K213" s="123" t="s">
        <v>677</v>
      </c>
      <c r="L213" s="123" t="s">
        <v>36</v>
      </c>
      <c r="M213" s="123" t="s">
        <v>677</v>
      </c>
      <c r="N213" s="123" t="s">
        <v>677</v>
      </c>
      <c r="O213" s="453" t="s">
        <v>805</v>
      </c>
    </row>
    <row r="214" spans="1:16" x14ac:dyDescent="0.35">
      <c r="A214">
        <f t="shared" si="103"/>
        <v>62</v>
      </c>
      <c r="B214" s="123" t="str">
        <f t="shared" si="105"/>
        <v>Su-25 old Rus fighter no midair refuel</v>
      </c>
      <c r="C214" t="s">
        <v>797</v>
      </c>
      <c r="D214" s="175" t="s">
        <v>35</v>
      </c>
      <c r="E214" s="58" t="s">
        <v>35</v>
      </c>
      <c r="F214" s="70" t="s">
        <v>35</v>
      </c>
      <c r="G214" s="70" t="s">
        <v>35</v>
      </c>
      <c r="H214" s="70" t="s">
        <v>35</v>
      </c>
      <c r="I214" s="430" t="s">
        <v>35</v>
      </c>
      <c r="J214" s="123" t="s">
        <v>796</v>
      </c>
      <c r="K214" s="123" t="s">
        <v>796</v>
      </c>
      <c r="L214" s="123" t="s">
        <v>796</v>
      </c>
      <c r="M214" s="123" t="s">
        <v>796</v>
      </c>
      <c r="N214" s="123" t="s">
        <v>795</v>
      </c>
      <c r="O214" s="3" t="s">
        <v>35</v>
      </c>
    </row>
    <row r="215" spans="1:16" x14ac:dyDescent="0.35">
      <c r="A215">
        <f t="shared" si="103"/>
        <v>63</v>
      </c>
      <c r="B215" s="123" t="str">
        <f t="shared" si="105"/>
        <v>Su-35 (Rus main fighter jet)</v>
      </c>
      <c r="C215" t="s">
        <v>599</v>
      </c>
      <c r="D215" s="70" t="s">
        <v>36</v>
      </c>
      <c r="E215" s="70" t="s">
        <v>36</v>
      </c>
      <c r="F215" s="70" t="s">
        <v>35</v>
      </c>
      <c r="G215" s="70" t="s">
        <v>35</v>
      </c>
      <c r="H215" s="70" t="s">
        <v>35</v>
      </c>
      <c r="I215" s="430" t="s">
        <v>35</v>
      </c>
      <c r="J215" s="149" t="s">
        <v>598</v>
      </c>
      <c r="K215" s="123" t="s">
        <v>598</v>
      </c>
      <c r="L215" s="123" t="s">
        <v>35</v>
      </c>
      <c r="M215" s="123" t="s">
        <v>598</v>
      </c>
      <c r="N215" s="123" t="s">
        <v>598</v>
      </c>
      <c r="O215" s="3" t="s">
        <v>35</v>
      </c>
    </row>
    <row r="216" spans="1:16" x14ac:dyDescent="0.35">
      <c r="A216">
        <f t="shared" si="103"/>
        <v>64</v>
      </c>
      <c r="B216" s="123" t="str">
        <f t="shared" si="105"/>
        <v>Su-34 (other Rus  main fighter jet)</v>
      </c>
      <c r="C216" s="4" t="s">
        <v>602</v>
      </c>
      <c r="D216" s="70" t="s">
        <v>36</v>
      </c>
      <c r="E216" s="70" t="s">
        <v>36</v>
      </c>
      <c r="F216" s="70" t="s">
        <v>35</v>
      </c>
      <c r="G216" s="70" t="s">
        <v>35</v>
      </c>
      <c r="H216" s="70" t="s">
        <v>35</v>
      </c>
      <c r="I216" s="430" t="s">
        <v>35</v>
      </c>
      <c r="J216" s="402" t="s">
        <v>601</v>
      </c>
      <c r="K216" s="149" t="s">
        <v>601</v>
      </c>
      <c r="L216" s="123" t="s">
        <v>35</v>
      </c>
      <c r="M216" s="149" t="s">
        <v>601</v>
      </c>
      <c r="N216" s="123" t="s">
        <v>601</v>
      </c>
      <c r="O216" s="3" t="s">
        <v>35</v>
      </c>
    </row>
    <row r="217" spans="1:16" x14ac:dyDescent="0.35">
      <c r="A217">
        <f t="shared" si="103"/>
        <v>65</v>
      </c>
      <c r="B217" s="123" t="str">
        <f t="shared" si="105"/>
        <v xml:space="preserve"> - UMPK Russia’s JDAM on FAB-500</v>
      </c>
      <c r="C217" t="s">
        <v>607</v>
      </c>
      <c r="D217" s="175" t="s">
        <v>35</v>
      </c>
      <c r="E217" s="58" t="s">
        <v>35</v>
      </c>
      <c r="F217" s="70" t="s">
        <v>36</v>
      </c>
      <c r="G217" s="70" t="s">
        <v>36</v>
      </c>
      <c r="H217" s="70" t="s">
        <v>36</v>
      </c>
      <c r="I217" s="70" t="s">
        <v>35</v>
      </c>
      <c r="J217" s="123" t="s">
        <v>605</v>
      </c>
      <c r="K217" s="123" t="s">
        <v>35</v>
      </c>
      <c r="L217" s="123" t="s">
        <v>35</v>
      </c>
      <c r="M217" s="123" t="s">
        <v>604</v>
      </c>
      <c r="N217" s="123" t="s">
        <v>608</v>
      </c>
      <c r="O217" s="3" t="s">
        <v>35</v>
      </c>
    </row>
    <row r="218" spans="1:16" x14ac:dyDescent="0.35">
      <c r="A218">
        <f t="shared" si="103"/>
        <v>66</v>
      </c>
      <c r="B218" s="123" t="str">
        <f t="shared" si="105"/>
        <v xml:space="preserve"> - Kh-69 small cruise missile</v>
      </c>
      <c r="C218" t="s">
        <v>172</v>
      </c>
      <c r="D218" s="70" t="s">
        <v>36</v>
      </c>
      <c r="E218" s="70" t="s">
        <v>36</v>
      </c>
      <c r="F218" s="70" t="s">
        <v>35</v>
      </c>
      <c r="G218" s="70" t="s">
        <v>35</v>
      </c>
      <c r="H218" s="70" t="s">
        <v>35</v>
      </c>
      <c r="I218" s="70" t="s">
        <v>35</v>
      </c>
      <c r="J218" s="123" t="s">
        <v>630</v>
      </c>
      <c r="K218" s="123" t="s">
        <v>630</v>
      </c>
      <c r="L218" s="123" t="s">
        <v>36</v>
      </c>
      <c r="M218" s="123" t="s">
        <v>630</v>
      </c>
      <c r="N218" s="123" t="s">
        <v>629</v>
      </c>
    </row>
    <row r="219" spans="1:16" x14ac:dyDescent="0.35">
      <c r="A219">
        <f t="shared" si="103"/>
        <v>67</v>
      </c>
      <c r="B219" s="123" t="str">
        <f t="shared" si="105"/>
        <v xml:space="preserve"> - 30mm Gryazev-Shipunov GSh-30-1</v>
      </c>
      <c r="C219" t="s">
        <v>172</v>
      </c>
      <c r="D219" s="175" t="s">
        <v>35</v>
      </c>
      <c r="E219" s="58" t="s">
        <v>35</v>
      </c>
      <c r="F219" s="70" t="s">
        <v>35</v>
      </c>
      <c r="G219" s="70" t="s">
        <v>36</v>
      </c>
      <c r="H219" s="70" t="s">
        <v>36</v>
      </c>
      <c r="I219" s="70" t="s">
        <v>36</v>
      </c>
      <c r="J219" s="123" t="s">
        <v>633</v>
      </c>
      <c r="K219" s="123" t="s">
        <v>633</v>
      </c>
      <c r="L219" s="123"/>
      <c r="M219" s="123" t="s">
        <v>35</v>
      </c>
      <c r="N219" s="123" t="s">
        <v>207</v>
      </c>
    </row>
    <row r="220" spans="1:16" x14ac:dyDescent="0.35">
      <c r="A220">
        <f t="shared" si="103"/>
        <v>68</v>
      </c>
      <c r="B220" s="123" t="str">
        <f t="shared" si="105"/>
        <v xml:space="preserve"> - Kh-35 small cruise missile</v>
      </c>
      <c r="C220" t="s">
        <v>670</v>
      </c>
      <c r="D220" s="70" t="s">
        <v>36</v>
      </c>
      <c r="E220" s="70" t="s">
        <v>36</v>
      </c>
      <c r="F220" s="70" t="s">
        <v>35</v>
      </c>
      <c r="G220" s="70" t="s">
        <v>35</v>
      </c>
      <c r="H220" s="70" t="s">
        <v>35</v>
      </c>
      <c r="I220" s="70" t="s">
        <v>35</v>
      </c>
      <c r="J220" s="123" t="s">
        <v>670</v>
      </c>
      <c r="K220" s="123" t="s">
        <v>671</v>
      </c>
      <c r="L220" s="123" t="s">
        <v>672</v>
      </c>
      <c r="M220" s="123" t="s">
        <v>673</v>
      </c>
      <c r="N220" s="149" t="s">
        <v>650</v>
      </c>
      <c r="O220" s="3" t="s">
        <v>35</v>
      </c>
    </row>
    <row r="221" spans="1:16" x14ac:dyDescent="0.35">
      <c r="A221">
        <f t="shared" si="103"/>
        <v>69</v>
      </c>
      <c r="B221" s="123" t="str">
        <f t="shared" si="105"/>
        <v>Ilyushin Il-78 Russian fuel tanker</v>
      </c>
      <c r="C221" t="s">
        <v>786</v>
      </c>
      <c r="D221" s="70" t="s">
        <v>36</v>
      </c>
      <c r="E221" s="58" t="s">
        <v>35</v>
      </c>
      <c r="F221" s="177" t="s">
        <v>35</v>
      </c>
      <c r="G221" s="58" t="s">
        <v>35</v>
      </c>
      <c r="H221" s="58" t="s">
        <v>35</v>
      </c>
      <c r="I221" s="70" t="s">
        <v>35</v>
      </c>
      <c r="J221" t="s">
        <v>784</v>
      </c>
      <c r="K221" t="s">
        <v>784</v>
      </c>
      <c r="L221" s="123" t="s">
        <v>35</v>
      </c>
      <c r="M221" s="123" t="s">
        <v>35</v>
      </c>
      <c r="N221" s="149" t="s">
        <v>784</v>
      </c>
      <c r="O221" t="s">
        <v>782</v>
      </c>
      <c r="P221" t="s">
        <v>783</v>
      </c>
    </row>
    <row r="222" spans="1:16" x14ac:dyDescent="0.35">
      <c r="A222">
        <f t="shared" si="103"/>
        <v>70</v>
      </c>
      <c r="B222" s="123" t="str">
        <f t="shared" si="105"/>
        <v>Boeing KC-46 Pegasus, fuel tanker, transport</v>
      </c>
      <c r="C222" t="s">
        <v>789</v>
      </c>
      <c r="D222" s="70" t="s">
        <v>36</v>
      </c>
      <c r="E222" s="58" t="s">
        <v>35</v>
      </c>
      <c r="F222" s="177" t="s">
        <v>35</v>
      </c>
      <c r="G222" s="58" t="s">
        <v>35</v>
      </c>
      <c r="H222" s="58" t="s">
        <v>35</v>
      </c>
      <c r="I222" s="70" t="s">
        <v>35</v>
      </c>
      <c r="J222" t="s">
        <v>789</v>
      </c>
      <c r="K222" t="s">
        <v>789</v>
      </c>
      <c r="L222" t="s">
        <v>789</v>
      </c>
      <c r="M222" t="s">
        <v>35</v>
      </c>
      <c r="N222" t="s">
        <v>789</v>
      </c>
      <c r="O222" t="s">
        <v>789</v>
      </c>
    </row>
    <row r="223" spans="1:16" x14ac:dyDescent="0.35">
      <c r="A223">
        <f t="shared" si="103"/>
        <v>71</v>
      </c>
      <c r="B223" s="123" t="str">
        <f t="shared" si="105"/>
        <v>AWACS (radar and command legacy)</v>
      </c>
      <c r="C223" t="s">
        <v>686</v>
      </c>
      <c r="D223" s="70" t="s">
        <v>36</v>
      </c>
      <c r="E223" s="58" t="s">
        <v>35</v>
      </c>
      <c r="F223" s="177" t="s">
        <v>35</v>
      </c>
      <c r="G223" s="58" t="s">
        <v>35</v>
      </c>
      <c r="H223" s="58" t="s">
        <v>35</v>
      </c>
      <c r="I223" s="70" t="s">
        <v>35</v>
      </c>
      <c r="J223" t="s">
        <v>685</v>
      </c>
      <c r="K223" t="s">
        <v>685</v>
      </c>
      <c r="L223" s="123" t="s">
        <v>35</v>
      </c>
      <c r="M223" s="123" t="s">
        <v>35</v>
      </c>
      <c r="N223" s="149" t="s">
        <v>685</v>
      </c>
      <c r="O223" s="3" t="s">
        <v>35</v>
      </c>
    </row>
    <row r="224" spans="1:16" x14ac:dyDescent="0.35">
      <c r="A224">
        <f>A223+1</f>
        <v>72</v>
      </c>
      <c r="B224" s="123" t="str">
        <f>B79</f>
        <v>Beriev A-50 (Russian AWACS, legacy)</v>
      </c>
      <c r="C224" s="452" t="s">
        <v>683</v>
      </c>
      <c r="D224" s="70" t="s">
        <v>36</v>
      </c>
      <c r="E224" s="58" t="s">
        <v>35</v>
      </c>
      <c r="F224" s="177" t="s">
        <v>35</v>
      </c>
      <c r="G224" s="58" t="s">
        <v>35</v>
      </c>
      <c r="H224" s="58" t="s">
        <v>35</v>
      </c>
      <c r="I224" s="70" t="s">
        <v>35</v>
      </c>
      <c r="J224" s="149" t="s">
        <v>682</v>
      </c>
      <c r="K224" s="123" t="s">
        <v>684</v>
      </c>
      <c r="L224" s="123" t="s">
        <v>35</v>
      </c>
      <c r="M224" s="123" t="s">
        <v>35</v>
      </c>
      <c r="N224" s="123" t="s">
        <v>682</v>
      </c>
      <c r="O224" s="453" t="s">
        <v>802</v>
      </c>
    </row>
    <row r="225" spans="1:15" x14ac:dyDescent="0.35">
      <c r="A225">
        <f t="shared" si="103"/>
        <v>73</v>
      </c>
      <c r="B225" s="123" t="str">
        <f t="shared" si="105"/>
        <v>Ka-52M Russian combat helicopter</v>
      </c>
      <c r="C225" s="58" t="s">
        <v>701</v>
      </c>
      <c r="D225" s="70" t="s">
        <v>36</v>
      </c>
      <c r="E225" s="70" t="s">
        <v>36</v>
      </c>
      <c r="F225" s="70" t="s">
        <v>35</v>
      </c>
      <c r="G225" s="70" t="s">
        <v>35</v>
      </c>
      <c r="H225" s="70" t="s">
        <v>35</v>
      </c>
      <c r="I225" s="70" t="s">
        <v>35</v>
      </c>
      <c r="J225" s="123" t="s">
        <v>701</v>
      </c>
      <c r="K225" s="123" t="s">
        <v>701</v>
      </c>
      <c r="L225" s="123" t="s">
        <v>35</v>
      </c>
      <c r="M225" s="123" t="s">
        <v>701</v>
      </c>
      <c r="N225" s="123" t="s">
        <v>702</v>
      </c>
      <c r="O225" s="3" t="s">
        <v>35</v>
      </c>
    </row>
    <row r="226" spans="1:15" x14ac:dyDescent="0.35">
      <c r="A226">
        <f t="shared" si="103"/>
        <v>74</v>
      </c>
      <c r="B226" s="123" t="str">
        <f t="shared" si="105"/>
        <v xml:space="preserve"> - Khrizantema-9M123 antitank missile</v>
      </c>
      <c r="C226" s="58" t="s">
        <v>493</v>
      </c>
      <c r="D226" s="70" t="s">
        <v>36</v>
      </c>
      <c r="E226" s="70" t="s">
        <v>36</v>
      </c>
      <c r="F226" s="70" t="s">
        <v>36</v>
      </c>
      <c r="G226" s="70" t="s">
        <v>35</v>
      </c>
      <c r="H226" s="70" t="s">
        <v>35</v>
      </c>
      <c r="I226" s="70" t="s">
        <v>35</v>
      </c>
      <c r="J226" s="123" t="s">
        <v>694</v>
      </c>
      <c r="K226" s="123" t="s">
        <v>694</v>
      </c>
      <c r="L226" s="123" t="s">
        <v>36</v>
      </c>
      <c r="M226" s="123" t="s">
        <v>694</v>
      </c>
      <c r="N226" s="123" t="s">
        <v>493</v>
      </c>
      <c r="O226" s="3" t="s">
        <v>35</v>
      </c>
    </row>
    <row r="227" spans="1:15" x14ac:dyDescent="0.35">
      <c r="A227">
        <f t="shared" si="103"/>
        <v>75</v>
      </c>
      <c r="B227" s="123" t="str">
        <f t="shared" si="105"/>
        <v xml:space="preserve"> - LMUR antitank missile</v>
      </c>
      <c r="C227" s="149" t="s">
        <v>697</v>
      </c>
      <c r="D227" s="70" t="s">
        <v>36</v>
      </c>
      <c r="E227" s="70" t="s">
        <v>36</v>
      </c>
      <c r="F227" s="70" t="s">
        <v>36</v>
      </c>
      <c r="G227" s="70" t="s">
        <v>35</v>
      </c>
      <c r="H227" s="70" t="s">
        <v>35</v>
      </c>
      <c r="I227" s="70" t="s">
        <v>35</v>
      </c>
      <c r="J227" s="123" t="s">
        <v>692</v>
      </c>
      <c r="K227" s="123" t="s">
        <v>697</v>
      </c>
      <c r="L227" s="123" t="s">
        <v>36</v>
      </c>
      <c r="M227" s="123" t="s">
        <v>697</v>
      </c>
      <c r="N227" t="s">
        <v>698</v>
      </c>
      <c r="O227" s="3" t="s">
        <v>35</v>
      </c>
    </row>
    <row r="228" spans="1:15" x14ac:dyDescent="0.35">
      <c r="A228">
        <f t="shared" si="103"/>
        <v>76</v>
      </c>
      <c r="B228" s="123" t="str">
        <f t="shared" si="105"/>
        <v>Mi-28NM Russian combat helicopter</v>
      </c>
      <c r="C228" s="58" t="s">
        <v>705</v>
      </c>
      <c r="D228" s="70" t="s">
        <v>36</v>
      </c>
      <c r="E228" s="70" t="s">
        <v>36</v>
      </c>
      <c r="F228" s="70" t="s">
        <v>35</v>
      </c>
      <c r="G228" s="70" t="s">
        <v>35</v>
      </c>
      <c r="H228" s="70" t="s">
        <v>35</v>
      </c>
      <c r="I228" s="70" t="s">
        <v>35</v>
      </c>
      <c r="J228" s="123" t="s">
        <v>704</v>
      </c>
      <c r="K228" s="123" t="s">
        <v>704</v>
      </c>
      <c r="L228" s="123" t="s">
        <v>35</v>
      </c>
      <c r="M228" s="123" t="s">
        <v>704</v>
      </c>
      <c r="N228" s="123" t="s">
        <v>704</v>
      </c>
      <c r="O228" s="3" t="s">
        <v>35</v>
      </c>
    </row>
    <row r="229" spans="1:15" x14ac:dyDescent="0.35">
      <c r="A229">
        <f t="shared" si="103"/>
        <v>77</v>
      </c>
      <c r="B229" s="123"/>
      <c r="C229" s="58"/>
      <c r="D229" s="70"/>
      <c r="E229" s="58"/>
      <c r="F229" s="177"/>
      <c r="G229" s="58"/>
      <c r="H229" s="58"/>
      <c r="I229" s="70"/>
      <c r="J229" s="123"/>
      <c r="K229" s="123"/>
      <c r="L229" s="123"/>
      <c r="M229" s="123"/>
      <c r="N229" s="123"/>
      <c r="O229" s="3"/>
    </row>
    <row r="230" spans="1:15" x14ac:dyDescent="0.35">
      <c r="A230">
        <f t="shared" si="103"/>
        <v>78</v>
      </c>
      <c r="B230" s="123"/>
      <c r="C230" s="58"/>
      <c r="D230" s="70"/>
      <c r="E230" s="58"/>
      <c r="F230" s="177"/>
      <c r="G230" s="58"/>
      <c r="H230" s="58"/>
      <c r="I230" s="70"/>
      <c r="J230" s="123"/>
      <c r="K230" s="123"/>
      <c r="L230" s="123"/>
      <c r="M230" s="123"/>
      <c r="N230" s="123"/>
      <c r="O230" s="3"/>
    </row>
    <row r="231" spans="1:15" x14ac:dyDescent="0.35">
      <c r="A231">
        <f t="shared" si="103"/>
        <v>79</v>
      </c>
      <c r="B231" s="123"/>
      <c r="J231" s="123"/>
      <c r="K231" s="123"/>
      <c r="L231" s="123"/>
      <c r="M231" s="123"/>
      <c r="N231" s="123"/>
      <c r="O231" s="3"/>
    </row>
    <row r="232" spans="1:15" x14ac:dyDescent="0.35">
      <c r="A232">
        <f t="shared" si="103"/>
        <v>80</v>
      </c>
      <c r="B232" s="123"/>
      <c r="J232" s="123"/>
      <c r="K232" s="123"/>
      <c r="L232" s="123"/>
      <c r="M232" s="123"/>
      <c r="N232" s="123"/>
      <c r="O232" s="3"/>
    </row>
    <row r="233" spans="1:15" x14ac:dyDescent="0.35">
      <c r="A233">
        <f t="shared" si="103"/>
        <v>81</v>
      </c>
      <c r="B233" s="193" t="str">
        <f>B88</f>
        <v>Small short-range drone weapons</v>
      </c>
      <c r="C233" s="197"/>
      <c r="D233" s="197"/>
      <c r="E233" s="197"/>
      <c r="F233" s="197"/>
      <c r="G233" s="197"/>
      <c r="H233" s="197"/>
      <c r="I233" s="197"/>
      <c r="J233" s="189"/>
      <c r="K233" s="189"/>
      <c r="L233" s="189"/>
      <c r="M233" s="392"/>
      <c r="N233" s="189"/>
      <c r="O233" s="3"/>
    </row>
    <row r="234" spans="1:15" x14ac:dyDescent="0.35">
      <c r="A234">
        <f t="shared" si="103"/>
        <v>82</v>
      </c>
      <c r="B234" s="123" t="str">
        <f>B89</f>
        <v>FPV with RPG-7 cheap battery</v>
      </c>
      <c r="C234" s="4" t="s">
        <v>208</v>
      </c>
      <c r="D234" s="4" t="s">
        <v>209</v>
      </c>
      <c r="E234" s="70" t="s">
        <v>35</v>
      </c>
      <c r="F234" s="42" t="s">
        <v>35</v>
      </c>
      <c r="J234" s="123" t="s">
        <v>210</v>
      </c>
      <c r="K234" s="123"/>
      <c r="L234" s="123"/>
      <c r="M234" s="31" t="s">
        <v>213</v>
      </c>
      <c r="N234" s="149" t="s">
        <v>471</v>
      </c>
      <c r="O234" s="3" t="s">
        <v>35</v>
      </c>
    </row>
    <row r="235" spans="1:15" x14ac:dyDescent="0.35">
      <c r="A235">
        <f t="shared" si="103"/>
        <v>83</v>
      </c>
      <c r="B235" s="123" t="str">
        <f>B90</f>
        <v>FPV with RPG-7 expensive battery</v>
      </c>
      <c r="J235" s="123"/>
      <c r="K235" s="123"/>
      <c r="L235" s="123"/>
      <c r="M235" s="51"/>
      <c r="N235" s="123" t="s">
        <v>471</v>
      </c>
      <c r="O235" s="3" t="s">
        <v>35</v>
      </c>
    </row>
    <row r="236" spans="1:15" x14ac:dyDescent="0.35">
      <c r="A236">
        <f t="shared" si="103"/>
        <v>84</v>
      </c>
      <c r="B236" s="123" t="str">
        <f>B91</f>
        <v>Large FPV w. 5 RPG-7 rounds</v>
      </c>
      <c r="C236" s="4" t="s">
        <v>242</v>
      </c>
      <c r="J236" s="123"/>
      <c r="K236" s="123"/>
      <c r="L236" s="123"/>
      <c r="M236" s="51"/>
      <c r="N236" s="123" t="s">
        <v>471</v>
      </c>
      <c r="O236" s="3" t="s">
        <v>35</v>
      </c>
    </row>
    <row r="237" spans="1:15" x14ac:dyDescent="0.35">
      <c r="A237">
        <f t="shared" si="103"/>
        <v>85</v>
      </c>
      <c r="B237" s="123" t="str">
        <f>B92</f>
        <v>Large FPV when mass produced</v>
      </c>
      <c r="C237" s="4"/>
      <c r="J237" s="123"/>
      <c r="K237" s="123"/>
      <c r="L237" s="123"/>
      <c r="M237" s="51"/>
      <c r="N237" s="123"/>
      <c r="O237" s="3"/>
    </row>
    <row r="238" spans="1:15" x14ac:dyDescent="0.35">
      <c r="A238">
        <f t="shared" si="103"/>
        <v>86</v>
      </c>
      <c r="B238" s="123"/>
      <c r="C238" s="4"/>
      <c r="J238" s="123"/>
      <c r="K238" s="123"/>
      <c r="L238" s="123"/>
      <c r="M238" s="51"/>
      <c r="N238" s="123"/>
      <c r="O238" s="3"/>
    </row>
    <row r="239" spans="1:15" x14ac:dyDescent="0.35">
      <c r="A239">
        <f t="shared" si="103"/>
        <v>87</v>
      </c>
      <c r="B239" s="123"/>
      <c r="C239" s="4"/>
      <c r="J239" s="123"/>
      <c r="K239" s="123"/>
      <c r="L239" s="123"/>
      <c r="M239" s="51"/>
      <c r="N239" s="123"/>
      <c r="O239" s="3"/>
    </row>
    <row r="240" spans="1:15" x14ac:dyDescent="0.35">
      <c r="A240">
        <f t="shared" si="103"/>
        <v>88</v>
      </c>
      <c r="B240" s="193" t="str">
        <f t="shared" ref="B240:B248" si="106">B95</f>
        <v>Large long-range drone weapons</v>
      </c>
      <c r="C240" s="197"/>
      <c r="D240" s="197"/>
      <c r="E240" s="197"/>
      <c r="F240" s="197"/>
      <c r="G240" s="197"/>
      <c r="H240" s="197"/>
      <c r="I240" s="197"/>
      <c r="J240" s="189"/>
      <c r="K240" s="189"/>
      <c r="L240" s="189"/>
      <c r="M240" s="392"/>
      <c r="N240" s="189"/>
      <c r="O240" s="3"/>
    </row>
    <row r="241" spans="1:15" x14ac:dyDescent="0.35">
      <c r="A241">
        <f t="shared" si="103"/>
        <v>89</v>
      </c>
      <c r="B241" s="123" t="str">
        <f t="shared" si="106"/>
        <v>Shahed 137</v>
      </c>
      <c r="C241" t="s">
        <v>389</v>
      </c>
      <c r="D241" s="70" t="s">
        <v>36</v>
      </c>
      <c r="E241" s="70" t="s">
        <v>36</v>
      </c>
      <c r="F241" s="70" t="s">
        <v>36</v>
      </c>
      <c r="G241" s="70" t="s">
        <v>35</v>
      </c>
      <c r="H241" s="70" t="s">
        <v>35</v>
      </c>
      <c r="I241" s="70" t="s">
        <v>35</v>
      </c>
      <c r="J241" s="123" t="s">
        <v>391</v>
      </c>
      <c r="K241" s="123" t="s">
        <v>392</v>
      </c>
      <c r="L241" s="123" t="s">
        <v>36</v>
      </c>
      <c r="M241" s="31" t="s">
        <v>389</v>
      </c>
      <c r="N241" s="123" t="s">
        <v>472</v>
      </c>
      <c r="O241" s="3" t="s">
        <v>35</v>
      </c>
    </row>
    <row r="242" spans="1:15" x14ac:dyDescent="0.35">
      <c r="A242">
        <f t="shared" si="103"/>
        <v>90</v>
      </c>
      <c r="B242" s="123" t="str">
        <f t="shared" si="106"/>
        <v>Shahed when mass produced like car</v>
      </c>
      <c r="C242" t="s">
        <v>583</v>
      </c>
      <c r="D242" s="175" t="s">
        <v>35</v>
      </c>
      <c r="E242" s="58" t="s">
        <v>35</v>
      </c>
      <c r="F242" s="70" t="s">
        <v>35</v>
      </c>
      <c r="G242" s="70" t="s">
        <v>36</v>
      </c>
      <c r="H242" s="70" t="s">
        <v>36</v>
      </c>
      <c r="I242" s="70" t="s">
        <v>35</v>
      </c>
      <c r="J242" s="123" t="s">
        <v>343</v>
      </c>
      <c r="K242" s="123" t="s">
        <v>343</v>
      </c>
      <c r="L242" s="123" t="s">
        <v>343</v>
      </c>
      <c r="M242" s="123" t="s">
        <v>343</v>
      </c>
      <c r="N242" s="123" t="s">
        <v>584</v>
      </c>
      <c r="O242" s="3"/>
    </row>
    <row r="243" spans="1:15" x14ac:dyDescent="0.35">
      <c r="A243">
        <f t="shared" si="103"/>
        <v>91</v>
      </c>
      <c r="B243" s="123" t="str">
        <f t="shared" si="106"/>
        <v>Lancet kamikaze drone</v>
      </c>
      <c r="C243" t="s">
        <v>387</v>
      </c>
      <c r="D243" s="70" t="s">
        <v>36</v>
      </c>
      <c r="E243" s="70" t="s">
        <v>36</v>
      </c>
      <c r="F243" s="70" t="s">
        <v>36</v>
      </c>
      <c r="G243" s="70" t="s">
        <v>35</v>
      </c>
      <c r="H243" s="70" t="s">
        <v>35</v>
      </c>
      <c r="I243" s="70" t="s">
        <v>35</v>
      </c>
      <c r="J243" s="123" t="s">
        <v>388</v>
      </c>
      <c r="K243" s="123" t="s">
        <v>388</v>
      </c>
      <c r="L243" s="123" t="s">
        <v>387</v>
      </c>
      <c r="M243" s="51" t="s">
        <v>387</v>
      </c>
      <c r="N243" s="123" t="s">
        <v>474</v>
      </c>
      <c r="O243" s="3" t="s">
        <v>35</v>
      </c>
    </row>
    <row r="244" spans="1:15" x14ac:dyDescent="0.35">
      <c r="A244">
        <f t="shared" si="103"/>
        <v>92</v>
      </c>
      <c r="B244" s="123" t="str">
        <f t="shared" si="106"/>
        <v>Lancet when mass produced like car</v>
      </c>
      <c r="C244" t="s">
        <v>583</v>
      </c>
      <c r="D244" s="175" t="s">
        <v>35</v>
      </c>
      <c r="E244" s="58" t="s">
        <v>35</v>
      </c>
      <c r="F244" s="70" t="s">
        <v>35</v>
      </c>
      <c r="G244" s="70" t="s">
        <v>36</v>
      </c>
      <c r="H244" s="70" t="s">
        <v>36</v>
      </c>
      <c r="I244" s="70" t="s">
        <v>35</v>
      </c>
      <c r="J244" s="123" t="s">
        <v>343</v>
      </c>
      <c r="K244" s="123" t="s">
        <v>343</v>
      </c>
      <c r="L244" s="123" t="s">
        <v>343</v>
      </c>
      <c r="M244" s="123" t="s">
        <v>343</v>
      </c>
      <c r="N244" s="123" t="s">
        <v>584</v>
      </c>
      <c r="O244" s="3"/>
    </row>
    <row r="245" spans="1:15" x14ac:dyDescent="0.35">
      <c r="A245">
        <f t="shared" si="103"/>
        <v>93</v>
      </c>
      <c r="B245" s="123" t="str">
        <f t="shared" si="106"/>
        <v>Enterprise by AeroDrone</v>
      </c>
      <c r="C245" t="s">
        <v>394</v>
      </c>
      <c r="D245" s="70" t="s">
        <v>36</v>
      </c>
      <c r="E245" s="70" t="s">
        <v>36</v>
      </c>
      <c r="F245" s="70" t="s">
        <v>36</v>
      </c>
      <c r="G245" s="70" t="s">
        <v>36</v>
      </c>
      <c r="H245" s="70" t="s">
        <v>35</v>
      </c>
      <c r="I245" s="70" t="s">
        <v>35</v>
      </c>
      <c r="J245" s="123" t="s">
        <v>394</v>
      </c>
      <c r="K245" s="123" t="s">
        <v>207</v>
      </c>
      <c r="L245" s="123" t="s">
        <v>36</v>
      </c>
      <c r="M245" s="51" t="s">
        <v>394</v>
      </c>
      <c r="N245" s="123" t="s">
        <v>477</v>
      </c>
      <c r="O245" s="3" t="s">
        <v>35</v>
      </c>
    </row>
    <row r="246" spans="1:15" x14ac:dyDescent="0.35">
      <c r="A246">
        <f t="shared" si="103"/>
        <v>94</v>
      </c>
      <c r="B246" s="123" t="str">
        <f t="shared" si="106"/>
        <v>Liutyi UAV</v>
      </c>
      <c r="C246" s="4" t="s">
        <v>568</v>
      </c>
      <c r="D246" s="70" t="s">
        <v>36</v>
      </c>
      <c r="E246" s="70" t="s">
        <v>36</v>
      </c>
      <c r="F246" s="70" t="s">
        <v>36</v>
      </c>
      <c r="G246" s="70" t="s">
        <v>36</v>
      </c>
      <c r="H246" s="70" t="s">
        <v>35</v>
      </c>
      <c r="I246" s="70" t="s">
        <v>35</v>
      </c>
      <c r="J246" s="149" t="s">
        <v>396</v>
      </c>
      <c r="K246" s="123" t="s">
        <v>207</v>
      </c>
      <c r="L246" s="123" t="s">
        <v>36</v>
      </c>
      <c r="M246" s="51" t="s">
        <v>568</v>
      </c>
      <c r="N246" s="123" t="s">
        <v>478</v>
      </c>
      <c r="O246" s="3" t="s">
        <v>35</v>
      </c>
    </row>
    <row r="247" spans="1:15" x14ac:dyDescent="0.35">
      <c r="A247">
        <f t="shared" si="103"/>
        <v>95</v>
      </c>
      <c r="B247" s="123" t="str">
        <f t="shared" si="106"/>
        <v>RQ-180 US "armed" stealth drone</v>
      </c>
      <c r="C247" t="s">
        <v>749</v>
      </c>
      <c r="D247" s="70" t="s">
        <v>35</v>
      </c>
      <c r="E247" s="70" t="s">
        <v>35</v>
      </c>
      <c r="F247" s="70" t="s">
        <v>35</v>
      </c>
      <c r="G247" s="70" t="s">
        <v>35</v>
      </c>
      <c r="H247" s="70" t="s">
        <v>35</v>
      </c>
      <c r="I247" s="70" t="s">
        <v>35</v>
      </c>
      <c r="J247" s="123" t="s">
        <v>720</v>
      </c>
      <c r="K247" s="123" t="s">
        <v>207</v>
      </c>
      <c r="L247" s="123" t="s">
        <v>720</v>
      </c>
      <c r="M247" s="51" t="s">
        <v>719</v>
      </c>
      <c r="N247" s="123" t="s">
        <v>207</v>
      </c>
      <c r="O247" s="3" t="s">
        <v>35</v>
      </c>
    </row>
    <row r="248" spans="1:15" x14ac:dyDescent="0.35">
      <c r="A248">
        <f t="shared" si="103"/>
        <v>96</v>
      </c>
      <c r="B248" s="123" t="str">
        <f t="shared" si="106"/>
        <v>IAI Heron Israeli armed drone</v>
      </c>
      <c r="C248" t="s">
        <v>747</v>
      </c>
      <c r="D248" s="70" t="s">
        <v>36</v>
      </c>
      <c r="E248" s="70" t="s">
        <v>35</v>
      </c>
      <c r="F248" s="70" t="s">
        <v>35</v>
      </c>
      <c r="G248" s="70" t="s">
        <v>35</v>
      </c>
      <c r="H248" s="70" t="s">
        <v>35</v>
      </c>
      <c r="I248" s="70" t="s">
        <v>35</v>
      </c>
      <c r="J248" s="123" t="s">
        <v>36</v>
      </c>
      <c r="K248" s="149" t="s">
        <v>723</v>
      </c>
      <c r="L248" s="123" t="s">
        <v>723</v>
      </c>
      <c r="M248" s="51"/>
      <c r="N248" s="51"/>
      <c r="O248" s="3" t="s">
        <v>35</v>
      </c>
    </row>
    <row r="249" spans="1:15" x14ac:dyDescent="0.35">
      <c r="A249">
        <f t="shared" si="103"/>
        <v>97</v>
      </c>
      <c r="B249" s="123"/>
      <c r="J249" s="123"/>
      <c r="K249" s="123"/>
      <c r="L249" s="123"/>
      <c r="M249" s="51"/>
      <c r="N249" s="123"/>
      <c r="O249" s="3"/>
    </row>
    <row r="250" spans="1:15" x14ac:dyDescent="0.35">
      <c r="A250">
        <f t="shared" si="103"/>
        <v>98</v>
      </c>
      <c r="B250" s="123"/>
      <c r="J250" s="123"/>
      <c r="K250" s="123"/>
      <c r="L250" s="123"/>
      <c r="M250" s="51"/>
      <c r="N250" s="123"/>
      <c r="O250" s="3"/>
    </row>
    <row r="251" spans="1:15" x14ac:dyDescent="0.35">
      <c r="A251">
        <f t="shared" si="103"/>
        <v>99</v>
      </c>
      <c r="B251" s="193" t="str">
        <f t="shared" ref="B251:B259" si="107">B106</f>
        <v>Large long-range missiles</v>
      </c>
      <c r="C251" s="187"/>
      <c r="D251" s="187"/>
      <c r="E251" s="192"/>
      <c r="F251" s="192"/>
      <c r="G251" s="192"/>
      <c r="H251" s="187"/>
      <c r="I251" s="188"/>
      <c r="J251" s="390"/>
      <c r="K251" s="390"/>
      <c r="L251" s="390"/>
      <c r="M251" s="393"/>
      <c r="N251" s="391"/>
    </row>
    <row r="252" spans="1:15" x14ac:dyDescent="0.35">
      <c r="A252">
        <f t="shared" si="103"/>
        <v>100</v>
      </c>
      <c r="B252" s="123" t="str">
        <f t="shared" si="107"/>
        <v>Storm Shadow UK air launched cruise m.</v>
      </c>
      <c r="C252" s="4" t="s">
        <v>383</v>
      </c>
      <c r="D252" s="70" t="s">
        <v>36</v>
      </c>
      <c r="E252" s="70" t="s">
        <v>36</v>
      </c>
      <c r="F252" s="70" t="s">
        <v>35</v>
      </c>
      <c r="G252" s="70" t="s">
        <v>35</v>
      </c>
      <c r="H252" s="70" t="s">
        <v>35</v>
      </c>
      <c r="I252" s="70" t="s">
        <v>35</v>
      </c>
      <c r="J252" s="123" t="s">
        <v>383</v>
      </c>
      <c r="K252" s="123" t="s">
        <v>383</v>
      </c>
      <c r="L252" s="123" t="s">
        <v>383</v>
      </c>
      <c r="M252" s="149" t="s">
        <v>383</v>
      </c>
      <c r="N252" s="123" t="s">
        <v>465</v>
      </c>
      <c r="O252" s="3" t="s">
        <v>35</v>
      </c>
    </row>
    <row r="253" spans="1:15" x14ac:dyDescent="0.35">
      <c r="A253">
        <f t="shared" si="103"/>
        <v>101</v>
      </c>
      <c r="B253" s="123" t="str">
        <f t="shared" si="107"/>
        <v>Tomahawk US navy cruise missile</v>
      </c>
      <c r="C253" s="4" t="s">
        <v>462</v>
      </c>
      <c r="D253" s="70" t="s">
        <v>36</v>
      </c>
      <c r="E253" s="70" t="s">
        <v>36</v>
      </c>
      <c r="F253" s="70" t="s">
        <v>35</v>
      </c>
      <c r="G253" s="70" t="s">
        <v>35</v>
      </c>
      <c r="H253" s="70" t="s">
        <v>35</v>
      </c>
      <c r="I253" s="70" t="s">
        <v>35</v>
      </c>
      <c r="J253" s="123" t="s">
        <v>462</v>
      </c>
      <c r="K253" s="123" t="s">
        <v>462</v>
      </c>
      <c r="L253" s="123" t="s">
        <v>36</v>
      </c>
      <c r="M253" s="123" t="s">
        <v>462</v>
      </c>
      <c r="N253" s="123" t="s">
        <v>207</v>
      </c>
      <c r="O253" t="s">
        <v>546</v>
      </c>
    </row>
    <row r="254" spans="1:15" x14ac:dyDescent="0.35">
      <c r="A254">
        <f t="shared" si="103"/>
        <v>102</v>
      </c>
      <c r="B254" s="123" t="str">
        <f t="shared" si="107"/>
        <v>AGM-158 JASSM stealth cruise m. F16</v>
      </c>
      <c r="C254" s="4" t="s">
        <v>708</v>
      </c>
      <c r="D254" s="70" t="s">
        <v>36</v>
      </c>
      <c r="E254" s="70"/>
      <c r="F254" s="70" t="s">
        <v>35</v>
      </c>
      <c r="G254" s="70" t="s">
        <v>35</v>
      </c>
      <c r="H254" s="70" t="s">
        <v>35</v>
      </c>
      <c r="I254" s="70" t="s">
        <v>35</v>
      </c>
      <c r="J254" s="123" t="s">
        <v>708</v>
      </c>
      <c r="K254" s="123" t="s">
        <v>712</v>
      </c>
      <c r="L254" s="123" t="s">
        <v>35</v>
      </c>
      <c r="M254" s="123" t="s">
        <v>708</v>
      </c>
      <c r="N254" s="123" t="s">
        <v>708</v>
      </c>
      <c r="O254" s="3" t="s">
        <v>35</v>
      </c>
    </row>
    <row r="255" spans="1:15" x14ac:dyDescent="0.35">
      <c r="A255">
        <f t="shared" si="103"/>
        <v>103</v>
      </c>
      <c r="B255" s="123" t="str">
        <f t="shared" si="107"/>
        <v>AGM-158 JASSM-ER stealth cruise m. F16</v>
      </c>
      <c r="C255" s="4" t="s">
        <v>708</v>
      </c>
      <c r="D255" s="70" t="s">
        <v>36</v>
      </c>
      <c r="E255" s="70"/>
      <c r="F255" s="70" t="s">
        <v>35</v>
      </c>
      <c r="G255" s="70" t="s">
        <v>35</v>
      </c>
      <c r="H255" s="70" t="s">
        <v>35</v>
      </c>
      <c r="I255" s="70" t="s">
        <v>35</v>
      </c>
      <c r="J255" s="123" t="s">
        <v>708</v>
      </c>
      <c r="K255" s="123" t="s">
        <v>712</v>
      </c>
      <c r="L255" s="123" t="s">
        <v>35</v>
      </c>
      <c r="M255" s="123" t="s">
        <v>708</v>
      </c>
      <c r="N255" s="123" t="s">
        <v>708</v>
      </c>
      <c r="O255" s="3" t="s">
        <v>35</v>
      </c>
    </row>
    <row r="256" spans="1:15" x14ac:dyDescent="0.35">
      <c r="A256">
        <f t="shared" si="103"/>
        <v>104</v>
      </c>
      <c r="B256" s="123" t="str">
        <f t="shared" si="107"/>
        <v>MGM-140 ATACMS, land launched</v>
      </c>
      <c r="C256" s="4" t="s">
        <v>457</v>
      </c>
      <c r="D256" s="70" t="s">
        <v>35</v>
      </c>
      <c r="E256" s="70" t="s">
        <v>36</v>
      </c>
      <c r="F256" s="70" t="s">
        <v>36</v>
      </c>
      <c r="G256" s="70" t="s">
        <v>35</v>
      </c>
      <c r="H256" s="70" t="s">
        <v>35</v>
      </c>
      <c r="I256" s="70" t="s">
        <v>35</v>
      </c>
      <c r="J256" s="149" t="s">
        <v>457</v>
      </c>
      <c r="K256" s="123" t="s">
        <v>457</v>
      </c>
      <c r="L256" s="388" t="s">
        <v>36</v>
      </c>
      <c r="M256" s="123" t="s">
        <v>457</v>
      </c>
      <c r="N256" s="123" t="s">
        <v>457</v>
      </c>
      <c r="O256" s="3" t="s">
        <v>35</v>
      </c>
    </row>
    <row r="257" spans="1:15" x14ac:dyDescent="0.35">
      <c r="A257">
        <f t="shared" si="103"/>
        <v>105</v>
      </c>
      <c r="B257" s="123" t="str">
        <f t="shared" si="107"/>
        <v>PrSM (ATACMS replacement)</v>
      </c>
      <c r="C257" t="s">
        <v>172</v>
      </c>
      <c r="D257" s="70" t="s">
        <v>35</v>
      </c>
      <c r="E257" s="70" t="s">
        <v>36</v>
      </c>
      <c r="F257" s="70" t="s">
        <v>36</v>
      </c>
      <c r="G257" s="70" t="s">
        <v>35</v>
      </c>
      <c r="H257" s="70" t="s">
        <v>35</v>
      </c>
      <c r="I257" s="434" t="s">
        <v>725</v>
      </c>
      <c r="J257" s="149" t="s">
        <v>439</v>
      </c>
      <c r="K257" s="123" t="s">
        <v>207</v>
      </c>
      <c r="L257" s="388" t="s">
        <v>36</v>
      </c>
      <c r="M257" s="123" t="s">
        <v>207</v>
      </c>
      <c r="N257" s="123" t="s">
        <v>447</v>
      </c>
      <c r="O257" s="3" t="s">
        <v>35</v>
      </c>
    </row>
    <row r="258" spans="1:15" x14ac:dyDescent="0.35">
      <c r="A258">
        <f t="shared" si="103"/>
        <v>106</v>
      </c>
      <c r="B258" s="123" t="str">
        <f t="shared" si="107"/>
        <v>Taurus GE KEPD air launched cruise m.</v>
      </c>
      <c r="C258" t="s">
        <v>565</v>
      </c>
      <c r="D258" s="70" t="s">
        <v>36</v>
      </c>
      <c r="E258" s="70" t="s">
        <v>36</v>
      </c>
      <c r="F258" s="70" t="s">
        <v>35</v>
      </c>
      <c r="G258" s="70" t="s">
        <v>35</v>
      </c>
      <c r="H258" s="70" t="s">
        <v>35</v>
      </c>
      <c r="I258" s="70" t="s">
        <v>35</v>
      </c>
      <c r="J258" s="123" t="s">
        <v>561</v>
      </c>
      <c r="K258" s="123" t="s">
        <v>562</v>
      </c>
      <c r="L258" s="123" t="s">
        <v>36</v>
      </c>
      <c r="M258" s="123" t="s">
        <v>563</v>
      </c>
      <c r="N258" s="123" t="s">
        <v>564</v>
      </c>
      <c r="O258" s="3" t="s">
        <v>35</v>
      </c>
    </row>
    <row r="259" spans="1:15" x14ac:dyDescent="0.35">
      <c r="A259">
        <f t="shared" si="103"/>
        <v>107</v>
      </c>
      <c r="B259" s="123" t="str">
        <f t="shared" si="107"/>
        <v>Iskander Rus ballistic missile ground l.</v>
      </c>
      <c r="C259" t="s">
        <v>613</v>
      </c>
      <c r="D259" s="70" t="s">
        <v>36</v>
      </c>
      <c r="E259" s="70" t="s">
        <v>36</v>
      </c>
      <c r="F259" s="70" t="s">
        <v>35</v>
      </c>
      <c r="G259" s="70" t="s">
        <v>35</v>
      </c>
      <c r="H259" s="70" t="s">
        <v>35</v>
      </c>
      <c r="I259" s="70" t="s">
        <v>35</v>
      </c>
      <c r="J259" s="123" t="s">
        <v>613</v>
      </c>
      <c r="K259" s="123" t="s">
        <v>613</v>
      </c>
      <c r="L259" s="123" t="s">
        <v>36</v>
      </c>
      <c r="M259" s="123" t="s">
        <v>613</v>
      </c>
      <c r="N259" s="123" t="s">
        <v>649</v>
      </c>
      <c r="O259" s="3" t="s">
        <v>35</v>
      </c>
    </row>
    <row r="260" spans="1:15" x14ac:dyDescent="0.35">
      <c r="A260">
        <f t="shared" si="103"/>
        <v>108</v>
      </c>
      <c r="B260" s="123" t="s">
        <v>651</v>
      </c>
      <c r="C260" t="s">
        <v>654</v>
      </c>
      <c r="D260" s="70" t="s">
        <v>36</v>
      </c>
      <c r="E260" s="70" t="s">
        <v>36</v>
      </c>
      <c r="F260" s="70" t="s">
        <v>35</v>
      </c>
      <c r="G260" s="70" t="s">
        <v>35</v>
      </c>
      <c r="H260" s="70" t="s">
        <v>35</v>
      </c>
      <c r="I260" s="70" t="s">
        <v>35</v>
      </c>
      <c r="J260" s="123" t="s">
        <v>654</v>
      </c>
      <c r="K260" s="123" t="s">
        <v>654</v>
      </c>
      <c r="L260" s="123" t="s">
        <v>36</v>
      </c>
      <c r="M260" s="123" t="s">
        <v>654</v>
      </c>
      <c r="N260" s="123" t="s">
        <v>650</v>
      </c>
      <c r="O260" s="3" t="s">
        <v>35</v>
      </c>
    </row>
    <row r="261" spans="1:15" x14ac:dyDescent="0.35">
      <c r="A261">
        <f t="shared" si="103"/>
        <v>109</v>
      </c>
      <c r="B261" s="123" t="str">
        <f>B116</f>
        <v>Kh-101 cruise missile air launched</v>
      </c>
      <c r="C261" t="s">
        <v>625</v>
      </c>
      <c r="D261" s="70" t="s">
        <v>36</v>
      </c>
      <c r="E261" s="70" t="s">
        <v>36</v>
      </c>
      <c r="F261" s="70" t="s">
        <v>35</v>
      </c>
      <c r="G261" s="70" t="s">
        <v>35</v>
      </c>
      <c r="H261" s="70" t="s">
        <v>35</v>
      </c>
      <c r="I261" s="70" t="s">
        <v>35</v>
      </c>
      <c r="J261" s="123" t="s">
        <v>622</v>
      </c>
      <c r="K261" s="123" t="s">
        <v>623</v>
      </c>
      <c r="L261" s="123" t="s">
        <v>36</v>
      </c>
      <c r="M261" s="123" t="s">
        <v>624</v>
      </c>
      <c r="N261" s="123" t="s">
        <v>620</v>
      </c>
      <c r="O261" t="s">
        <v>621</v>
      </c>
    </row>
    <row r="262" spans="1:15" x14ac:dyDescent="0.35">
      <c r="A262">
        <f t="shared" si="103"/>
        <v>110</v>
      </c>
      <c r="B262" s="123" t="str">
        <f>B117</f>
        <v>Kalibr sea launched</v>
      </c>
      <c r="C262" t="s">
        <v>655</v>
      </c>
      <c r="D262" s="70" t="s">
        <v>36</v>
      </c>
      <c r="E262" s="70" t="s">
        <v>36</v>
      </c>
      <c r="F262" s="70" t="s">
        <v>35</v>
      </c>
      <c r="G262" s="70" t="s">
        <v>35</v>
      </c>
      <c r="H262" s="70" t="s">
        <v>35</v>
      </c>
      <c r="I262" s="70" t="s">
        <v>35</v>
      </c>
      <c r="J262" s="123" t="s">
        <v>655</v>
      </c>
      <c r="K262" s="123" t="s">
        <v>655</v>
      </c>
      <c r="L262" s="123" t="s">
        <v>36</v>
      </c>
      <c r="M262" s="123" t="s">
        <v>655</v>
      </c>
      <c r="N262" s="123" t="s">
        <v>650</v>
      </c>
      <c r="O262" s="3" t="s">
        <v>35</v>
      </c>
    </row>
    <row r="263" spans="1:15" x14ac:dyDescent="0.35">
      <c r="A263">
        <f t="shared" si="103"/>
        <v>111</v>
      </c>
      <c r="B263" s="123" t="str">
        <f>B118</f>
        <v>Kh-47M2 Kinzhal air launched</v>
      </c>
      <c r="C263" t="s">
        <v>641</v>
      </c>
      <c r="D263" s="70" t="s">
        <v>36</v>
      </c>
      <c r="E263" s="70" t="s">
        <v>36</v>
      </c>
      <c r="F263" s="70" t="s">
        <v>35</v>
      </c>
      <c r="G263" s="70" t="s">
        <v>35</v>
      </c>
      <c r="H263" s="70" t="s">
        <v>35</v>
      </c>
      <c r="I263" s="70" t="s">
        <v>35</v>
      </c>
      <c r="J263" s="123" t="s">
        <v>641</v>
      </c>
      <c r="K263" s="123" t="s">
        <v>641</v>
      </c>
      <c r="L263" s="123" t="s">
        <v>36</v>
      </c>
      <c r="M263" s="123" t="s">
        <v>642</v>
      </c>
      <c r="N263" s="123" t="s">
        <v>643</v>
      </c>
      <c r="O263" s="3" t="s">
        <v>35</v>
      </c>
    </row>
    <row r="264" spans="1:15" x14ac:dyDescent="0.35">
      <c r="A264">
        <f t="shared" si="103"/>
        <v>112</v>
      </c>
      <c r="B264" s="123"/>
      <c r="D264" s="70"/>
      <c r="E264" s="70"/>
      <c r="F264" s="70"/>
      <c r="G264" s="70"/>
      <c r="H264" s="70"/>
      <c r="I264" s="70"/>
      <c r="J264" s="123"/>
      <c r="K264" s="123"/>
      <c r="L264" s="123"/>
      <c r="M264" s="123"/>
      <c r="N264" s="123"/>
      <c r="O264" s="3" t="s">
        <v>35</v>
      </c>
    </row>
    <row r="265" spans="1:15" x14ac:dyDescent="0.35">
      <c r="A265">
        <f t="shared" si="103"/>
        <v>113</v>
      </c>
      <c r="B265" s="123"/>
      <c r="D265" s="70"/>
      <c r="E265" s="70"/>
      <c r="F265" s="70"/>
      <c r="G265" s="70"/>
      <c r="H265" s="70"/>
      <c r="I265" s="70"/>
      <c r="J265" s="123"/>
      <c r="K265" s="123"/>
      <c r="L265" s="123"/>
      <c r="M265" s="123"/>
      <c r="N265" s="123"/>
      <c r="O265" s="3" t="s">
        <v>35</v>
      </c>
    </row>
    <row r="266" spans="1:15" x14ac:dyDescent="0.35">
      <c r="A266">
        <f t="shared" si="103"/>
        <v>114</v>
      </c>
      <c r="B266" s="123"/>
      <c r="D266" s="70"/>
      <c r="E266" s="70"/>
      <c r="F266" s="70"/>
      <c r="G266" s="70"/>
      <c r="H266" s="70"/>
      <c r="I266" s="70"/>
      <c r="J266" s="123"/>
      <c r="K266" s="123"/>
      <c r="L266" s="123"/>
      <c r="M266" s="123"/>
      <c r="N266" s="123"/>
      <c r="O266" s="3" t="s">
        <v>35</v>
      </c>
    </row>
    <row r="267" spans="1:15" x14ac:dyDescent="0.35">
      <c r="A267">
        <f t="shared" si="103"/>
        <v>115</v>
      </c>
      <c r="B267" s="193" t="s">
        <v>485</v>
      </c>
      <c r="C267" s="187"/>
      <c r="D267" s="191"/>
      <c r="E267" s="191"/>
      <c r="F267" s="199"/>
      <c r="G267" s="421"/>
      <c r="H267" s="186"/>
      <c r="I267" s="423"/>
      <c r="J267" s="398"/>
      <c r="K267" s="400"/>
      <c r="L267" s="395"/>
      <c r="M267" s="194"/>
      <c r="N267" s="194"/>
      <c r="O267" s="3" t="s">
        <v>35</v>
      </c>
    </row>
    <row r="268" spans="1:15" x14ac:dyDescent="0.35">
      <c r="A268">
        <f t="shared" si="103"/>
        <v>116</v>
      </c>
      <c r="B268" s="123" t="str">
        <f t="shared" ref="B268:B282" si="108">B123</f>
        <v>Patriot battery w. radar launchers and control</v>
      </c>
      <c r="C268" t="s">
        <v>487</v>
      </c>
      <c r="D268" s="70" t="s">
        <v>36</v>
      </c>
      <c r="E268" s="70" t="s">
        <v>35</v>
      </c>
      <c r="F268" s="70" t="s">
        <v>35</v>
      </c>
      <c r="G268" s="70" t="s">
        <v>35</v>
      </c>
      <c r="H268" s="70" t="s">
        <v>35</v>
      </c>
      <c r="I268" s="70" t="s">
        <v>35</v>
      </c>
      <c r="J268" s="178" t="s">
        <v>35</v>
      </c>
      <c r="K268" s="178" t="s">
        <v>35</v>
      </c>
      <c r="L268" s="178" t="s">
        <v>35</v>
      </c>
      <c r="M268" s="178" t="s">
        <v>35</v>
      </c>
      <c r="N268" s="123" t="s">
        <v>487</v>
      </c>
      <c r="O268" s="3" t="s">
        <v>35</v>
      </c>
    </row>
    <row r="269" spans="1:15" x14ac:dyDescent="0.35">
      <c r="A269">
        <f t="shared" si="103"/>
        <v>117</v>
      </c>
      <c r="B269" s="123" t="str">
        <f t="shared" si="108"/>
        <v>Patriot PAC-3 MSE missile</v>
      </c>
      <c r="C269" t="s">
        <v>490</v>
      </c>
      <c r="D269" s="70" t="s">
        <v>36</v>
      </c>
      <c r="E269" s="70" t="s">
        <v>36</v>
      </c>
      <c r="F269" s="70" t="s">
        <v>36</v>
      </c>
      <c r="G269" s="70" t="s">
        <v>35</v>
      </c>
      <c r="H269" s="70" t="s">
        <v>35</v>
      </c>
      <c r="I269" s="70" t="s">
        <v>35</v>
      </c>
      <c r="J269" s="123" t="s">
        <v>491</v>
      </c>
      <c r="K269" s="123" t="s">
        <v>491</v>
      </c>
      <c r="L269" s="123" t="s">
        <v>491</v>
      </c>
      <c r="M269" s="123" t="s">
        <v>493</v>
      </c>
      <c r="N269" s="123" t="s">
        <v>491</v>
      </c>
      <c r="O269" s="3" t="s">
        <v>35</v>
      </c>
    </row>
    <row r="270" spans="1:15" x14ac:dyDescent="0.35">
      <c r="A270">
        <f t="shared" si="103"/>
        <v>118</v>
      </c>
      <c r="B270" s="123" t="str">
        <f t="shared" si="108"/>
        <v>NASAMS system</v>
      </c>
      <c r="C270" t="s">
        <v>494</v>
      </c>
      <c r="D270" s="70" t="s">
        <v>36</v>
      </c>
      <c r="E270" s="70" t="s">
        <v>35</v>
      </c>
      <c r="F270" s="70" t="s">
        <v>35</v>
      </c>
      <c r="G270" s="70" t="s">
        <v>35</v>
      </c>
      <c r="H270" s="70" t="s">
        <v>35</v>
      </c>
      <c r="I270" s="70" t="s">
        <v>35</v>
      </c>
      <c r="J270" s="178" t="s">
        <v>35</v>
      </c>
      <c r="K270" s="178" t="s">
        <v>35</v>
      </c>
      <c r="L270" s="178" t="s">
        <v>35</v>
      </c>
      <c r="M270" s="178" t="s">
        <v>35</v>
      </c>
      <c r="N270" s="123" t="s">
        <v>493</v>
      </c>
      <c r="O270" s="3" t="s">
        <v>35</v>
      </c>
    </row>
    <row r="271" spans="1:15" x14ac:dyDescent="0.35">
      <c r="A271">
        <f t="shared" si="103"/>
        <v>119</v>
      </c>
      <c r="B271" s="123" t="str">
        <f t="shared" si="108"/>
        <v>AMRAAM missile for NASAMS</v>
      </c>
      <c r="C271" t="s">
        <v>497</v>
      </c>
      <c r="D271" s="70" t="s">
        <v>36</v>
      </c>
      <c r="E271" s="70" t="s">
        <v>36</v>
      </c>
      <c r="F271" s="70" t="s">
        <v>36</v>
      </c>
      <c r="G271" s="70" t="s">
        <v>36</v>
      </c>
      <c r="H271" s="70" t="s">
        <v>35</v>
      </c>
      <c r="I271" s="70" t="s">
        <v>35</v>
      </c>
      <c r="J271" s="424" t="s">
        <v>499</v>
      </c>
      <c r="K271" s="424" t="s">
        <v>499</v>
      </c>
      <c r="L271" s="424" t="s">
        <v>499</v>
      </c>
      <c r="M271" s="424" t="s">
        <v>499</v>
      </c>
      <c r="N271" s="424" t="s">
        <v>499</v>
      </c>
      <c r="O271" s="3" t="s">
        <v>35</v>
      </c>
    </row>
    <row r="272" spans="1:15" x14ac:dyDescent="0.35">
      <c r="A272">
        <f t="shared" si="103"/>
        <v>120</v>
      </c>
      <c r="B272" s="123" t="str">
        <f t="shared" si="108"/>
        <v>Iris-T SLM system</v>
      </c>
      <c r="C272" t="s">
        <v>497</v>
      </c>
      <c r="D272" s="70" t="s">
        <v>36</v>
      </c>
      <c r="E272" s="70" t="s">
        <v>35</v>
      </c>
      <c r="F272" s="70" t="s">
        <v>35</v>
      </c>
      <c r="G272" s="70" t="s">
        <v>35</v>
      </c>
      <c r="H272" s="70" t="s">
        <v>35</v>
      </c>
      <c r="I272" s="70" t="s">
        <v>35</v>
      </c>
      <c r="J272" s="178" t="s">
        <v>35</v>
      </c>
      <c r="K272" s="178" t="s">
        <v>35</v>
      </c>
      <c r="L272" s="178" t="s">
        <v>35</v>
      </c>
      <c r="M272" s="178" t="s">
        <v>35</v>
      </c>
      <c r="N272" s="123" t="s">
        <v>501</v>
      </c>
      <c r="O272" s="3" t="s">
        <v>35</v>
      </c>
    </row>
    <row r="273" spans="1:15" x14ac:dyDescent="0.35">
      <c r="A273">
        <f t="shared" si="103"/>
        <v>121</v>
      </c>
      <c r="B273" s="123" t="str">
        <f t="shared" si="108"/>
        <v>Hawk missile (legacy no production)</v>
      </c>
      <c r="C273" s="175" t="s">
        <v>35</v>
      </c>
      <c r="D273" s="177" t="s">
        <v>35</v>
      </c>
      <c r="E273" s="58" t="s">
        <v>35</v>
      </c>
      <c r="F273" s="58" t="s">
        <v>35</v>
      </c>
      <c r="G273" s="177" t="s">
        <v>35</v>
      </c>
      <c r="H273" s="175" t="s">
        <v>35</v>
      </c>
      <c r="I273" s="179" t="s">
        <v>35</v>
      </c>
      <c r="J273" s="424" t="s">
        <v>504</v>
      </c>
      <c r="K273" s="424" t="s">
        <v>504</v>
      </c>
      <c r="L273" s="424" t="s">
        <v>504</v>
      </c>
      <c r="M273" s="424" t="s">
        <v>504</v>
      </c>
      <c r="N273" s="424" t="s">
        <v>504</v>
      </c>
      <c r="O273" s="3" t="s">
        <v>35</v>
      </c>
    </row>
    <row r="274" spans="1:15" x14ac:dyDescent="0.35">
      <c r="A274">
        <f t="shared" si="103"/>
        <v>122</v>
      </c>
      <c r="B274" s="123" t="str">
        <f t="shared" si="108"/>
        <v>Gun trucks with radar, 30mm canon</v>
      </c>
      <c r="C274" t="s">
        <v>506</v>
      </c>
      <c r="D274" s="70" t="s">
        <v>36</v>
      </c>
      <c r="E274" s="70" t="s">
        <v>36</v>
      </c>
      <c r="F274" s="70" t="s">
        <v>36</v>
      </c>
      <c r="G274" s="70" t="s">
        <v>36</v>
      </c>
      <c r="H274" s="70" t="s">
        <v>35</v>
      </c>
      <c r="I274" s="70" t="s">
        <v>35</v>
      </c>
      <c r="J274" s="178"/>
      <c r="K274" s="178"/>
      <c r="L274" s="178"/>
      <c r="M274" s="178"/>
      <c r="N274" s="123"/>
      <c r="O274" s="3" t="s">
        <v>35</v>
      </c>
    </row>
    <row r="275" spans="1:15" x14ac:dyDescent="0.35">
      <c r="A275">
        <f t="shared" si="103"/>
        <v>123</v>
      </c>
      <c r="B275" s="123" t="str">
        <f t="shared" si="108"/>
        <v xml:space="preserve">30mm timer shells for M230 cannon </v>
      </c>
      <c r="C275" t="s">
        <v>493</v>
      </c>
      <c r="D275" s="70" t="s">
        <v>36</v>
      </c>
      <c r="E275" s="70" t="s">
        <v>36</v>
      </c>
      <c r="F275" s="70" t="s">
        <v>36</v>
      </c>
      <c r="G275" s="70" t="s">
        <v>36</v>
      </c>
      <c r="H275" s="70" t="s">
        <v>35</v>
      </c>
      <c r="I275" s="70" t="s">
        <v>35</v>
      </c>
      <c r="J275" s="424" t="s">
        <v>507</v>
      </c>
      <c r="K275" s="424" t="s">
        <v>507</v>
      </c>
      <c r="L275" s="424" t="s">
        <v>507</v>
      </c>
      <c r="M275" s="424" t="s">
        <v>507</v>
      </c>
      <c r="N275" s="123"/>
      <c r="O275" s="3" t="s">
        <v>35</v>
      </c>
    </row>
    <row r="276" spans="1:15" x14ac:dyDescent="0.35">
      <c r="A276">
        <f t="shared" si="103"/>
        <v>124</v>
      </c>
      <c r="B276" s="123" t="str">
        <f t="shared" si="108"/>
        <v>Gepard armored vehicle (legacy)</v>
      </c>
      <c r="C276" t="s">
        <v>512</v>
      </c>
      <c r="D276" s="177" t="s">
        <v>35</v>
      </c>
      <c r="E276" s="58" t="s">
        <v>35</v>
      </c>
      <c r="F276" s="58" t="s">
        <v>35</v>
      </c>
      <c r="G276" s="177" t="s">
        <v>35</v>
      </c>
      <c r="H276" s="175" t="s">
        <v>35</v>
      </c>
      <c r="I276" s="179" t="s">
        <v>35</v>
      </c>
      <c r="J276" s="123" t="s">
        <v>512</v>
      </c>
      <c r="K276" s="123" t="s">
        <v>512</v>
      </c>
      <c r="L276" s="178" t="s">
        <v>35</v>
      </c>
      <c r="M276" s="178" t="s">
        <v>35</v>
      </c>
      <c r="N276" s="424" t="s">
        <v>514</v>
      </c>
      <c r="O276" s="3" t="s">
        <v>35</v>
      </c>
    </row>
    <row r="277" spans="1:15" x14ac:dyDescent="0.35">
      <c r="A277">
        <f t="shared" si="103"/>
        <v>125</v>
      </c>
      <c r="B277" s="123" t="str">
        <f t="shared" si="108"/>
        <v>35mm timer shells for Gepard</v>
      </c>
      <c r="C277" t="s">
        <v>513</v>
      </c>
      <c r="D277" s="177" t="s">
        <v>35</v>
      </c>
      <c r="E277" s="58" t="s">
        <v>35</v>
      </c>
      <c r="F277" s="70" t="s">
        <v>36</v>
      </c>
      <c r="G277" s="70" t="s">
        <v>36</v>
      </c>
      <c r="H277" s="70" t="s">
        <v>36</v>
      </c>
      <c r="I277" s="179" t="s">
        <v>35</v>
      </c>
      <c r="J277" s="424" t="s">
        <v>514</v>
      </c>
      <c r="K277" s="438" t="s">
        <v>516</v>
      </c>
      <c r="L277" s="123" t="s">
        <v>36</v>
      </c>
      <c r="M277" s="438" t="s">
        <v>516</v>
      </c>
      <c r="N277" s="424" t="s">
        <v>239</v>
      </c>
      <c r="O277" s="3" t="s">
        <v>35</v>
      </c>
    </row>
    <row r="278" spans="1:15" x14ac:dyDescent="0.35">
      <c r="A278">
        <f t="shared" si="103"/>
        <v>126</v>
      </c>
      <c r="B278" s="123" t="str">
        <f t="shared" si="108"/>
        <v>Skynex 35 mm anti-aircraft gun system</v>
      </c>
      <c r="C278" s="4" t="s">
        <v>755</v>
      </c>
      <c r="D278" s="177" t="s">
        <v>35</v>
      </c>
      <c r="E278" s="58" t="s">
        <v>35</v>
      </c>
      <c r="F278" s="4" t="s">
        <v>753</v>
      </c>
      <c r="G278" s="177" t="s">
        <v>35</v>
      </c>
      <c r="H278" s="175" t="s">
        <v>35</v>
      </c>
      <c r="I278" s="179" t="s">
        <v>35</v>
      </c>
      <c r="J278" s="438" t="s">
        <v>752</v>
      </c>
      <c r="K278" s="438" t="s">
        <v>516</v>
      </c>
      <c r="L278" s="123" t="s">
        <v>36</v>
      </c>
      <c r="M278" s="424"/>
      <c r="N278" s="424" t="s">
        <v>754</v>
      </c>
      <c r="O278" s="4" t="s">
        <v>755</v>
      </c>
    </row>
    <row r="279" spans="1:15" x14ac:dyDescent="0.35">
      <c r="A279">
        <f>A278+1</f>
        <v>127</v>
      </c>
      <c r="B279" s="123" t="str">
        <f t="shared" si="108"/>
        <v>S-200 missile used by Ukr (legacy)</v>
      </c>
      <c r="C279" t="s">
        <v>658</v>
      </c>
      <c r="D279" s="177" t="s">
        <v>35</v>
      </c>
      <c r="E279" s="58" t="s">
        <v>35</v>
      </c>
      <c r="F279" s="58" t="s">
        <v>35</v>
      </c>
      <c r="G279" s="177" t="s">
        <v>35</v>
      </c>
      <c r="H279" s="175" t="s">
        <v>35</v>
      </c>
      <c r="I279" s="179" t="s">
        <v>35</v>
      </c>
      <c r="J279" s="424" t="s">
        <v>658</v>
      </c>
      <c r="K279" s="424" t="s">
        <v>658</v>
      </c>
      <c r="L279" s="123" t="s">
        <v>36</v>
      </c>
      <c r="M279" s="424" t="s">
        <v>658</v>
      </c>
      <c r="N279" s="424" t="s">
        <v>658</v>
      </c>
      <c r="O279" s="3" t="s">
        <v>35</v>
      </c>
    </row>
    <row r="280" spans="1:15" x14ac:dyDescent="0.35">
      <c r="A280">
        <f t="shared" si="103"/>
        <v>128</v>
      </c>
      <c r="B280" s="123" t="str">
        <f t="shared" si="108"/>
        <v>S-300 missile 48N6P many versions</v>
      </c>
      <c r="C280" s="42" t="s">
        <v>35</v>
      </c>
      <c r="D280" s="177" t="s">
        <v>35</v>
      </c>
      <c r="E280" s="58" t="s">
        <v>35</v>
      </c>
      <c r="F280" s="58" t="s">
        <v>35</v>
      </c>
      <c r="G280" s="177" t="s">
        <v>35</v>
      </c>
      <c r="H280" s="175" t="s">
        <v>35</v>
      </c>
      <c r="I280" s="179" t="s">
        <v>35</v>
      </c>
      <c r="J280" s="424" t="s">
        <v>663</v>
      </c>
      <c r="K280" s="424" t="s">
        <v>663</v>
      </c>
      <c r="L280" s="123" t="s">
        <v>36</v>
      </c>
      <c r="M280" s="424" t="s">
        <v>663</v>
      </c>
      <c r="N280" s="424" t="s">
        <v>650</v>
      </c>
      <c r="O280" s="3" t="s">
        <v>35</v>
      </c>
    </row>
    <row r="281" spans="1:15" x14ac:dyDescent="0.35">
      <c r="A281">
        <f t="shared" si="103"/>
        <v>129</v>
      </c>
      <c r="B281" s="123" t="str">
        <f t="shared" si="108"/>
        <v>S-400 battery w. radar launchers&amp;control</v>
      </c>
      <c r="C281" t="s">
        <v>664</v>
      </c>
      <c r="D281" s="70" t="s">
        <v>36</v>
      </c>
      <c r="E281" s="70" t="s">
        <v>36</v>
      </c>
      <c r="F281" s="58" t="s">
        <v>35</v>
      </c>
      <c r="G281" s="177" t="s">
        <v>35</v>
      </c>
      <c r="H281" s="175" t="s">
        <v>35</v>
      </c>
      <c r="I281" s="432"/>
      <c r="J281" s="178" t="s">
        <v>35</v>
      </c>
      <c r="K281" s="178" t="s">
        <v>35</v>
      </c>
      <c r="L281" s="178" t="s">
        <v>35</v>
      </c>
      <c r="M281" s="178" t="s">
        <v>35</v>
      </c>
      <c r="N281" s="424" t="s">
        <v>668</v>
      </c>
      <c r="O281" s="3"/>
    </row>
    <row r="282" spans="1:15" x14ac:dyDescent="0.35">
      <c r="A282">
        <f t="shared" si="103"/>
        <v>130</v>
      </c>
      <c r="B282" s="123" t="str">
        <f t="shared" si="108"/>
        <v>S-400 missile 40N6E many versions</v>
      </c>
      <c r="C282" t="s">
        <v>664</v>
      </c>
      <c r="D282" s="70" t="s">
        <v>36</v>
      </c>
      <c r="E282" s="70" t="s">
        <v>36</v>
      </c>
      <c r="F282" s="70" t="s">
        <v>36</v>
      </c>
      <c r="G282" s="70" t="s">
        <v>35</v>
      </c>
      <c r="H282" s="70" t="s">
        <v>35</v>
      </c>
      <c r="I282" s="70" t="s">
        <v>35</v>
      </c>
      <c r="J282" s="424" t="s">
        <v>664</v>
      </c>
      <c r="K282" s="424" t="s">
        <v>664</v>
      </c>
      <c r="L282" s="424" t="s">
        <v>664</v>
      </c>
      <c r="M282" s="424" t="s">
        <v>664</v>
      </c>
      <c r="N282" s="424" t="s">
        <v>668</v>
      </c>
      <c r="O282" s="3" t="s">
        <v>35</v>
      </c>
    </row>
    <row r="283" spans="1:15" x14ac:dyDescent="0.35">
      <c r="A283">
        <f t="shared" si="103"/>
        <v>131</v>
      </c>
      <c r="B283" s="123"/>
      <c r="D283" s="70"/>
      <c r="E283" s="70"/>
      <c r="F283" s="70"/>
      <c r="G283" s="70"/>
      <c r="H283" s="70"/>
      <c r="I283" s="70"/>
      <c r="J283" s="178"/>
      <c r="K283" s="178"/>
      <c r="L283" s="178"/>
      <c r="M283" s="178"/>
      <c r="N283" s="123"/>
      <c r="O283" s="3" t="s">
        <v>35</v>
      </c>
    </row>
    <row r="284" spans="1:15" x14ac:dyDescent="0.35">
      <c r="A284">
        <f t="shared" si="103"/>
        <v>132</v>
      </c>
      <c r="B284" s="123"/>
      <c r="J284" s="123"/>
      <c r="K284" s="123"/>
      <c r="L284" s="123"/>
      <c r="M284" s="123"/>
      <c r="N284" s="123"/>
      <c r="O284" s="3" t="s">
        <v>35</v>
      </c>
    </row>
    <row r="285" spans="1:15" x14ac:dyDescent="0.35">
      <c r="A285">
        <f t="shared" si="103"/>
        <v>133</v>
      </c>
      <c r="B285" s="193" t="str">
        <f>B140</f>
        <v>Electronic warfare systems</v>
      </c>
      <c r="C285" s="197"/>
      <c r="D285" s="197"/>
      <c r="E285" s="197"/>
      <c r="F285" s="197"/>
      <c r="G285" s="197"/>
      <c r="H285" s="197"/>
      <c r="I285" s="197"/>
      <c r="J285" s="189"/>
      <c r="K285" s="189"/>
      <c r="L285" s="189"/>
      <c r="M285" s="392"/>
      <c r="N285" s="189"/>
      <c r="O285" s="3" t="s">
        <v>35</v>
      </c>
    </row>
    <row r="286" spans="1:15" x14ac:dyDescent="0.35">
      <c r="A286">
        <f t="shared" ref="A286:A290" si="109">A285+1</f>
        <v>134</v>
      </c>
      <c r="B286" s="123" t="s">
        <v>779</v>
      </c>
      <c r="C286" t="s">
        <v>172</v>
      </c>
      <c r="J286" s="123" t="s">
        <v>780</v>
      </c>
      <c r="K286" s="123" t="s">
        <v>35</v>
      </c>
      <c r="L286" s="123" t="s">
        <v>35</v>
      </c>
      <c r="M286" s="51" t="s">
        <v>35</v>
      </c>
      <c r="N286" s="123" t="s">
        <v>172</v>
      </c>
      <c r="O286" s="3" t="s">
        <v>35</v>
      </c>
    </row>
    <row r="287" spans="1:15" x14ac:dyDescent="0.35">
      <c r="A287">
        <f t="shared" si="109"/>
        <v>135</v>
      </c>
      <c r="B287" s="123"/>
      <c r="J287" s="123"/>
      <c r="K287" s="123"/>
      <c r="L287" s="123"/>
      <c r="M287" s="51"/>
      <c r="N287" s="123"/>
      <c r="O287" s="3" t="s">
        <v>35</v>
      </c>
    </row>
    <row r="288" spans="1:15" x14ac:dyDescent="0.35">
      <c r="A288">
        <f t="shared" si="109"/>
        <v>136</v>
      </c>
      <c r="B288" s="123"/>
      <c r="J288" s="123"/>
      <c r="K288" s="123"/>
      <c r="L288" s="123"/>
      <c r="M288" s="51"/>
      <c r="N288" s="123"/>
      <c r="O288" s="3" t="s">
        <v>35</v>
      </c>
    </row>
    <row r="289" spans="1:15" x14ac:dyDescent="0.35">
      <c r="A289">
        <f t="shared" si="109"/>
        <v>137</v>
      </c>
      <c r="B289" s="123"/>
      <c r="J289" s="123"/>
      <c r="K289" s="123"/>
      <c r="L289" s="123"/>
      <c r="M289" s="51"/>
      <c r="N289" s="123"/>
      <c r="O289" s="3" t="s">
        <v>35</v>
      </c>
    </row>
    <row r="290" spans="1:15" ht="15" thickBot="1" x14ac:dyDescent="0.4">
      <c r="A290">
        <f t="shared" si="109"/>
        <v>138</v>
      </c>
      <c r="B290" s="112"/>
      <c r="C290" s="17"/>
      <c r="D290" s="14"/>
      <c r="E290" s="14"/>
      <c r="F290" s="14"/>
      <c r="G290" s="14"/>
      <c r="H290" s="14"/>
      <c r="I290" s="28"/>
      <c r="J290" s="112"/>
      <c r="K290" s="112"/>
      <c r="L290" s="112"/>
      <c r="M290" s="17"/>
      <c r="N290" s="112"/>
      <c r="O290" s="3" t="s">
        <v>35</v>
      </c>
    </row>
    <row r="291" spans="1:15" ht="15" thickTop="1" x14ac:dyDescent="0.35"/>
  </sheetData>
  <phoneticPr fontId="8" type="noConversion"/>
  <hyperlinks>
    <hyperlink ref="C155" r:id="rId1" xr:uid="{698FA5EC-9C8E-4E6D-B0B0-5473293BDFD2}"/>
    <hyperlink ref="C156" r:id="rId2" xr:uid="{617574D0-154B-406F-ABED-37EFE6169D16}"/>
    <hyperlink ref="J172" r:id="rId3" xr:uid="{7B3A7752-1FA2-4D2C-9E5C-B1D6915A7BE8}"/>
    <hyperlink ref="D234" r:id="rId4" xr:uid="{1FEDC223-9918-4E8F-8DFB-5B1CAF4D83F5}"/>
    <hyperlink ref="C154" r:id="rId5" xr:uid="{EF57936D-EC83-4F86-BCFB-A44CB978FD11}"/>
    <hyperlink ref="M155" r:id="rId6" xr:uid="{0B488C47-1248-48A2-A238-19378F0DA080}"/>
    <hyperlink ref="C158" r:id="rId7" xr:uid="{B38E383C-5111-4A91-82C9-62DD88D63D7D}"/>
    <hyperlink ref="C159" r:id="rId8" xr:uid="{FA8A52D7-C316-4F5F-8D6F-6E8079184919}"/>
    <hyperlink ref="C160" r:id="rId9" xr:uid="{A2F160E5-2EF7-46CA-A2EC-43AFE0B26528}"/>
    <hyperlink ref="M234" r:id="rId10" xr:uid="{11AD6390-D6CA-46B7-8CCE-EAEC3260E027}"/>
    <hyperlink ref="M158" r:id="rId11" xr:uid="{5F656278-C68E-4A44-9A3B-68BB8411BD05}"/>
    <hyperlink ref="C164" r:id="rId12" xr:uid="{B9B987A8-AEA7-4550-A0E6-683A46DDDC10}"/>
    <hyperlink ref="C165" r:id="rId13" xr:uid="{BD83CB91-9B8B-4A90-A6B3-DD5B0D252C06}"/>
    <hyperlink ref="C168" r:id="rId14" xr:uid="{9B26B9B4-9FD1-4869-A123-8122593480DE}"/>
    <hyperlink ref="J167" r:id="rId15" xr:uid="{4FEC5E02-4D04-4F2D-A702-AC628E46F278}"/>
    <hyperlink ref="C163" r:id="rId16" xr:uid="{72506C61-A04D-417A-B4E9-831823C53C58}"/>
    <hyperlink ref="M160" r:id="rId17" xr:uid="{22130153-30A8-45C9-8D79-8ACA5A7E5D33}"/>
    <hyperlink ref="J160" r:id="rId18" xr:uid="{1A932006-50E5-4DF3-B107-FEDCCB38F1CB}"/>
    <hyperlink ref="J161" r:id="rId19" xr:uid="{43CDC700-093E-467D-9D0D-F96F24A27B49}"/>
    <hyperlink ref="C236" r:id="rId20" xr:uid="{376309C0-CBD5-4F52-A58A-26131954D6ED}"/>
    <hyperlink ref="M154" r:id="rId21" xr:uid="{15FF9207-7404-4172-96C1-2FF619A84BEC}"/>
    <hyperlink ref="K154" r:id="rId22" xr:uid="{4C402D29-91D7-46EC-AE2D-A3377DDE03EA}"/>
    <hyperlink ref="L154" r:id="rId23" xr:uid="{6C361798-EF65-4F75-9F9A-E9037FFF1885}"/>
    <hyperlink ref="M162" r:id="rId24" xr:uid="{47E2287A-685B-4704-9883-10759C0BCA8E}"/>
    <hyperlink ref="J165" r:id="rId25" xr:uid="{0EF1C889-48D4-496D-86D0-9DA64E2AA5BD}"/>
    <hyperlink ref="K165" r:id="rId26" xr:uid="{F70BC822-09B9-4EF1-B21E-4C7CB3179319}"/>
    <hyperlink ref="L165" r:id="rId27" xr:uid="{4DAB2711-254B-471D-A81D-815BE3B02628}"/>
    <hyperlink ref="M165" r:id="rId28" xr:uid="{FD078366-6F25-4C6E-9FCC-EEC49C2316ED}"/>
    <hyperlink ref="K167:M167" r:id="rId29" display="https://en.wikipedia.org/wiki/CAESAR_self-propelled_howitzer" xr:uid="{B2238D92-7A68-4259-BD78-EBE44CD48CEB}"/>
    <hyperlink ref="M168" r:id="rId30" xr:uid="{467D4DD5-C499-4979-801F-1FCB3C3A168B}"/>
    <hyperlink ref="J171" r:id="rId31" xr:uid="{1AD18A76-8574-4A60-A834-D1753C8CB3F8}"/>
    <hyperlink ref="J195" r:id="rId32" xr:uid="{4AFB8EB0-36E3-4874-B357-DCD70DEF951A}"/>
    <hyperlink ref="J174" r:id="rId33" location="cite_note-Marine_Corps_Gazette-78" xr:uid="{F20F191D-4385-46FC-9489-6AF8EA7D4E9D}"/>
    <hyperlink ref="J173" r:id="rId34" xr:uid="{A6A20127-07A5-4737-94D4-DD82B55002B7}"/>
    <hyperlink ref="J257" r:id="rId35" xr:uid="{F2DCF795-E046-414C-A801-D7C65F990684}"/>
    <hyperlink ref="M252" r:id="rId36" xr:uid="{09B267C0-881C-4244-8560-21B1FEC7CAE9}"/>
    <hyperlink ref="M241" r:id="rId37" xr:uid="{8098B974-A977-4749-98FB-1C54E9CB22D1}"/>
    <hyperlink ref="M177" r:id="rId38" xr:uid="{B7783BFC-8122-492B-BA94-7DB63DAA8C0B}"/>
    <hyperlink ref="C253" r:id="rId39" xr:uid="{F51FBAAB-D04D-4ACF-8EC0-CB6FE6537BC2}"/>
    <hyperlink ref="C252" r:id="rId40" xr:uid="{2B21FD6E-CF11-4239-8865-EDDB9731CD4A}"/>
    <hyperlink ref="J246" r:id="rId41" xr:uid="{B7B9CCB2-D0B7-4846-89CC-25D168007E1E}"/>
    <hyperlink ref="C246" r:id="rId42" xr:uid="{83511785-EC07-42C0-9D1E-6B6366E1CA3D}"/>
    <hyperlink ref="J201" r:id="rId43" location="Specifications" xr:uid="{00EBAA4E-5FB2-4673-B74D-41401ADE7C72}"/>
    <hyperlink ref="M195" r:id="rId44" xr:uid="{59B0F948-216C-4418-A0BF-E651B47E23A3}"/>
    <hyperlink ref="M201" r:id="rId45" xr:uid="{E381960D-C8CA-4690-9846-DF2C6A4BE904}"/>
    <hyperlink ref="M216" r:id="rId46" xr:uid="{83228B1B-8EB8-4DA8-BCD7-DD333604934C}"/>
    <hyperlink ref="C216" r:id="rId47" xr:uid="{A51A0CD7-6B06-40D0-9032-D2B8AAEDB887}"/>
    <hyperlink ref="J216" r:id="rId48" xr:uid="{03BA201E-A61B-4998-875D-58D73CC8112B}"/>
    <hyperlink ref="K216" r:id="rId49" xr:uid="{24747CE4-775B-4BCC-BB6D-63F77608523D}"/>
    <hyperlink ref="J199" r:id="rId50" location="Specifications_(F-35A)" xr:uid="{EF01D706-A42A-49A9-A886-7EAB1F949AAC}"/>
    <hyperlink ref="N220" r:id="rId51" xr:uid="{D68B51FC-5C4C-4090-82A7-A512458238A7}"/>
    <hyperlink ref="M199" r:id="rId52" location="Specifications_(F-35A)" xr:uid="{6EB861CB-B82C-4BA8-8795-B0A2C5B1C5B1}"/>
    <hyperlink ref="C234" r:id="rId53" xr:uid="{9E5D3041-2C73-4891-85A4-AD96291472F2}"/>
    <hyperlink ref="C227" r:id="rId54" xr:uid="{839B3312-1F99-417C-945A-AE0279FFF66C}"/>
    <hyperlink ref="C182" r:id="rId55" xr:uid="{144632DA-B581-48A7-B55B-61C235D3EAAF}"/>
    <hyperlink ref="K248" r:id="rId56" xr:uid="{CB7802C3-FC1F-4C74-AD6D-33327B2CD3EE}"/>
    <hyperlink ref="C256" r:id="rId57" xr:uid="{726E9884-C15C-477C-A837-2F4F029FE5F1}"/>
    <hyperlink ref="I257" r:id="rId58" xr:uid="{2FA69305-28F0-4F75-83D0-712EEF87B9B6}"/>
    <hyperlink ref="C212" r:id="rId59" xr:uid="{5A149C3A-585D-4998-9643-6272A2F88E78}"/>
    <hyperlink ref="F278" r:id="rId60" xr:uid="{54AEEE1D-8184-4F63-A39B-69B2438CBDF2}"/>
    <hyperlink ref="J278" r:id="rId61" xr:uid="{3450BE7C-ADE2-4822-961C-F930685DB75A}"/>
    <hyperlink ref="C278" r:id="rId62" xr:uid="{67076871-7402-482B-B6B9-9ACAACA09695}"/>
    <hyperlink ref="O278" r:id="rId63" xr:uid="{555EC381-19D3-4114-8648-6B938CB28749}"/>
    <hyperlink ref="M277" r:id="rId64" xr:uid="{2111A4EA-FE4D-4CA0-A0A3-A2C3611AC154}"/>
    <hyperlink ref="K277" r:id="rId65" xr:uid="{609D8CA3-4F08-43B7-A3AB-9AFA51516A01}"/>
    <hyperlink ref="K278" r:id="rId66" xr:uid="{5F266D0F-6F81-408D-8A64-081E98A17904}"/>
    <hyperlink ref="C183" r:id="rId67" location="Variants" xr:uid="{C505CA79-EA2C-44D6-B842-D2E3232DA564}"/>
    <hyperlink ref="C202" r:id="rId68" xr:uid="{98E1ADD0-69EB-4884-8BF9-AB9798577E9C}"/>
    <hyperlink ref="C254" r:id="rId69" xr:uid="{D8CCB698-64D5-4E88-9C4B-334CAD5B234B}"/>
    <hyperlink ref="C203" r:id="rId70" location="Operators" xr:uid="{EFF603E9-3C83-47BF-80E5-D0CE920E4EF2}"/>
    <hyperlink ref="J215" r:id="rId71" location="Specifications_(Su-35S)" xr:uid="{1E3797DA-26AD-41FF-A758-5F569677F403}"/>
    <hyperlink ref="J224" r:id="rId72" xr:uid="{00F24C63-0EE3-42F8-863E-1845AC36623B}"/>
    <hyperlink ref="C224" r:id="rId73" xr:uid="{0FDFBB36-F604-4686-85BF-5BBAB3E166A0}"/>
  </hyperlinks>
  <pageMargins left="0.7" right="0.7" top="0.75" bottom="0.75" header="0.3" footer="0.3"/>
  <pageSetup paperSize="9" orientation="portrait" verticalDpi="0" r:id="rId7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DE49-FA27-4E6C-95C2-0E1D616FDD49}">
  <dimension ref="A1:BV96"/>
  <sheetViews>
    <sheetView zoomScaleNormal="100" workbookViewId="0">
      <pane xSplit="3" ySplit="9" topLeftCell="AZ22" activePane="bottomRight" state="frozen"/>
      <selection pane="topRight" activeCell="D1" sqref="D1"/>
      <selection pane="bottomLeft" activeCell="A10" sqref="A10"/>
      <selection pane="bottomRight" activeCell="BM5" sqref="BM5:BV47"/>
    </sheetView>
  </sheetViews>
  <sheetFormatPr defaultRowHeight="14.5" x14ac:dyDescent="0.35"/>
  <cols>
    <col min="2" max="2" width="3.81640625" customWidth="1"/>
    <col min="3" max="3" width="30.7265625" customWidth="1"/>
    <col min="4" max="4" width="14.08984375" customWidth="1"/>
    <col min="5" max="5" width="14.81640625" customWidth="1"/>
    <col min="6" max="6" width="12.08984375" customWidth="1"/>
    <col min="7" max="7" width="11" customWidth="1"/>
    <col min="8" max="10" width="14.81640625" customWidth="1"/>
    <col min="11" max="11" width="14.7265625" customWidth="1"/>
    <col min="12" max="12" width="9.453125" customWidth="1"/>
    <col min="13" max="13" width="7.90625" customWidth="1"/>
    <col min="14" max="15" width="11.1796875" customWidth="1"/>
    <col min="16" max="16" width="9.90625" customWidth="1"/>
    <col min="17" max="17" width="9.453125" customWidth="1"/>
    <col min="18" max="18" width="9.6328125" customWidth="1"/>
    <col min="19" max="19" width="8.54296875" customWidth="1"/>
    <col min="20" max="21" width="11.1796875" customWidth="1"/>
    <col min="22" max="22" width="9.90625" customWidth="1"/>
    <col min="23" max="23" width="9.453125" customWidth="1"/>
    <col min="24" max="24" width="9.6328125" customWidth="1"/>
    <col min="25" max="25" width="8.54296875" customWidth="1"/>
    <col min="26" max="27" width="11.1796875" customWidth="1"/>
    <col min="28" max="28" width="9.90625" customWidth="1"/>
    <col min="29" max="30" width="9.453125" customWidth="1"/>
    <col min="31" max="31" width="8.1796875" customWidth="1"/>
    <col min="32" max="33" width="11.1796875" customWidth="1"/>
    <col min="34" max="36" width="9.453125" customWidth="1"/>
    <col min="37" max="37" width="8.1796875" customWidth="1"/>
    <col min="38" max="39" width="11.1796875" customWidth="1"/>
    <col min="40" max="41" width="9.453125" customWidth="1"/>
    <col min="43" max="43" width="3.81640625" customWidth="1"/>
    <col min="44" max="44" width="30.7265625" customWidth="1"/>
    <col min="45" max="45" width="14.6328125" customWidth="1"/>
    <col min="46" max="46" width="11.1796875" customWidth="1"/>
    <col min="47" max="47" width="9.36328125" customWidth="1"/>
    <col min="48" max="48" width="8.90625" customWidth="1"/>
    <col min="49" max="50" width="10.90625" customWidth="1"/>
    <col min="51" max="52" width="9.26953125" customWidth="1"/>
    <col min="54" max="54" width="3.81640625" customWidth="1"/>
    <col min="55" max="55" width="30.7265625" customWidth="1"/>
    <col min="56" max="56" width="14.6328125" customWidth="1"/>
    <col min="57" max="57" width="11.1796875" customWidth="1"/>
    <col min="58" max="58" width="9.36328125" customWidth="1"/>
    <col min="59" max="59" width="9.08984375" customWidth="1"/>
    <col min="60" max="61" width="10.6328125" customWidth="1"/>
    <col min="62" max="62" width="9.1796875" customWidth="1"/>
    <col min="63" max="63" width="9.453125" customWidth="1"/>
    <col min="65" max="65" width="3.81640625" customWidth="1"/>
    <col min="66" max="66" width="30.7265625" customWidth="1"/>
    <col min="67" max="67" width="14.6328125" customWidth="1"/>
    <col min="68" max="68" width="11.1796875" customWidth="1"/>
    <col min="69" max="70" width="11" customWidth="1"/>
    <col min="71" max="71" width="9.81640625" customWidth="1"/>
    <col min="72" max="72" width="10.90625" customWidth="1"/>
    <col min="73" max="73" width="10.81640625" customWidth="1"/>
    <col min="74" max="74" width="10.26953125" customWidth="1"/>
  </cols>
  <sheetData>
    <row r="1" spans="1:74" ht="28.5" x14ac:dyDescent="0.65">
      <c r="A1" s="1" t="s">
        <v>577</v>
      </c>
    </row>
    <row r="3" spans="1:74" ht="15.5" x14ac:dyDescent="0.35">
      <c r="A3" s="241" t="s">
        <v>273</v>
      </c>
    </row>
    <row r="4" spans="1:74" ht="15.5" x14ac:dyDescent="0.35">
      <c r="A4" s="241"/>
      <c r="M4">
        <f>DATEDIF($D$9,H9,"D")</f>
        <v>476</v>
      </c>
      <c r="S4">
        <f>DATEDIF($D$9,I9,"D")</f>
        <v>751</v>
      </c>
      <c r="Y4">
        <f>DATEDIF($D$9,J9,"D")</f>
        <v>777</v>
      </c>
      <c r="AE4">
        <f>DATEDIF($H9,I9,"D")</f>
        <v>275</v>
      </c>
      <c r="AK4">
        <f>DATEDIF($H9,J9,"D")</f>
        <v>301</v>
      </c>
      <c r="AV4">
        <f>Y4</f>
        <v>777</v>
      </c>
      <c r="BG4">
        <f>AK4</f>
        <v>301</v>
      </c>
    </row>
    <row r="5" spans="1:74" ht="21.5" thickBot="1" x14ac:dyDescent="0.55000000000000004">
      <c r="B5" s="242" t="s">
        <v>336</v>
      </c>
      <c r="AQ5" s="242" t="s">
        <v>362</v>
      </c>
      <c r="AR5" s="310"/>
      <c r="AS5" s="310"/>
      <c r="AT5" s="310"/>
      <c r="AU5" s="310"/>
      <c r="AV5" s="310"/>
      <c r="AW5" s="310"/>
      <c r="AX5" s="310"/>
      <c r="AY5" s="310"/>
      <c r="AZ5" s="310"/>
      <c r="BB5" s="242" t="s">
        <v>434</v>
      </c>
      <c r="BC5" s="310"/>
      <c r="BD5" s="310"/>
      <c r="BE5" s="310"/>
      <c r="BF5" s="310"/>
      <c r="BG5" s="310"/>
      <c r="BH5" s="310"/>
      <c r="BI5" s="310"/>
      <c r="BJ5" s="310"/>
      <c r="BK5" s="310"/>
      <c r="BM5" s="242" t="s">
        <v>681</v>
      </c>
      <c r="BN5" s="310"/>
      <c r="BO5" s="310"/>
      <c r="BP5" s="310"/>
      <c r="BQ5" s="310"/>
      <c r="BR5" s="310"/>
      <c r="BS5" s="310"/>
      <c r="BT5" s="310"/>
      <c r="BU5" s="310"/>
      <c r="BV5" s="310"/>
    </row>
    <row r="6" spans="1:74" ht="19.5" thickTop="1" thickBot="1" x14ac:dyDescent="0.5">
      <c r="B6" s="243"/>
      <c r="C6" s="359"/>
      <c r="D6" s="253"/>
      <c r="E6" s="361"/>
      <c r="F6" s="361"/>
      <c r="G6" s="361"/>
      <c r="H6" s="361"/>
      <c r="I6" s="361"/>
      <c r="J6" s="361"/>
      <c r="K6" s="362"/>
      <c r="L6" s="245" t="s">
        <v>276</v>
      </c>
      <c r="M6" s="246"/>
      <c r="N6" s="246"/>
      <c r="O6" s="246"/>
      <c r="P6" s="246"/>
      <c r="Q6" s="246"/>
      <c r="R6" s="247" t="s">
        <v>277</v>
      </c>
      <c r="S6" s="248"/>
      <c r="T6" s="248"/>
      <c r="U6" s="248"/>
      <c r="V6" s="248"/>
      <c r="W6" s="249"/>
      <c r="X6" s="247" t="s">
        <v>423</v>
      </c>
      <c r="Y6" s="248"/>
      <c r="Z6" s="248"/>
      <c r="AA6" s="248"/>
      <c r="AB6" s="248"/>
      <c r="AC6" s="249"/>
      <c r="AD6" s="250" t="s">
        <v>278</v>
      </c>
      <c r="AE6" s="251"/>
      <c r="AF6" s="251"/>
      <c r="AG6" s="251"/>
      <c r="AH6" s="251"/>
      <c r="AI6" s="252"/>
      <c r="AJ6" s="250" t="s">
        <v>425</v>
      </c>
      <c r="AK6" s="251"/>
      <c r="AL6" s="251"/>
      <c r="AM6" s="251"/>
      <c r="AN6" s="251"/>
      <c r="AO6" s="252"/>
      <c r="AQ6" s="369" t="s">
        <v>359</v>
      </c>
      <c r="AR6" s="372"/>
      <c r="AS6" s="253" t="s">
        <v>358</v>
      </c>
      <c r="AT6" s="330" t="s">
        <v>366</v>
      </c>
      <c r="AU6" s="378" t="s">
        <v>423</v>
      </c>
      <c r="AV6" s="248"/>
      <c r="AW6" s="248"/>
      <c r="AX6" s="248"/>
      <c r="AY6" s="248"/>
      <c r="AZ6" s="249"/>
      <c r="BB6" s="369" t="s">
        <v>359</v>
      </c>
      <c r="BC6" s="244"/>
      <c r="BD6" s="330" t="s">
        <v>358</v>
      </c>
      <c r="BE6" s="330" t="str">
        <f>AT6</f>
        <v>Likely</v>
      </c>
      <c r="BF6" s="250" t="s">
        <v>426</v>
      </c>
      <c r="BG6" s="251"/>
      <c r="BH6" s="251"/>
      <c r="BI6" s="251"/>
      <c r="BJ6" s="251"/>
      <c r="BK6" s="252"/>
      <c r="BM6" s="243"/>
      <c r="BN6" s="244"/>
      <c r="BO6" s="330" t="s">
        <v>358</v>
      </c>
      <c r="BP6" s="330" t="str">
        <f>BE6</f>
        <v>Likely</v>
      </c>
      <c r="BQ6" s="256" t="s">
        <v>427</v>
      </c>
      <c r="BR6" s="257"/>
      <c r="BS6" s="249"/>
      <c r="BT6" s="250" t="s">
        <v>428</v>
      </c>
      <c r="BU6" s="250"/>
      <c r="BV6" s="252"/>
    </row>
    <row r="7" spans="1:74" ht="15" thickTop="1" x14ac:dyDescent="0.35">
      <c r="B7" s="243" t="s">
        <v>274</v>
      </c>
      <c r="C7" s="359" t="s">
        <v>275</v>
      </c>
      <c r="D7" s="253" t="s">
        <v>279</v>
      </c>
      <c r="E7" s="365" t="s">
        <v>280</v>
      </c>
      <c r="F7" s="365" t="s">
        <v>345</v>
      </c>
      <c r="G7" s="365" t="str">
        <f>F7</f>
        <v>Russian new</v>
      </c>
      <c r="H7" s="365" t="s">
        <v>280</v>
      </c>
      <c r="I7" s="365" t="s">
        <v>280</v>
      </c>
      <c r="J7" s="365" t="s">
        <v>280</v>
      </c>
      <c r="K7" s="366" t="s">
        <v>281</v>
      </c>
      <c r="L7" s="254" t="s">
        <v>282</v>
      </c>
      <c r="M7" s="254" t="s">
        <v>282</v>
      </c>
      <c r="N7" s="254" t="s">
        <v>357</v>
      </c>
      <c r="O7" s="254" t="s">
        <v>437</v>
      </c>
      <c r="P7" s="254" t="s">
        <v>283</v>
      </c>
      <c r="Q7" s="255" t="s">
        <v>284</v>
      </c>
      <c r="R7" s="256" t="str">
        <f>$L7</f>
        <v>Russian</v>
      </c>
      <c r="S7" s="257" t="str">
        <f>$M7</f>
        <v>Russian</v>
      </c>
      <c r="T7" s="257" t="str">
        <f>$N7</f>
        <v>Russian avg.</v>
      </c>
      <c r="U7" s="257" t="str">
        <f>$O7</f>
        <v>Months left</v>
      </c>
      <c r="V7" s="257" t="str">
        <f>$P7</f>
        <v>Ukraine</v>
      </c>
      <c r="W7" s="258" t="str">
        <f>$Q7</f>
        <v>Kill ratios</v>
      </c>
      <c r="X7" s="256" t="str">
        <f>$L7</f>
        <v>Russian</v>
      </c>
      <c r="Y7" s="257" t="str">
        <f>$M7</f>
        <v>Russian</v>
      </c>
      <c r="Z7" s="257" t="str">
        <f>$N7</f>
        <v>Russian avg.</v>
      </c>
      <c r="AA7" s="257" t="str">
        <f>$O7</f>
        <v>Months left</v>
      </c>
      <c r="AB7" s="257" t="str">
        <f>$P7</f>
        <v>Ukraine</v>
      </c>
      <c r="AC7" s="258" t="str">
        <f>$Q7</f>
        <v>Kill ratios</v>
      </c>
      <c r="AD7" s="259" t="str">
        <f>$L7</f>
        <v>Russian</v>
      </c>
      <c r="AE7" s="260" t="str">
        <f>$M7</f>
        <v>Russian</v>
      </c>
      <c r="AF7" s="260" t="str">
        <f>$N7</f>
        <v>Russian avg.</v>
      </c>
      <c r="AG7" s="260" t="str">
        <f>$O7</f>
        <v>Months left</v>
      </c>
      <c r="AH7" s="260" t="str">
        <f>$P7</f>
        <v>Ukraine</v>
      </c>
      <c r="AI7" s="261" t="str">
        <f>$Q7</f>
        <v>Kill ratios</v>
      </c>
      <c r="AJ7" s="259" t="str">
        <f>$L7</f>
        <v>Russian</v>
      </c>
      <c r="AK7" s="260" t="str">
        <f>$M7</f>
        <v>Russian</v>
      </c>
      <c r="AL7" s="260" t="str">
        <f>$N7</f>
        <v>Russian avg.</v>
      </c>
      <c r="AM7" s="260" t="str">
        <f>$O7</f>
        <v>Months left</v>
      </c>
      <c r="AN7" s="260" t="str">
        <f>$P7</f>
        <v>Ukraine</v>
      </c>
      <c r="AO7" s="261" t="str">
        <f>$Q7</f>
        <v>Kill ratios</v>
      </c>
      <c r="AQ7" s="370" t="s">
        <v>360</v>
      </c>
      <c r="AR7" s="368">
        <f>AV4</f>
        <v>777</v>
      </c>
      <c r="AS7" s="264" t="s">
        <v>280</v>
      </c>
      <c r="AT7" s="331" t="str">
        <f>G7</f>
        <v>Russian new</v>
      </c>
      <c r="AU7" s="257" t="str">
        <f>$L7</f>
        <v>Russian</v>
      </c>
      <c r="AV7" s="257" t="str">
        <f>$M7</f>
        <v>Russian</v>
      </c>
      <c r="AW7" s="257" t="str">
        <f>$N7</f>
        <v>Russian avg.</v>
      </c>
      <c r="AX7" s="257" t="str">
        <f>$O7</f>
        <v>Months left</v>
      </c>
      <c r="AY7" s="257" t="str">
        <f>$P7</f>
        <v>Ukraine</v>
      </c>
      <c r="AZ7" s="258" t="str">
        <f>$Q7</f>
        <v>Kill ratios</v>
      </c>
      <c r="BB7" s="370" t="s">
        <v>360</v>
      </c>
      <c r="BC7" s="349">
        <f>BG4</f>
        <v>301</v>
      </c>
      <c r="BD7" s="331" t="s">
        <v>280</v>
      </c>
      <c r="BE7" s="331" t="str">
        <f>G7</f>
        <v>Russian new</v>
      </c>
      <c r="BF7" s="260" t="str">
        <f>$L7</f>
        <v>Russian</v>
      </c>
      <c r="BG7" s="260" t="str">
        <f>$M7</f>
        <v>Russian</v>
      </c>
      <c r="BH7" s="260" t="str">
        <f>$N7</f>
        <v>Russian avg.</v>
      </c>
      <c r="BI7" s="260" t="str">
        <f>$O7</f>
        <v>Months left</v>
      </c>
      <c r="BJ7" s="260" t="str">
        <f>$P7</f>
        <v>Ukraine</v>
      </c>
      <c r="BK7" s="261" t="str">
        <f>$Q7</f>
        <v>Kill ratios</v>
      </c>
      <c r="BM7" s="358"/>
      <c r="BN7" s="349"/>
      <c r="BO7" s="331" t="s">
        <v>280</v>
      </c>
      <c r="BP7" s="331" t="str">
        <f>G7</f>
        <v>Russian new</v>
      </c>
      <c r="BQ7" s="257" t="str">
        <f>$N7</f>
        <v>Russian avg.</v>
      </c>
      <c r="BR7" s="257" t="str">
        <f>$O7</f>
        <v>Months left</v>
      </c>
      <c r="BS7" s="258" t="str">
        <f>$Q7</f>
        <v>Kill ratios</v>
      </c>
      <c r="BT7" s="260" t="str">
        <f>$N7</f>
        <v>Russian avg.</v>
      </c>
      <c r="BU7" s="260" t="str">
        <f>$O7</f>
        <v>Months left</v>
      </c>
      <c r="BV7" s="261" t="str">
        <f>$Q7</f>
        <v>Kill ratios</v>
      </c>
    </row>
    <row r="8" spans="1:74" x14ac:dyDescent="0.35">
      <c r="B8" s="262"/>
      <c r="C8" s="360"/>
      <c r="D8" s="264" t="s">
        <v>285</v>
      </c>
      <c r="E8" s="265" t="s">
        <v>286</v>
      </c>
      <c r="F8" s="265" t="s">
        <v>346</v>
      </c>
      <c r="G8" s="265" t="str">
        <f>F8</f>
        <v>production</v>
      </c>
      <c r="H8" s="265" t="s">
        <v>286</v>
      </c>
      <c r="I8" s="265" t="s">
        <v>286</v>
      </c>
      <c r="J8" s="265" t="s">
        <v>286</v>
      </c>
      <c r="K8" s="266" t="s">
        <v>286</v>
      </c>
      <c r="L8" s="267" t="s">
        <v>287</v>
      </c>
      <c r="M8" s="267" t="s">
        <v>288</v>
      </c>
      <c r="N8" s="267" t="s">
        <v>355</v>
      </c>
      <c r="O8" s="267" t="s">
        <v>435</v>
      </c>
      <c r="P8" s="267" t="str">
        <f>L8</f>
        <v xml:space="preserve">losses </v>
      </c>
      <c r="Q8" s="268" t="s">
        <v>289</v>
      </c>
      <c r="R8" s="269" t="str">
        <f>$L8</f>
        <v xml:space="preserve">losses </v>
      </c>
      <c r="S8" s="270" t="str">
        <f>$M8</f>
        <v>losses</v>
      </c>
      <c r="T8" s="270" t="str">
        <f>$N8</f>
        <v>losses unco.</v>
      </c>
      <c r="U8" s="270" t="str">
        <f>$O8</f>
        <v xml:space="preserve">to depletion </v>
      </c>
      <c r="V8" s="270" t="str">
        <f>$P8</f>
        <v xml:space="preserve">losses </v>
      </c>
      <c r="W8" s="271" t="str">
        <f>$Q8</f>
        <v>RUS/UKR</v>
      </c>
      <c r="X8" s="269" t="str">
        <f>$L8</f>
        <v xml:space="preserve">losses </v>
      </c>
      <c r="Y8" s="270" t="str">
        <f>$M8</f>
        <v>losses</v>
      </c>
      <c r="Z8" s="270" t="str">
        <f>$N8</f>
        <v>losses unco.</v>
      </c>
      <c r="AA8" s="270" t="str">
        <f>$O8</f>
        <v xml:space="preserve">to depletion </v>
      </c>
      <c r="AB8" s="270" t="str">
        <f>$P8</f>
        <v xml:space="preserve">losses </v>
      </c>
      <c r="AC8" s="271" t="str">
        <f>$Q8</f>
        <v>RUS/UKR</v>
      </c>
      <c r="AD8" s="272" t="str">
        <f>$L8</f>
        <v xml:space="preserve">losses </v>
      </c>
      <c r="AE8" s="273" t="str">
        <f>$M8</f>
        <v>losses</v>
      </c>
      <c r="AF8" s="273" t="str">
        <f>$N8</f>
        <v>losses unco.</v>
      </c>
      <c r="AG8" s="273" t="str">
        <f>$O8</f>
        <v xml:space="preserve">to depletion </v>
      </c>
      <c r="AH8" s="273" t="str">
        <f>$P8</f>
        <v xml:space="preserve">losses </v>
      </c>
      <c r="AI8" s="274" t="str">
        <f>$Q8</f>
        <v>RUS/UKR</v>
      </c>
      <c r="AJ8" s="272" t="str">
        <f>$L8</f>
        <v xml:space="preserve">losses </v>
      </c>
      <c r="AK8" s="273" t="str">
        <f>$M8</f>
        <v>losses</v>
      </c>
      <c r="AL8" s="273" t="str">
        <f>$N8</f>
        <v>losses unco.</v>
      </c>
      <c r="AM8" s="273" t="str">
        <f>$O8</f>
        <v xml:space="preserve">to depletion </v>
      </c>
      <c r="AN8" s="273" t="str">
        <f>$P8</f>
        <v xml:space="preserve">losses </v>
      </c>
      <c r="AO8" s="274" t="str">
        <f>$Q8</f>
        <v>RUS/UKR</v>
      </c>
      <c r="AQ8" s="370" t="s">
        <v>361</v>
      </c>
      <c r="AR8" s="368">
        <f>DATEDIF($D$9,J9,"M")</f>
        <v>25</v>
      </c>
      <c r="AS8" s="264" t="s">
        <v>286</v>
      </c>
      <c r="AT8" s="331" t="str">
        <f t="shared" ref="AT8:AT9" si="0">G8</f>
        <v>production</v>
      </c>
      <c r="AU8" s="270" t="str">
        <f>$L8</f>
        <v xml:space="preserve">losses </v>
      </c>
      <c r="AV8" s="270" t="str">
        <f>$M8</f>
        <v>losses</v>
      </c>
      <c r="AW8" s="270" t="str">
        <f>$N8</f>
        <v>losses unco.</v>
      </c>
      <c r="AX8" s="270" t="str">
        <f>$O8</f>
        <v xml:space="preserve">to depletion </v>
      </c>
      <c r="AY8" s="270" t="str">
        <f>$P8</f>
        <v xml:space="preserve">losses </v>
      </c>
      <c r="AZ8" s="271" t="str">
        <f>$Q8</f>
        <v>RUS/UKR</v>
      </c>
      <c r="BB8" s="370" t="s">
        <v>361</v>
      </c>
      <c r="BC8" s="371">
        <f>DATEDIF(H9,J9,"m")</f>
        <v>9</v>
      </c>
      <c r="BD8" s="331" t="s">
        <v>286</v>
      </c>
      <c r="BE8" s="331" t="str">
        <f>G8</f>
        <v>production</v>
      </c>
      <c r="BF8" s="273" t="str">
        <f>$L8</f>
        <v xml:space="preserve">losses </v>
      </c>
      <c r="BG8" s="273" t="str">
        <f>$M8</f>
        <v>losses</v>
      </c>
      <c r="BH8" s="273" t="str">
        <f>$N8</f>
        <v>losses unco.</v>
      </c>
      <c r="BI8" s="273" t="str">
        <f>$O8</f>
        <v xml:space="preserve">to depletion </v>
      </c>
      <c r="BJ8" s="273" t="str">
        <f>$P8</f>
        <v xml:space="preserve">losses </v>
      </c>
      <c r="BK8" s="274" t="str">
        <f>$Q8</f>
        <v>RUS/UKR</v>
      </c>
      <c r="BM8" s="262"/>
      <c r="BN8" s="349"/>
      <c r="BO8" s="331" t="s">
        <v>286</v>
      </c>
      <c r="BP8" s="331" t="str">
        <f>G8</f>
        <v>production</v>
      </c>
      <c r="BQ8" s="270" t="str">
        <f>$N8</f>
        <v>losses unco.</v>
      </c>
      <c r="BR8" s="270" t="str">
        <f>$O8</f>
        <v xml:space="preserve">to depletion </v>
      </c>
      <c r="BS8" s="271" t="str">
        <f>$Q8</f>
        <v>RUS/UKR</v>
      </c>
      <c r="BT8" s="273" t="str">
        <f>$N8</f>
        <v>losses unco.</v>
      </c>
      <c r="BU8" s="273" t="str">
        <f>$O8</f>
        <v xml:space="preserve">to depletion </v>
      </c>
      <c r="BV8" s="274" t="str">
        <f>$Q8</f>
        <v>RUS/UKR</v>
      </c>
    </row>
    <row r="9" spans="1:74" ht="15" customHeight="1" thickBot="1" x14ac:dyDescent="0.5">
      <c r="B9" s="363"/>
      <c r="C9" s="364"/>
      <c r="D9" s="344">
        <v>44616</v>
      </c>
      <c r="E9" s="345">
        <f>D9</f>
        <v>44616</v>
      </c>
      <c r="F9" s="277" t="s">
        <v>347</v>
      </c>
      <c r="G9" s="277" t="s">
        <v>364</v>
      </c>
      <c r="H9" s="345">
        <v>45092</v>
      </c>
      <c r="I9" s="345">
        <v>45367</v>
      </c>
      <c r="J9" s="345">
        <v>45393</v>
      </c>
      <c r="K9" s="346">
        <v>44616</v>
      </c>
      <c r="L9" s="278" t="s">
        <v>290</v>
      </c>
      <c r="M9" s="278" t="s">
        <v>365</v>
      </c>
      <c r="N9" s="278" t="s">
        <v>356</v>
      </c>
      <c r="O9" s="278" t="s">
        <v>436</v>
      </c>
      <c r="P9" s="278" t="str">
        <f>L9</f>
        <v>confirmed</v>
      </c>
      <c r="Q9" s="279" t="s">
        <v>290</v>
      </c>
      <c r="R9" s="280" t="str">
        <f>$L9</f>
        <v>confirmed</v>
      </c>
      <c r="S9" s="281" t="str">
        <f>$M9</f>
        <v>unconfi.</v>
      </c>
      <c r="T9" s="281" t="str">
        <f>$N9</f>
        <v>per day</v>
      </c>
      <c r="U9" s="281" t="str">
        <f>$O9</f>
        <v>of all stocks</v>
      </c>
      <c r="V9" s="281" t="str">
        <f>$P9</f>
        <v>confirmed</v>
      </c>
      <c r="W9" s="282" t="str">
        <f>$Q9</f>
        <v>confirmed</v>
      </c>
      <c r="X9" s="280" t="str">
        <f>$L9</f>
        <v>confirmed</v>
      </c>
      <c r="Y9" s="281" t="str">
        <f>$M9</f>
        <v>unconfi.</v>
      </c>
      <c r="Z9" s="281" t="str">
        <f>$N9</f>
        <v>per day</v>
      </c>
      <c r="AA9" s="281" t="str">
        <f>$O9</f>
        <v>of all stocks</v>
      </c>
      <c r="AB9" s="281" t="str">
        <f>$P9</f>
        <v>confirmed</v>
      </c>
      <c r="AC9" s="282" t="str">
        <f>$Q9</f>
        <v>confirmed</v>
      </c>
      <c r="AD9" s="283" t="str">
        <f>$L9</f>
        <v>confirmed</v>
      </c>
      <c r="AE9" s="284" t="str">
        <f>$M9</f>
        <v>unconfi.</v>
      </c>
      <c r="AF9" s="284" t="str">
        <f>$N9</f>
        <v>per day</v>
      </c>
      <c r="AG9" s="284" t="str">
        <f>$O9</f>
        <v>of all stocks</v>
      </c>
      <c r="AH9" s="284" t="str">
        <f>$P9</f>
        <v>confirmed</v>
      </c>
      <c r="AI9" s="285" t="str">
        <f>$Q9</f>
        <v>confirmed</v>
      </c>
      <c r="AJ9" s="283" t="str">
        <f>$L9</f>
        <v>confirmed</v>
      </c>
      <c r="AK9" s="284" t="str">
        <f>$M9</f>
        <v>unconfi.</v>
      </c>
      <c r="AL9" s="284" t="str">
        <f>$N9</f>
        <v>per day</v>
      </c>
      <c r="AM9" s="284" t="str">
        <f>$O9</f>
        <v>of all stocks</v>
      </c>
      <c r="AN9" s="284" t="str">
        <f>$P9</f>
        <v>confirmed</v>
      </c>
      <c r="AO9" s="285" t="str">
        <f>$Q9</f>
        <v>confirmed</v>
      </c>
      <c r="AQ9" s="275"/>
      <c r="AR9" s="367" t="s">
        <v>275</v>
      </c>
      <c r="AS9" s="344">
        <f>J9</f>
        <v>45393</v>
      </c>
      <c r="AT9" s="375" t="str">
        <f t="shared" si="0"/>
        <v>daily in 2023</v>
      </c>
      <c r="AU9" s="281" t="str">
        <f>$L9</f>
        <v>confirmed</v>
      </c>
      <c r="AV9" s="281" t="str">
        <f>$M9</f>
        <v>unconfi.</v>
      </c>
      <c r="AW9" s="281" t="str">
        <f>$N9</f>
        <v>per day</v>
      </c>
      <c r="AX9" s="281" t="str">
        <f>$O9</f>
        <v>of all stocks</v>
      </c>
      <c r="AY9" s="281" t="str">
        <f>$P9</f>
        <v>confirmed</v>
      </c>
      <c r="AZ9" s="282" t="str">
        <f>$Q9</f>
        <v>confirmed</v>
      </c>
      <c r="BB9" s="275"/>
      <c r="BC9" s="367" t="s">
        <v>275</v>
      </c>
      <c r="BD9" s="348">
        <f>J9</f>
        <v>45393</v>
      </c>
      <c r="BE9" s="375" t="str">
        <f>G9</f>
        <v>daily in 2023</v>
      </c>
      <c r="BF9" s="284" t="str">
        <f>$L9</f>
        <v>confirmed</v>
      </c>
      <c r="BG9" s="284" t="str">
        <f>$M9</f>
        <v>unconfi.</v>
      </c>
      <c r="BH9" s="284" t="str">
        <f>$N9</f>
        <v>per day</v>
      </c>
      <c r="BI9" s="284" t="str">
        <f>$O9</f>
        <v>of all stocks</v>
      </c>
      <c r="BJ9" s="284" t="str">
        <f>$P9</f>
        <v>confirmed</v>
      </c>
      <c r="BK9" s="285" t="str">
        <f>$Q9</f>
        <v>confirmed</v>
      </c>
      <c r="BM9" s="275"/>
      <c r="BN9" s="367" t="s">
        <v>275</v>
      </c>
      <c r="BO9" s="348">
        <f>J9</f>
        <v>45393</v>
      </c>
      <c r="BP9" s="375" t="str">
        <f>G9</f>
        <v>daily in 2023</v>
      </c>
      <c r="BQ9" s="281" t="str">
        <f>$N9</f>
        <v>per day</v>
      </c>
      <c r="BR9" s="281" t="str">
        <f>$O9</f>
        <v>of all stocks</v>
      </c>
      <c r="BS9" s="282" t="str">
        <f>$Q9</f>
        <v>confirmed</v>
      </c>
      <c r="BT9" s="284" t="str">
        <f>$N9</f>
        <v>per day</v>
      </c>
      <c r="BU9" s="284" t="str">
        <f>$O9</f>
        <v>of all stocks</v>
      </c>
      <c r="BV9" s="285" t="str">
        <f>$Q9</f>
        <v>confirmed</v>
      </c>
    </row>
    <row r="10" spans="1:74" ht="15" thickTop="1" x14ac:dyDescent="0.35">
      <c r="B10" s="286">
        <v>1</v>
      </c>
      <c r="C10" s="263" t="s">
        <v>291</v>
      </c>
      <c r="D10" s="287">
        <v>3300</v>
      </c>
      <c r="E10" s="288">
        <f>S10/0.5</f>
        <v>13558</v>
      </c>
      <c r="F10" s="288">
        <v>250</v>
      </c>
      <c r="G10" s="351">
        <f>F10/365</f>
        <v>0.68493150684931503</v>
      </c>
      <c r="H10" s="288">
        <f>($E10+(DATEDIF($D$9,H$9,"M")/12)*$F10)-M10</f>
        <v>9915.5</v>
      </c>
      <c r="I10" s="288">
        <f>($E10+(DATEDIF($D$9,I$9,"M")/12)*$F10)-S10</f>
        <v>7279</v>
      </c>
      <c r="J10" s="288">
        <f>($E10+(DATEDIF($D$9,J$9,"M")/12)*$F10)-Y10</f>
        <v>6941.8333333333339</v>
      </c>
      <c r="K10" s="288">
        <v>850</v>
      </c>
      <c r="L10" s="287">
        <v>2043</v>
      </c>
      <c r="M10" s="288">
        <v>3955</v>
      </c>
      <c r="N10" s="324">
        <f>M10/M$4</f>
        <v>8.3088235294117645</v>
      </c>
      <c r="O10" s="288">
        <f>H10/(N10*30)</f>
        <v>39.778997050147495</v>
      </c>
      <c r="P10" s="288">
        <v>533</v>
      </c>
      <c r="Q10" s="289">
        <f t="shared" ref="Q10:Q44" si="1">L10/P10</f>
        <v>3.8330206378986866</v>
      </c>
      <c r="R10" s="288">
        <v>2827</v>
      </c>
      <c r="S10" s="288">
        <v>6779</v>
      </c>
      <c r="T10" s="324">
        <f>S10/S$4</f>
        <v>9.0266311584553929</v>
      </c>
      <c r="U10" s="288">
        <f>I10/(T10*30)</f>
        <v>26.879721689531394</v>
      </c>
      <c r="V10" s="288">
        <v>765</v>
      </c>
      <c r="W10" s="289">
        <f>R10/V10</f>
        <v>3.6954248366013074</v>
      </c>
      <c r="X10" s="288">
        <v>2920</v>
      </c>
      <c r="Y10" s="288">
        <v>7137</v>
      </c>
      <c r="Z10" s="324">
        <f>Y10/Y$4</f>
        <v>9.185328185328185</v>
      </c>
      <c r="AA10" s="288">
        <f>J10/(Z10*30)</f>
        <v>25.191744897482607</v>
      </c>
      <c r="AB10" s="288">
        <v>794</v>
      </c>
      <c r="AC10" s="289">
        <f>X10/AB10</f>
        <v>3.677581863979849</v>
      </c>
      <c r="AD10" s="288">
        <f t="shared" ref="AD10:AD39" si="2">R10-$L10</f>
        <v>784</v>
      </c>
      <c r="AE10" s="288">
        <f>S10-$M10</f>
        <v>2824</v>
      </c>
      <c r="AF10" s="337">
        <f>AE10/AE$4</f>
        <v>10.269090909090909</v>
      </c>
      <c r="AG10" s="288">
        <f>I10/(AF10*30)</f>
        <v>23.62753777148253</v>
      </c>
      <c r="AH10" s="288">
        <f t="shared" ref="AH10:AH39" si="3">V10-$P10</f>
        <v>232</v>
      </c>
      <c r="AI10" s="289">
        <f>AD10/AH10</f>
        <v>3.3793103448275863</v>
      </c>
      <c r="AJ10" s="288">
        <f t="shared" ref="AJ10:AJ39" si="4">X10-$L10</f>
        <v>877</v>
      </c>
      <c r="AK10" s="288">
        <f>Y10-$M10</f>
        <v>3182</v>
      </c>
      <c r="AL10" s="337">
        <f>AK10/AK$4</f>
        <v>10.571428571428571</v>
      </c>
      <c r="AM10" s="288">
        <f>J10/(AL10*30)</f>
        <v>21.888663663663667</v>
      </c>
      <c r="AN10" s="288">
        <f t="shared" ref="AN10:AN39" si="5">AB10-$P10</f>
        <v>261</v>
      </c>
      <c r="AO10" s="289">
        <f>AJ10/AN10</f>
        <v>3.3601532567049808</v>
      </c>
      <c r="AQ10" s="286">
        <v>1</v>
      </c>
      <c r="AR10" s="263" t="s">
        <v>291</v>
      </c>
      <c r="AS10" s="376">
        <f>J10</f>
        <v>6941.8333333333339</v>
      </c>
      <c r="AT10" s="379">
        <f>G10</f>
        <v>0.68493150684931503</v>
      </c>
      <c r="AU10" s="288">
        <f>X10</f>
        <v>2920</v>
      </c>
      <c r="AV10" s="288">
        <f>Y10</f>
        <v>7137</v>
      </c>
      <c r="AW10" s="324">
        <f>AV10/AV$4</f>
        <v>9.185328185328185</v>
      </c>
      <c r="AX10" s="288">
        <f>AS10/(AW10*30)</f>
        <v>25.191744897482607</v>
      </c>
      <c r="AY10" s="288">
        <f t="shared" ref="AY10:AY25" si="6">AB10</f>
        <v>794</v>
      </c>
      <c r="AZ10" s="289">
        <f>AU10/AY10</f>
        <v>3.677581863979849</v>
      </c>
      <c r="BB10" s="286">
        <v>1</v>
      </c>
      <c r="BC10" s="263" t="s">
        <v>291</v>
      </c>
      <c r="BD10" s="333">
        <f>J10</f>
        <v>6941.8333333333339</v>
      </c>
      <c r="BE10" s="379">
        <f>G10</f>
        <v>0.68493150684931503</v>
      </c>
      <c r="BF10" s="288">
        <f>AJ10</f>
        <v>877</v>
      </c>
      <c r="BG10" s="338">
        <f>AK10</f>
        <v>3182</v>
      </c>
      <c r="BH10" s="324">
        <f>BG10/BG$4</f>
        <v>10.571428571428571</v>
      </c>
      <c r="BI10" s="288">
        <f>BD10/(BH10*30)</f>
        <v>21.888663663663667</v>
      </c>
      <c r="BJ10" s="338">
        <f t="shared" ref="BJ10:BJ44" si="7">AN10</f>
        <v>261</v>
      </c>
      <c r="BK10" s="289">
        <f>BF10/BJ10</f>
        <v>3.3601532567049808</v>
      </c>
      <c r="BM10" s="286">
        <v>1</v>
      </c>
      <c r="BN10" s="263" t="s">
        <v>291</v>
      </c>
      <c r="BO10" s="333">
        <f>J10</f>
        <v>6941.8333333333339</v>
      </c>
      <c r="BP10" s="379">
        <f>G10</f>
        <v>0.68493150684931503</v>
      </c>
      <c r="BQ10" s="357">
        <f>AW10</f>
        <v>9.185328185328185</v>
      </c>
      <c r="BR10" s="338">
        <f>$BO10/(BQ10*30)</f>
        <v>25.191744897482607</v>
      </c>
      <c r="BS10" s="339">
        <f t="shared" ref="BS10:BS46" si="8">AZ10</f>
        <v>3.677581863979849</v>
      </c>
      <c r="BT10" s="357">
        <f>BH10</f>
        <v>10.571428571428571</v>
      </c>
      <c r="BU10" s="338">
        <f>$BO10/(BT10*30)</f>
        <v>21.888663663663667</v>
      </c>
      <c r="BV10" s="339">
        <f t="shared" ref="BV10:BV46" si="9">BK10</f>
        <v>3.3601532567049808</v>
      </c>
    </row>
    <row r="11" spans="1:74" x14ac:dyDescent="0.35">
      <c r="B11" s="286">
        <v>1.2</v>
      </c>
      <c r="C11" s="290" t="s">
        <v>292</v>
      </c>
      <c r="D11" s="291"/>
      <c r="E11" s="292"/>
      <c r="F11" s="292"/>
      <c r="G11" s="328"/>
      <c r="H11" s="292"/>
      <c r="I11" s="292"/>
      <c r="J11" s="292"/>
      <c r="K11" s="292"/>
      <c r="L11" s="291">
        <v>544</v>
      </c>
      <c r="M11" s="292"/>
      <c r="N11" s="354"/>
      <c r="O11" s="292"/>
      <c r="P11" s="292">
        <v>139</v>
      </c>
      <c r="Q11" s="293">
        <f t="shared" si="1"/>
        <v>3.9136690647482015</v>
      </c>
      <c r="R11" s="292">
        <v>537</v>
      </c>
      <c r="S11" s="292"/>
      <c r="T11" s="354"/>
      <c r="U11" s="292"/>
      <c r="V11" s="292">
        <v>131</v>
      </c>
      <c r="W11" s="293">
        <f t="shared" ref="W11:W44" si="10">R11/V11</f>
        <v>4.0992366412213741</v>
      </c>
      <c r="X11" s="292">
        <v>534</v>
      </c>
      <c r="Y11" s="292"/>
      <c r="Z11" s="354"/>
      <c r="AA11" s="292"/>
      <c r="AB11" s="292">
        <v>131</v>
      </c>
      <c r="AC11" s="293">
        <f t="shared" ref="AC11:AC37" si="11">X11/AB11</f>
        <v>4.0763358778625953</v>
      </c>
      <c r="AD11" s="292">
        <f t="shared" si="2"/>
        <v>-7</v>
      </c>
      <c r="AE11" s="292"/>
      <c r="AF11" s="383"/>
      <c r="AG11" s="292"/>
      <c r="AH11" s="292">
        <f t="shared" si="3"/>
        <v>-8</v>
      </c>
      <c r="AI11" s="294" t="s">
        <v>35</v>
      </c>
      <c r="AJ11" s="292">
        <f t="shared" si="4"/>
        <v>-10</v>
      </c>
      <c r="AK11" s="292"/>
      <c r="AL11" s="383"/>
      <c r="AM11" s="292"/>
      <c r="AN11" s="292">
        <f t="shared" si="5"/>
        <v>-8</v>
      </c>
      <c r="AO11" s="294" t="s">
        <v>35</v>
      </c>
      <c r="AQ11" s="286">
        <v>1.2</v>
      </c>
      <c r="AR11" s="290" t="s">
        <v>292</v>
      </c>
      <c r="AS11" s="291"/>
      <c r="AT11" s="380"/>
      <c r="AU11" s="292">
        <f t="shared" ref="AU11:AU44" si="12">X11</f>
        <v>534</v>
      </c>
      <c r="AV11" s="292"/>
      <c r="AW11" s="354"/>
      <c r="AX11" s="354"/>
      <c r="AY11" s="292">
        <f t="shared" si="6"/>
        <v>131</v>
      </c>
      <c r="AZ11" s="293">
        <f t="shared" ref="AZ11:AZ37" si="13">AU11/AY11</f>
        <v>4.0763358778625953</v>
      </c>
      <c r="BB11" s="286">
        <v>1.2</v>
      </c>
      <c r="BC11" s="290" t="s">
        <v>292</v>
      </c>
      <c r="BD11" s="332"/>
      <c r="BE11" s="380"/>
      <c r="BF11" s="292">
        <f t="shared" ref="BF11:BF39" si="14">AJ11</f>
        <v>-10</v>
      </c>
      <c r="BG11" s="292"/>
      <c r="BH11" s="354"/>
      <c r="BI11" s="354"/>
      <c r="BJ11" s="292">
        <f t="shared" si="7"/>
        <v>-8</v>
      </c>
      <c r="BK11" s="294" t="s">
        <v>35</v>
      </c>
      <c r="BM11" s="286">
        <v>1.2</v>
      </c>
      <c r="BN11" s="290" t="s">
        <v>292</v>
      </c>
      <c r="BO11" s="332"/>
      <c r="BP11" s="380"/>
      <c r="BQ11" s="383"/>
      <c r="BR11" s="383"/>
      <c r="BS11" s="384">
        <f t="shared" si="8"/>
        <v>4.0763358778625953</v>
      </c>
      <c r="BT11" s="383"/>
      <c r="BU11" s="383"/>
      <c r="BV11" s="384" t="str">
        <f t="shared" si="9"/>
        <v>-</v>
      </c>
    </row>
    <row r="12" spans="1:74" x14ac:dyDescent="0.35">
      <c r="B12" s="286">
        <v>2</v>
      </c>
      <c r="C12" s="263" t="s">
        <v>293</v>
      </c>
      <c r="D12" s="99"/>
      <c r="E12" s="159"/>
      <c r="F12" s="159"/>
      <c r="G12" s="9"/>
      <c r="H12" s="159"/>
      <c r="I12" s="159"/>
      <c r="J12" s="159"/>
      <c r="K12" s="159"/>
      <c r="L12" s="99">
        <v>885</v>
      </c>
      <c r="M12" s="159"/>
      <c r="N12" s="311"/>
      <c r="O12" s="159"/>
      <c r="P12" s="159">
        <v>285</v>
      </c>
      <c r="Q12" s="295">
        <f t="shared" si="1"/>
        <v>3.1052631578947367</v>
      </c>
      <c r="R12" s="159">
        <v>1261</v>
      </c>
      <c r="S12" s="159"/>
      <c r="T12" s="311"/>
      <c r="U12" s="159"/>
      <c r="V12" s="159">
        <v>360</v>
      </c>
      <c r="W12" s="295">
        <f t="shared" si="10"/>
        <v>3.5027777777777778</v>
      </c>
      <c r="X12" s="159">
        <v>1290</v>
      </c>
      <c r="Y12" s="159"/>
      <c r="Z12" s="311"/>
      <c r="AA12" s="159"/>
      <c r="AB12" s="159">
        <v>362</v>
      </c>
      <c r="AC12" s="295">
        <f t="shared" si="11"/>
        <v>3.5635359116022101</v>
      </c>
      <c r="AD12" s="159">
        <f t="shared" si="2"/>
        <v>376</v>
      </c>
      <c r="AE12" s="159"/>
      <c r="AF12" s="176"/>
      <c r="AG12" s="159"/>
      <c r="AH12" s="159">
        <f t="shared" si="3"/>
        <v>75</v>
      </c>
      <c r="AI12" s="295">
        <f t="shared" ref="AI12:AI37" si="15">AD12/AH12</f>
        <v>5.0133333333333336</v>
      </c>
      <c r="AJ12" s="159">
        <f t="shared" si="4"/>
        <v>405</v>
      </c>
      <c r="AK12" s="159"/>
      <c r="AL12" s="176"/>
      <c r="AM12" s="159"/>
      <c r="AN12" s="159">
        <f t="shared" si="5"/>
        <v>77</v>
      </c>
      <c r="AO12" s="295">
        <f t="shared" ref="AO12:AO19" si="16">AJ12/AN12</f>
        <v>5.2597402597402594</v>
      </c>
      <c r="AQ12" s="286">
        <v>2</v>
      </c>
      <c r="AR12" s="263" t="s">
        <v>293</v>
      </c>
      <c r="AS12" s="99"/>
      <c r="AT12" s="381"/>
      <c r="AU12" s="159">
        <f t="shared" si="12"/>
        <v>1290</v>
      </c>
      <c r="AV12" s="159"/>
      <c r="AW12" s="311"/>
      <c r="AX12" s="311"/>
      <c r="AY12" s="159">
        <f t="shared" si="6"/>
        <v>362</v>
      </c>
      <c r="AZ12" s="295">
        <f t="shared" si="13"/>
        <v>3.5635359116022101</v>
      </c>
      <c r="BB12" s="286">
        <v>2</v>
      </c>
      <c r="BC12" s="263" t="s">
        <v>293</v>
      </c>
      <c r="BD12" s="105"/>
      <c r="BE12" s="381"/>
      <c r="BF12" s="159">
        <f t="shared" si="14"/>
        <v>405</v>
      </c>
      <c r="BG12" s="159"/>
      <c r="BH12" s="311"/>
      <c r="BI12" s="311"/>
      <c r="BJ12" s="159">
        <f t="shared" si="7"/>
        <v>77</v>
      </c>
      <c r="BK12" s="295">
        <f>BF12/BJ12</f>
        <v>5.2597402597402594</v>
      </c>
      <c r="BM12" s="286">
        <v>2</v>
      </c>
      <c r="BN12" s="263" t="s">
        <v>293</v>
      </c>
      <c r="BO12" s="105"/>
      <c r="BP12" s="381"/>
      <c r="BQ12" s="176"/>
      <c r="BR12" s="176"/>
      <c r="BS12" s="385">
        <f t="shared" si="8"/>
        <v>3.5635359116022101</v>
      </c>
      <c r="BT12" s="176"/>
      <c r="BU12" s="176"/>
      <c r="BV12" s="385">
        <f t="shared" si="9"/>
        <v>5.2597402597402594</v>
      </c>
    </row>
    <row r="13" spans="1:74" x14ac:dyDescent="0.35">
      <c r="B13" s="286">
        <v>3</v>
      </c>
      <c r="C13" s="263" t="s">
        <v>294</v>
      </c>
      <c r="D13" s="99"/>
      <c r="E13" s="159"/>
      <c r="F13" s="159"/>
      <c r="G13" s="9"/>
      <c r="H13" s="159"/>
      <c r="I13" s="159"/>
      <c r="J13" s="159"/>
      <c r="K13" s="159"/>
      <c r="L13" s="99">
        <v>2402</v>
      </c>
      <c r="M13" s="159"/>
      <c r="N13" s="311"/>
      <c r="O13" s="159"/>
      <c r="P13" s="159">
        <v>571</v>
      </c>
      <c r="Q13" s="295">
        <f t="shared" si="1"/>
        <v>4.2066549912434326</v>
      </c>
      <c r="R13" s="159">
        <v>3620</v>
      </c>
      <c r="S13" s="159"/>
      <c r="T13" s="311"/>
      <c r="U13" s="159"/>
      <c r="V13" s="159">
        <v>875</v>
      </c>
      <c r="W13" s="295">
        <f t="shared" si="10"/>
        <v>4.137142857142857</v>
      </c>
      <c r="X13" s="159">
        <v>3812</v>
      </c>
      <c r="Y13" s="159"/>
      <c r="Z13" s="311"/>
      <c r="AA13" s="159"/>
      <c r="AB13" s="159">
        <v>896</v>
      </c>
      <c r="AC13" s="295">
        <f t="shared" si="11"/>
        <v>4.2544642857142856</v>
      </c>
      <c r="AD13" s="159">
        <f t="shared" si="2"/>
        <v>1218</v>
      </c>
      <c r="AE13" s="159"/>
      <c r="AF13" s="176"/>
      <c r="AG13" s="159"/>
      <c r="AH13" s="159">
        <f t="shared" si="3"/>
        <v>304</v>
      </c>
      <c r="AI13" s="295">
        <f t="shared" si="15"/>
        <v>4.0065789473684212</v>
      </c>
      <c r="AJ13" s="159">
        <f t="shared" si="4"/>
        <v>1410</v>
      </c>
      <c r="AK13" s="159"/>
      <c r="AL13" s="176"/>
      <c r="AM13" s="159"/>
      <c r="AN13" s="159">
        <f t="shared" si="5"/>
        <v>325</v>
      </c>
      <c r="AO13" s="295">
        <f t="shared" si="16"/>
        <v>4.3384615384615381</v>
      </c>
      <c r="AQ13" s="286">
        <v>3</v>
      </c>
      <c r="AR13" s="263" t="s">
        <v>294</v>
      </c>
      <c r="AS13" s="99"/>
      <c r="AT13" s="381"/>
      <c r="AU13" s="159">
        <f t="shared" si="12"/>
        <v>3812</v>
      </c>
      <c r="AV13" s="159"/>
      <c r="AW13" s="311"/>
      <c r="AX13" s="311"/>
      <c r="AY13" s="159">
        <f t="shared" si="6"/>
        <v>896</v>
      </c>
      <c r="AZ13" s="295">
        <f t="shared" si="13"/>
        <v>4.2544642857142856</v>
      </c>
      <c r="BB13" s="286">
        <v>3</v>
      </c>
      <c r="BC13" s="263" t="s">
        <v>294</v>
      </c>
      <c r="BD13" s="105"/>
      <c r="BE13" s="381"/>
      <c r="BF13" s="159">
        <f t="shared" si="14"/>
        <v>1410</v>
      </c>
      <c r="BG13" s="159"/>
      <c r="BH13" s="311"/>
      <c r="BI13" s="311"/>
      <c r="BJ13" s="159">
        <f t="shared" si="7"/>
        <v>325</v>
      </c>
      <c r="BK13" s="295">
        <f t="shared" ref="BK13:BK37" si="17">BF13/BJ13</f>
        <v>4.3384615384615381</v>
      </c>
      <c r="BM13" s="286">
        <v>3</v>
      </c>
      <c r="BN13" s="263" t="s">
        <v>294</v>
      </c>
      <c r="BO13" s="105"/>
      <c r="BP13" s="381"/>
      <c r="BQ13" s="176"/>
      <c r="BR13" s="176"/>
      <c r="BS13" s="385">
        <f t="shared" si="8"/>
        <v>4.2544642857142856</v>
      </c>
      <c r="BT13" s="176"/>
      <c r="BU13" s="176"/>
      <c r="BV13" s="385">
        <f t="shared" si="9"/>
        <v>4.3384615384615381</v>
      </c>
    </row>
    <row r="14" spans="1:74" x14ac:dyDescent="0.35">
      <c r="B14" s="286">
        <v>4</v>
      </c>
      <c r="C14" s="263" t="s">
        <v>295</v>
      </c>
      <c r="D14" s="99"/>
      <c r="E14" s="159"/>
      <c r="F14" s="159"/>
      <c r="G14" s="9"/>
      <c r="H14" s="159"/>
      <c r="I14" s="159"/>
      <c r="J14" s="159"/>
      <c r="K14" s="159"/>
      <c r="L14" s="99">
        <v>316</v>
      </c>
      <c r="M14" s="159"/>
      <c r="N14" s="311"/>
      <c r="O14" s="159"/>
      <c r="P14" s="159">
        <v>274</v>
      </c>
      <c r="Q14" s="295">
        <f t="shared" si="1"/>
        <v>1.1532846715328466</v>
      </c>
      <c r="R14" s="159">
        <v>409</v>
      </c>
      <c r="S14" s="159"/>
      <c r="T14" s="311"/>
      <c r="U14" s="159"/>
      <c r="V14" s="159">
        <v>423</v>
      </c>
      <c r="W14" s="295">
        <f t="shared" si="10"/>
        <v>0.96690307328605196</v>
      </c>
      <c r="X14" s="159">
        <v>421</v>
      </c>
      <c r="Y14" s="159"/>
      <c r="Z14" s="311"/>
      <c r="AA14" s="159"/>
      <c r="AB14" s="159">
        <v>441</v>
      </c>
      <c r="AC14" s="295">
        <f t="shared" si="11"/>
        <v>0.95464852607709749</v>
      </c>
      <c r="AD14" s="159">
        <f t="shared" si="2"/>
        <v>93</v>
      </c>
      <c r="AE14" s="159"/>
      <c r="AF14" s="176"/>
      <c r="AG14" s="159"/>
      <c r="AH14" s="159">
        <f t="shared" si="3"/>
        <v>149</v>
      </c>
      <c r="AI14" s="295">
        <f t="shared" si="15"/>
        <v>0.62416107382550334</v>
      </c>
      <c r="AJ14" s="159">
        <f t="shared" si="4"/>
        <v>105</v>
      </c>
      <c r="AK14" s="159"/>
      <c r="AL14" s="176"/>
      <c r="AM14" s="159"/>
      <c r="AN14" s="159">
        <f t="shared" si="5"/>
        <v>167</v>
      </c>
      <c r="AO14" s="295">
        <f t="shared" si="16"/>
        <v>0.62874251497005984</v>
      </c>
      <c r="AQ14" s="286">
        <v>4</v>
      </c>
      <c r="AR14" s="263" t="s">
        <v>295</v>
      </c>
      <c r="AS14" s="99"/>
      <c r="AT14" s="381"/>
      <c r="AU14" s="159">
        <f t="shared" si="12"/>
        <v>421</v>
      </c>
      <c r="AV14" s="159"/>
      <c r="AW14" s="311"/>
      <c r="AX14" s="311"/>
      <c r="AY14" s="159">
        <f t="shared" si="6"/>
        <v>441</v>
      </c>
      <c r="AZ14" s="295">
        <f t="shared" si="13"/>
        <v>0.95464852607709749</v>
      </c>
      <c r="BB14" s="286">
        <v>4</v>
      </c>
      <c r="BC14" s="263" t="s">
        <v>295</v>
      </c>
      <c r="BD14" s="105"/>
      <c r="BE14" s="381"/>
      <c r="BF14" s="159">
        <f t="shared" si="14"/>
        <v>105</v>
      </c>
      <c r="BG14" s="159"/>
      <c r="BH14" s="311"/>
      <c r="BI14" s="311"/>
      <c r="BJ14" s="159">
        <f t="shared" si="7"/>
        <v>167</v>
      </c>
      <c r="BK14" s="295">
        <f t="shared" si="17"/>
        <v>0.62874251497005984</v>
      </c>
      <c r="BM14" s="286">
        <v>4</v>
      </c>
      <c r="BN14" s="263" t="s">
        <v>295</v>
      </c>
      <c r="BO14" s="105"/>
      <c r="BP14" s="381"/>
      <c r="BQ14" s="176"/>
      <c r="BR14" s="176"/>
      <c r="BS14" s="385">
        <f t="shared" si="8"/>
        <v>0.95464852607709749</v>
      </c>
      <c r="BT14" s="176"/>
      <c r="BU14" s="176"/>
      <c r="BV14" s="385">
        <f t="shared" si="9"/>
        <v>0.62874251497005984</v>
      </c>
    </row>
    <row r="15" spans="1:74" x14ac:dyDescent="0.35">
      <c r="B15" s="286">
        <v>5</v>
      </c>
      <c r="C15" s="263" t="s">
        <v>296</v>
      </c>
      <c r="D15" s="99"/>
      <c r="E15" s="159"/>
      <c r="F15" s="159"/>
      <c r="G15" s="9"/>
      <c r="H15" s="159"/>
      <c r="I15" s="159"/>
      <c r="J15" s="159"/>
      <c r="K15" s="159"/>
      <c r="L15" s="99">
        <v>43</v>
      </c>
      <c r="M15" s="159"/>
      <c r="N15" s="311"/>
      <c r="O15" s="159"/>
      <c r="P15" s="159">
        <v>86</v>
      </c>
      <c r="Q15" s="295">
        <f t="shared" si="1"/>
        <v>0.5</v>
      </c>
      <c r="R15" s="159">
        <v>53</v>
      </c>
      <c r="S15" s="159"/>
      <c r="T15" s="311"/>
      <c r="U15" s="159"/>
      <c r="V15" s="159">
        <v>202</v>
      </c>
      <c r="W15" s="295">
        <f t="shared" si="10"/>
        <v>0.26237623762376239</v>
      </c>
      <c r="X15" s="159">
        <v>54</v>
      </c>
      <c r="Y15" s="159"/>
      <c r="Z15" s="311"/>
      <c r="AA15" s="159"/>
      <c r="AB15" s="159">
        <v>202</v>
      </c>
      <c r="AC15" s="295">
        <f t="shared" si="11"/>
        <v>0.26732673267326734</v>
      </c>
      <c r="AD15" s="159">
        <f t="shared" si="2"/>
        <v>10</v>
      </c>
      <c r="AE15" s="159"/>
      <c r="AF15" s="176"/>
      <c r="AG15" s="159"/>
      <c r="AH15" s="159">
        <f t="shared" si="3"/>
        <v>116</v>
      </c>
      <c r="AI15" s="295">
        <f t="shared" si="15"/>
        <v>8.6206896551724144E-2</v>
      </c>
      <c r="AJ15" s="159">
        <f t="shared" si="4"/>
        <v>11</v>
      </c>
      <c r="AK15" s="159"/>
      <c r="AL15" s="176"/>
      <c r="AM15" s="159"/>
      <c r="AN15" s="159">
        <f t="shared" si="5"/>
        <v>116</v>
      </c>
      <c r="AO15" s="295">
        <f t="shared" si="16"/>
        <v>9.4827586206896547E-2</v>
      </c>
      <c r="AQ15" s="286">
        <v>5</v>
      </c>
      <c r="AR15" s="263" t="s">
        <v>296</v>
      </c>
      <c r="AS15" s="99"/>
      <c r="AT15" s="381"/>
      <c r="AU15" s="159">
        <f t="shared" si="12"/>
        <v>54</v>
      </c>
      <c r="AV15" s="159"/>
      <c r="AW15" s="311"/>
      <c r="AX15" s="311"/>
      <c r="AY15" s="159">
        <f t="shared" si="6"/>
        <v>202</v>
      </c>
      <c r="AZ15" s="295">
        <f t="shared" si="13"/>
        <v>0.26732673267326734</v>
      </c>
      <c r="BB15" s="286">
        <v>5</v>
      </c>
      <c r="BC15" s="263" t="s">
        <v>296</v>
      </c>
      <c r="BD15" s="105"/>
      <c r="BE15" s="381"/>
      <c r="BF15" s="159">
        <f t="shared" si="14"/>
        <v>11</v>
      </c>
      <c r="BG15" s="159"/>
      <c r="BH15" s="311"/>
      <c r="BI15" s="311"/>
      <c r="BJ15" s="159">
        <f t="shared" si="7"/>
        <v>116</v>
      </c>
      <c r="BK15" s="295">
        <f t="shared" si="17"/>
        <v>9.4827586206896547E-2</v>
      </c>
      <c r="BM15" s="286">
        <v>5</v>
      </c>
      <c r="BN15" s="263" t="s">
        <v>296</v>
      </c>
      <c r="BO15" s="105"/>
      <c r="BP15" s="381"/>
      <c r="BQ15" s="176"/>
      <c r="BR15" s="176"/>
      <c r="BS15" s="385">
        <f t="shared" si="8"/>
        <v>0.26732673267326734</v>
      </c>
      <c r="BT15" s="176"/>
      <c r="BU15" s="176"/>
      <c r="BV15" s="385">
        <f t="shared" si="9"/>
        <v>9.4827586206896547E-2</v>
      </c>
    </row>
    <row r="16" spans="1:74" x14ac:dyDescent="0.35">
      <c r="B16" s="286">
        <v>6</v>
      </c>
      <c r="C16" s="263" t="s">
        <v>297</v>
      </c>
      <c r="D16" s="99"/>
      <c r="E16" s="159"/>
      <c r="F16" s="159"/>
      <c r="G16" s="9"/>
      <c r="H16" s="159"/>
      <c r="I16" s="159"/>
      <c r="J16" s="159"/>
      <c r="K16" s="159"/>
      <c r="L16" s="99">
        <v>191</v>
      </c>
      <c r="M16" s="159"/>
      <c r="N16" s="311"/>
      <c r="O16" s="159"/>
      <c r="P16" s="159">
        <v>322</v>
      </c>
      <c r="Q16" s="295">
        <f t="shared" si="1"/>
        <v>0.59316770186335399</v>
      </c>
      <c r="R16" s="159">
        <v>238</v>
      </c>
      <c r="S16" s="159"/>
      <c r="T16" s="311"/>
      <c r="U16" s="159"/>
      <c r="V16" s="159">
        <v>420</v>
      </c>
      <c r="W16" s="295">
        <f t="shared" si="10"/>
        <v>0.56666666666666665</v>
      </c>
      <c r="X16" s="159">
        <v>240</v>
      </c>
      <c r="Y16" s="159"/>
      <c r="Z16" s="311"/>
      <c r="AA16" s="159"/>
      <c r="AB16" s="159">
        <v>432</v>
      </c>
      <c r="AC16" s="295">
        <f t="shared" si="11"/>
        <v>0.55555555555555558</v>
      </c>
      <c r="AD16" s="159">
        <f t="shared" si="2"/>
        <v>47</v>
      </c>
      <c r="AE16" s="159"/>
      <c r="AF16" s="176"/>
      <c r="AG16" s="159"/>
      <c r="AH16" s="159">
        <f t="shared" si="3"/>
        <v>98</v>
      </c>
      <c r="AI16" s="295">
        <f t="shared" si="15"/>
        <v>0.47959183673469385</v>
      </c>
      <c r="AJ16" s="159">
        <f t="shared" si="4"/>
        <v>49</v>
      </c>
      <c r="AK16" s="159"/>
      <c r="AL16" s="176"/>
      <c r="AM16" s="159"/>
      <c r="AN16" s="159">
        <f t="shared" si="5"/>
        <v>110</v>
      </c>
      <c r="AO16" s="295">
        <f t="shared" si="16"/>
        <v>0.44545454545454544</v>
      </c>
      <c r="AQ16" s="286">
        <v>6</v>
      </c>
      <c r="AR16" s="263" t="s">
        <v>297</v>
      </c>
      <c r="AS16" s="99"/>
      <c r="AT16" s="381"/>
      <c r="AU16" s="159">
        <f t="shared" si="12"/>
        <v>240</v>
      </c>
      <c r="AV16" s="159"/>
      <c r="AW16" s="311"/>
      <c r="AX16" s="311"/>
      <c r="AY16" s="159">
        <f t="shared" si="6"/>
        <v>432</v>
      </c>
      <c r="AZ16" s="295">
        <f t="shared" si="13"/>
        <v>0.55555555555555558</v>
      </c>
      <c r="BB16" s="286">
        <v>6</v>
      </c>
      <c r="BC16" s="263" t="s">
        <v>297</v>
      </c>
      <c r="BD16" s="105"/>
      <c r="BE16" s="381"/>
      <c r="BF16" s="159">
        <f t="shared" si="14"/>
        <v>49</v>
      </c>
      <c r="BG16" s="159"/>
      <c r="BH16" s="311"/>
      <c r="BI16" s="311"/>
      <c r="BJ16" s="159">
        <f t="shared" si="7"/>
        <v>110</v>
      </c>
      <c r="BK16" s="295">
        <f t="shared" si="17"/>
        <v>0.44545454545454544</v>
      </c>
      <c r="BM16" s="286">
        <v>6</v>
      </c>
      <c r="BN16" s="263" t="s">
        <v>297</v>
      </c>
      <c r="BO16" s="105"/>
      <c r="BP16" s="381"/>
      <c r="BQ16" s="176"/>
      <c r="BR16" s="176"/>
      <c r="BS16" s="385">
        <f t="shared" si="8"/>
        <v>0.55555555555555558</v>
      </c>
      <c r="BT16" s="176"/>
      <c r="BU16" s="176"/>
      <c r="BV16" s="385">
        <f t="shared" si="9"/>
        <v>0.44545454545454544</v>
      </c>
    </row>
    <row r="17" spans="2:74" x14ac:dyDescent="0.35">
      <c r="B17" s="286">
        <v>7</v>
      </c>
      <c r="C17" s="263" t="s">
        <v>298</v>
      </c>
      <c r="D17" s="99"/>
      <c r="E17" s="159"/>
      <c r="F17" s="159"/>
      <c r="G17" s="9"/>
      <c r="H17" s="159"/>
      <c r="I17" s="159"/>
      <c r="J17" s="159"/>
      <c r="K17" s="159"/>
      <c r="L17" s="99">
        <v>243</v>
      </c>
      <c r="M17" s="159"/>
      <c r="N17" s="311"/>
      <c r="O17" s="159"/>
      <c r="P17" s="159">
        <v>15</v>
      </c>
      <c r="Q17" s="295">
        <f t="shared" si="1"/>
        <v>16.2</v>
      </c>
      <c r="R17" s="159">
        <v>274</v>
      </c>
      <c r="S17" s="159"/>
      <c r="T17" s="311"/>
      <c r="U17" s="159"/>
      <c r="V17" s="159">
        <v>18</v>
      </c>
      <c r="W17" s="295">
        <f t="shared" si="10"/>
        <v>15.222222222222221</v>
      </c>
      <c r="X17" s="159">
        <v>276</v>
      </c>
      <c r="Y17" s="159"/>
      <c r="Z17" s="311"/>
      <c r="AA17" s="159"/>
      <c r="AB17" s="159">
        <v>18</v>
      </c>
      <c r="AC17" s="295">
        <f t="shared" si="11"/>
        <v>15.333333333333334</v>
      </c>
      <c r="AD17" s="159">
        <f t="shared" si="2"/>
        <v>31</v>
      </c>
      <c r="AE17" s="159"/>
      <c r="AF17" s="176"/>
      <c r="AG17" s="159"/>
      <c r="AH17" s="159">
        <f t="shared" si="3"/>
        <v>3</v>
      </c>
      <c r="AI17" s="295">
        <f t="shared" si="15"/>
        <v>10.333333333333334</v>
      </c>
      <c r="AJ17" s="159">
        <f t="shared" si="4"/>
        <v>33</v>
      </c>
      <c r="AK17" s="159"/>
      <c r="AL17" s="176"/>
      <c r="AM17" s="159"/>
      <c r="AN17" s="159">
        <f t="shared" si="5"/>
        <v>3</v>
      </c>
      <c r="AO17" s="295">
        <f t="shared" si="16"/>
        <v>11</v>
      </c>
      <c r="AQ17" s="286">
        <v>7</v>
      </c>
      <c r="AR17" s="263" t="s">
        <v>298</v>
      </c>
      <c r="AS17" s="99"/>
      <c r="AT17" s="381"/>
      <c r="AU17" s="159">
        <f t="shared" si="12"/>
        <v>276</v>
      </c>
      <c r="AV17" s="159"/>
      <c r="AW17" s="311"/>
      <c r="AX17" s="311"/>
      <c r="AY17" s="159">
        <f t="shared" si="6"/>
        <v>18</v>
      </c>
      <c r="AZ17" s="295">
        <f t="shared" si="13"/>
        <v>15.333333333333334</v>
      </c>
      <c r="BB17" s="286">
        <v>7</v>
      </c>
      <c r="BC17" s="263" t="s">
        <v>298</v>
      </c>
      <c r="BD17" s="105"/>
      <c r="BE17" s="381"/>
      <c r="BF17" s="159">
        <f t="shared" si="14"/>
        <v>33</v>
      </c>
      <c r="BG17" s="159"/>
      <c r="BH17" s="311"/>
      <c r="BI17" s="311"/>
      <c r="BJ17" s="159">
        <f t="shared" si="7"/>
        <v>3</v>
      </c>
      <c r="BK17" s="295">
        <f>BF17/BJ17</f>
        <v>11</v>
      </c>
      <c r="BM17" s="286">
        <v>7</v>
      </c>
      <c r="BN17" s="263" t="s">
        <v>298</v>
      </c>
      <c r="BO17" s="105"/>
      <c r="BP17" s="381"/>
      <c r="BQ17" s="176"/>
      <c r="BR17" s="176"/>
      <c r="BS17" s="385">
        <f t="shared" si="8"/>
        <v>15.333333333333334</v>
      </c>
      <c r="BT17" s="176"/>
      <c r="BU17" s="176"/>
      <c r="BV17" s="385">
        <f t="shared" si="9"/>
        <v>11</v>
      </c>
    </row>
    <row r="18" spans="2:74" x14ac:dyDescent="0.35">
      <c r="B18" s="286">
        <v>8</v>
      </c>
      <c r="C18" s="263" t="s">
        <v>299</v>
      </c>
      <c r="D18" s="287">
        <v>13758</v>
      </c>
      <c r="E18" s="288">
        <f>S18/0.46</f>
        <v>28202.173913043476</v>
      </c>
      <c r="F18" s="288">
        <f>400+200</f>
        <v>600</v>
      </c>
      <c r="G18" s="351">
        <f>F18/365</f>
        <v>1.6438356164383561</v>
      </c>
      <c r="H18" s="288">
        <f>($E18+(DATEDIF($D$9,H$9,"M")/12)*$F18)-M18</f>
        <v>21285.173913043476</v>
      </c>
      <c r="I18" s="288">
        <f>($E18+(DATEDIF($D$9,I$9,"M")/12)*$F18)-S18</f>
        <v>16429.173913043476</v>
      </c>
      <c r="J18" s="288">
        <f>($E18+(DATEDIF($D$9,J$9,"M")/12)*$F18)-Y18</f>
        <v>15773.173913043476</v>
      </c>
      <c r="K18" s="292"/>
      <c r="L18" s="287">
        <f>SUM(L12:L17)</f>
        <v>4080</v>
      </c>
      <c r="M18" s="288">
        <v>7667</v>
      </c>
      <c r="N18" s="324">
        <f>M18/M$4</f>
        <v>16.107142857142858</v>
      </c>
      <c r="O18" s="288">
        <f>H18/(N18*30)</f>
        <v>44.049140396542299</v>
      </c>
      <c r="P18" s="288">
        <f>SUM(P12:P17)</f>
        <v>1553</v>
      </c>
      <c r="Q18" s="289">
        <f t="shared" si="1"/>
        <v>2.6271732131358663</v>
      </c>
      <c r="R18" s="288">
        <f>SUM(R12:R17)</f>
        <v>5855</v>
      </c>
      <c r="S18" s="288">
        <v>12973</v>
      </c>
      <c r="T18" s="324">
        <f>S18/S$4</f>
        <v>17.274300932090547</v>
      </c>
      <c r="U18" s="288">
        <f>I18/(T18*30)</f>
        <v>31.702535030950568</v>
      </c>
      <c r="V18" s="288">
        <f>SUM(V12:V17)</f>
        <v>2298</v>
      </c>
      <c r="W18" s="289">
        <f t="shared" si="10"/>
        <v>2.5478677110530898</v>
      </c>
      <c r="X18" s="288">
        <f>SUM(X12:X17)</f>
        <v>6093</v>
      </c>
      <c r="Y18" s="288">
        <v>13679</v>
      </c>
      <c r="Z18" s="324">
        <f>Y18/Y$4</f>
        <v>17.604890604890606</v>
      </c>
      <c r="AA18" s="288">
        <f>J18/(Z18*30)</f>
        <v>29.865136658222532</v>
      </c>
      <c r="AB18" s="288">
        <f>SUM(AB12:AB17)</f>
        <v>2351</v>
      </c>
      <c r="AC18" s="289">
        <f t="shared" si="11"/>
        <v>2.5916631220757123</v>
      </c>
      <c r="AD18" s="288">
        <f t="shared" si="2"/>
        <v>1775</v>
      </c>
      <c r="AE18" s="288">
        <f>S18-$M18</f>
        <v>5306</v>
      </c>
      <c r="AF18" s="337">
        <f>AE18/AE$4</f>
        <v>19.294545454545453</v>
      </c>
      <c r="AG18" s="288">
        <f>I18/(AF18*30)</f>
        <v>28.383106081712253</v>
      </c>
      <c r="AH18" s="288">
        <f t="shared" si="3"/>
        <v>745</v>
      </c>
      <c r="AI18" s="289">
        <f t="shared" si="15"/>
        <v>2.3825503355704698</v>
      </c>
      <c r="AJ18" s="288">
        <f t="shared" si="4"/>
        <v>2013</v>
      </c>
      <c r="AK18" s="288">
        <f>Y18-$M18</f>
        <v>6012</v>
      </c>
      <c r="AL18" s="337">
        <f>AK18/AK$4</f>
        <v>19.973421926910298</v>
      </c>
      <c r="AM18" s="288">
        <f>J18/(AL18*30)</f>
        <v>26.323604722921306</v>
      </c>
      <c r="AN18" s="288">
        <f t="shared" si="5"/>
        <v>798</v>
      </c>
      <c r="AO18" s="289">
        <f t="shared" si="16"/>
        <v>2.5225563909774436</v>
      </c>
      <c r="AQ18" s="286">
        <v>8</v>
      </c>
      <c r="AR18" s="263" t="s">
        <v>299</v>
      </c>
      <c r="AS18" s="287">
        <f>J18</f>
        <v>15773.173913043476</v>
      </c>
      <c r="AT18" s="379">
        <f>G18</f>
        <v>1.6438356164383561</v>
      </c>
      <c r="AU18" s="288">
        <f t="shared" si="12"/>
        <v>6093</v>
      </c>
      <c r="AV18" s="288">
        <f t="shared" ref="AV18:AV19" si="18">Y18</f>
        <v>13679</v>
      </c>
      <c r="AW18" s="324">
        <f>AV18/AV$4</f>
        <v>17.604890604890606</v>
      </c>
      <c r="AX18" s="288">
        <f>AS18/(AW18*30)</f>
        <v>29.865136658222532</v>
      </c>
      <c r="AY18" s="288">
        <f t="shared" si="6"/>
        <v>2351</v>
      </c>
      <c r="AZ18" s="289">
        <f t="shared" si="13"/>
        <v>2.5916631220757123</v>
      </c>
      <c r="BB18" s="286">
        <v>8</v>
      </c>
      <c r="BC18" s="263" t="s">
        <v>299</v>
      </c>
      <c r="BD18" s="333">
        <f>J18</f>
        <v>15773.173913043476</v>
      </c>
      <c r="BE18" s="379">
        <f>G18</f>
        <v>1.6438356164383561</v>
      </c>
      <c r="BF18" s="288">
        <f t="shared" si="14"/>
        <v>2013</v>
      </c>
      <c r="BG18" s="288">
        <f>AK18</f>
        <v>6012</v>
      </c>
      <c r="BH18" s="324">
        <f>BG18/BG$4</f>
        <v>19.973421926910298</v>
      </c>
      <c r="BI18" s="288">
        <f>BD18/(BH18*30)</f>
        <v>26.323604722921306</v>
      </c>
      <c r="BJ18" s="288">
        <f t="shared" si="7"/>
        <v>798</v>
      </c>
      <c r="BK18" s="289">
        <f t="shared" si="17"/>
        <v>2.5225563909774436</v>
      </c>
      <c r="BM18" s="286">
        <v>8</v>
      </c>
      <c r="BN18" s="263" t="s">
        <v>299</v>
      </c>
      <c r="BO18" s="333">
        <f>J18</f>
        <v>15773.173913043476</v>
      </c>
      <c r="BP18" s="379">
        <f>G18</f>
        <v>1.6438356164383561</v>
      </c>
      <c r="BQ18" s="337">
        <f>AW18</f>
        <v>17.604890604890606</v>
      </c>
      <c r="BR18" s="288">
        <f>$BO18/(BQ18*30)</f>
        <v>29.865136658222532</v>
      </c>
      <c r="BS18" s="340">
        <f t="shared" si="8"/>
        <v>2.5916631220757123</v>
      </c>
      <c r="BT18" s="337">
        <f>BH18</f>
        <v>19.973421926910298</v>
      </c>
      <c r="BU18" s="288">
        <f>$BO18/(BT18*30)</f>
        <v>26.323604722921306</v>
      </c>
      <c r="BV18" s="340">
        <f t="shared" si="9"/>
        <v>2.5225563909774436</v>
      </c>
    </row>
    <row r="19" spans="2:74" x14ac:dyDescent="0.35">
      <c r="B19" s="286">
        <v>9</v>
      </c>
      <c r="C19" s="263" t="s">
        <v>300</v>
      </c>
      <c r="D19" s="291"/>
      <c r="E19" s="408" t="s">
        <v>35</v>
      </c>
      <c r="F19" s="288">
        <f>F10*($S19/$S10)</f>
        <v>63.13615577518808</v>
      </c>
      <c r="G19" s="351">
        <f>F19/365</f>
        <v>0.17297576924709063</v>
      </c>
      <c r="H19" s="288">
        <f>H10*($S19/$S10)</f>
        <v>2504.1062103555096</v>
      </c>
      <c r="I19" s="288">
        <f>I10*($S19/$S10)</f>
        <v>1838.2723115503761</v>
      </c>
      <c r="J19" s="288">
        <f>J10*($S19/$S10)</f>
        <v>1753.122682794906</v>
      </c>
      <c r="K19" s="292"/>
      <c r="L19" s="287">
        <v>310</v>
      </c>
      <c r="M19" s="288">
        <v>519</v>
      </c>
      <c r="N19" s="324">
        <f>M19/M$4</f>
        <v>1.0903361344537814</v>
      </c>
      <c r="O19" s="288">
        <f>H19/(N19*30)</f>
        <v>76.554563656340576</v>
      </c>
      <c r="P19" s="288">
        <v>65</v>
      </c>
      <c r="Q19" s="289">
        <f t="shared" si="1"/>
        <v>4.7692307692307692</v>
      </c>
      <c r="R19" s="288">
        <v>445</v>
      </c>
      <c r="S19" s="288">
        <v>1712</v>
      </c>
      <c r="T19" s="324">
        <f>S19/S$4</f>
        <v>2.2796271637816243</v>
      </c>
      <c r="U19" s="288">
        <f>I19/(T19*30)</f>
        <v>26.879721689531397</v>
      </c>
      <c r="V19" s="288">
        <v>148</v>
      </c>
      <c r="W19" s="289">
        <f t="shared" si="10"/>
        <v>3.0067567567567566</v>
      </c>
      <c r="X19" s="288">
        <v>458</v>
      </c>
      <c r="Y19" s="288">
        <v>1882</v>
      </c>
      <c r="Z19" s="324">
        <f>Y19/Y$4</f>
        <v>2.4221364221364223</v>
      </c>
      <c r="AA19" s="288">
        <f>J19/(Z19*30)</f>
        <v>24.126396112852319</v>
      </c>
      <c r="AB19" s="288">
        <v>152</v>
      </c>
      <c r="AC19" s="289">
        <f t="shared" si="11"/>
        <v>3.013157894736842</v>
      </c>
      <c r="AD19" s="288">
        <f t="shared" si="2"/>
        <v>135</v>
      </c>
      <c r="AE19" s="288">
        <f>S19-$M19</f>
        <v>1193</v>
      </c>
      <c r="AF19" s="337">
        <f>AE19/AE$4</f>
        <v>4.3381818181818179</v>
      </c>
      <c r="AG19" s="288">
        <f>I19/(AF19*30)</f>
        <v>14.124752324010995</v>
      </c>
      <c r="AH19" s="288">
        <f t="shared" si="3"/>
        <v>83</v>
      </c>
      <c r="AI19" s="289">
        <f t="shared" si="15"/>
        <v>1.6265060240963856</v>
      </c>
      <c r="AJ19" s="288">
        <f t="shared" si="4"/>
        <v>148</v>
      </c>
      <c r="AK19" s="288">
        <f>Y19-$M19</f>
        <v>1363</v>
      </c>
      <c r="AL19" s="337">
        <f>AK19/AK$4</f>
        <v>4.5282392026578071</v>
      </c>
      <c r="AM19" s="288">
        <f>J19/(AL19*30)</f>
        <v>12.905109501620609</v>
      </c>
      <c r="AN19" s="288">
        <f t="shared" si="5"/>
        <v>87</v>
      </c>
      <c r="AO19" s="289">
        <f t="shared" si="16"/>
        <v>1.7011494252873562</v>
      </c>
      <c r="AQ19" s="286">
        <v>9</v>
      </c>
      <c r="AR19" s="263" t="s">
        <v>300</v>
      </c>
      <c r="AS19" s="287">
        <f>J19</f>
        <v>1753.122682794906</v>
      </c>
      <c r="AT19" s="379">
        <f>G19</f>
        <v>0.17297576924709063</v>
      </c>
      <c r="AU19" s="288">
        <f t="shared" si="12"/>
        <v>458</v>
      </c>
      <c r="AV19" s="288">
        <f t="shared" si="18"/>
        <v>1882</v>
      </c>
      <c r="AW19" s="324">
        <f>AV19/AV$4</f>
        <v>2.4221364221364223</v>
      </c>
      <c r="AX19" s="288">
        <f>AS19/(AW19*30)</f>
        <v>24.126396112852319</v>
      </c>
      <c r="AY19" s="288">
        <f t="shared" si="6"/>
        <v>152</v>
      </c>
      <c r="AZ19" s="289">
        <f t="shared" si="13"/>
        <v>3.013157894736842</v>
      </c>
      <c r="BB19" s="286">
        <v>9</v>
      </c>
      <c r="BC19" s="263" t="s">
        <v>300</v>
      </c>
      <c r="BD19" s="333">
        <f>J19</f>
        <v>1753.122682794906</v>
      </c>
      <c r="BE19" s="379">
        <f>G19</f>
        <v>0.17297576924709063</v>
      </c>
      <c r="BF19" s="288">
        <f t="shared" si="14"/>
        <v>148</v>
      </c>
      <c r="BG19" s="288">
        <f>AK19</f>
        <v>1363</v>
      </c>
      <c r="BH19" s="324">
        <f>BG19/BG$4</f>
        <v>4.5282392026578071</v>
      </c>
      <c r="BI19" s="288">
        <f>BD19/(BH19*30)</f>
        <v>12.905109501620609</v>
      </c>
      <c r="BJ19" s="288">
        <f t="shared" si="7"/>
        <v>87</v>
      </c>
      <c r="BK19" s="289">
        <f t="shared" si="17"/>
        <v>1.7011494252873562</v>
      </c>
      <c r="BM19" s="286">
        <v>9</v>
      </c>
      <c r="BN19" s="263" t="s">
        <v>300</v>
      </c>
      <c r="BO19" s="333">
        <f>J19</f>
        <v>1753.122682794906</v>
      </c>
      <c r="BP19" s="379">
        <f>G19</f>
        <v>0.17297576924709063</v>
      </c>
      <c r="BQ19" s="337">
        <f>AW19</f>
        <v>2.4221364221364223</v>
      </c>
      <c r="BR19" s="288">
        <f>$BO19/(BQ19*30)</f>
        <v>24.126396112852319</v>
      </c>
      <c r="BS19" s="340">
        <f t="shared" si="8"/>
        <v>3.013157894736842</v>
      </c>
      <c r="BT19" s="337">
        <f>BH19</f>
        <v>4.5282392026578071</v>
      </c>
      <c r="BU19" s="288">
        <f>$BO19/(BT19*30)</f>
        <v>12.905109501620609</v>
      </c>
      <c r="BV19" s="340">
        <f t="shared" si="9"/>
        <v>1.7011494252873562</v>
      </c>
    </row>
    <row r="20" spans="2:74" x14ac:dyDescent="0.35">
      <c r="B20" s="286">
        <v>10</v>
      </c>
      <c r="C20" s="263" t="s">
        <v>301</v>
      </c>
      <c r="D20" s="99"/>
      <c r="E20" s="159"/>
      <c r="F20" s="159"/>
      <c r="G20" s="9"/>
      <c r="H20" s="159"/>
      <c r="I20" s="159"/>
      <c r="J20" s="159"/>
      <c r="K20" s="159"/>
      <c r="L20" s="99">
        <v>38</v>
      </c>
      <c r="M20" s="159"/>
      <c r="N20" s="311"/>
      <c r="O20" s="159"/>
      <c r="P20" s="159">
        <v>21</v>
      </c>
      <c r="Q20" s="295">
        <f t="shared" si="1"/>
        <v>1.8095238095238095</v>
      </c>
      <c r="R20" s="159">
        <v>44</v>
      </c>
      <c r="S20" s="159"/>
      <c r="T20" s="311"/>
      <c r="U20" s="159"/>
      <c r="V20" s="159">
        <v>21</v>
      </c>
      <c r="W20" s="295">
        <f t="shared" si="10"/>
        <v>2.0952380952380953</v>
      </c>
      <c r="X20" s="159">
        <v>44</v>
      </c>
      <c r="Y20" s="159"/>
      <c r="Z20" s="311"/>
      <c r="AA20" s="159"/>
      <c r="AB20" s="159">
        <v>20</v>
      </c>
      <c r="AC20" s="295">
        <f t="shared" si="11"/>
        <v>2.2000000000000002</v>
      </c>
      <c r="AD20" s="159">
        <f t="shared" si="2"/>
        <v>6</v>
      </c>
      <c r="AE20" s="159"/>
      <c r="AF20" s="176"/>
      <c r="AG20" s="159"/>
      <c r="AH20" s="159">
        <f t="shared" si="3"/>
        <v>0</v>
      </c>
      <c r="AI20" s="296" t="s">
        <v>35</v>
      </c>
      <c r="AJ20" s="159">
        <f t="shared" si="4"/>
        <v>6</v>
      </c>
      <c r="AK20" s="159"/>
      <c r="AL20" s="176"/>
      <c r="AM20" s="159"/>
      <c r="AN20" s="159">
        <f t="shared" si="5"/>
        <v>-1</v>
      </c>
      <c r="AO20" s="296" t="s">
        <v>35</v>
      </c>
      <c r="AQ20" s="286">
        <v>10</v>
      </c>
      <c r="AR20" s="263" t="s">
        <v>301</v>
      </c>
      <c r="AS20" s="99"/>
      <c r="AT20" s="381"/>
      <c r="AU20" s="159">
        <f t="shared" si="12"/>
        <v>44</v>
      </c>
      <c r="AV20" s="159"/>
      <c r="AW20" s="311"/>
      <c r="AX20" s="311"/>
      <c r="AY20" s="159">
        <f t="shared" si="6"/>
        <v>20</v>
      </c>
      <c r="AZ20" s="295">
        <f t="shared" si="13"/>
        <v>2.2000000000000002</v>
      </c>
      <c r="BB20" s="286">
        <v>10</v>
      </c>
      <c r="BC20" s="263" t="s">
        <v>301</v>
      </c>
      <c r="BD20" s="105"/>
      <c r="BE20" s="381"/>
      <c r="BF20" s="159">
        <f t="shared" si="14"/>
        <v>6</v>
      </c>
      <c r="BG20" s="159"/>
      <c r="BH20" s="311"/>
      <c r="BI20" s="311"/>
      <c r="BJ20" s="159">
        <f t="shared" si="7"/>
        <v>-1</v>
      </c>
      <c r="BK20" s="296" t="s">
        <v>35</v>
      </c>
      <c r="BM20" s="286">
        <v>10</v>
      </c>
      <c r="BN20" s="263" t="s">
        <v>301</v>
      </c>
      <c r="BO20" s="105"/>
      <c r="BP20" s="381"/>
      <c r="BQ20" s="176"/>
      <c r="BR20" s="176"/>
      <c r="BS20" s="386">
        <f t="shared" si="8"/>
        <v>2.2000000000000002</v>
      </c>
      <c r="BT20" s="176"/>
      <c r="BU20" s="176"/>
      <c r="BV20" s="386" t="str">
        <f t="shared" si="9"/>
        <v>-</v>
      </c>
    </row>
    <row r="21" spans="2:74" x14ac:dyDescent="0.35">
      <c r="B21" s="286">
        <v>11</v>
      </c>
      <c r="C21" s="263" t="s">
        <v>302</v>
      </c>
      <c r="D21" s="99"/>
      <c r="E21" s="159"/>
      <c r="F21" s="159"/>
      <c r="G21" s="9"/>
      <c r="H21" s="159"/>
      <c r="I21" s="159"/>
      <c r="J21" s="159"/>
      <c r="K21" s="159"/>
      <c r="L21" s="99">
        <v>103</v>
      </c>
      <c r="M21" s="159"/>
      <c r="N21" s="311"/>
      <c r="O21" s="159"/>
      <c r="P21" s="159">
        <v>23</v>
      </c>
      <c r="Q21" s="295">
        <f t="shared" si="1"/>
        <v>4.4782608695652177</v>
      </c>
      <c r="R21" s="159">
        <v>116</v>
      </c>
      <c r="S21" s="159"/>
      <c r="T21" s="311"/>
      <c r="U21" s="159"/>
      <c r="V21" s="159">
        <v>26</v>
      </c>
      <c r="W21" s="295">
        <f t="shared" si="10"/>
        <v>4.4615384615384617</v>
      </c>
      <c r="X21" s="159">
        <v>116</v>
      </c>
      <c r="Y21" s="159"/>
      <c r="Z21" s="311"/>
      <c r="AA21" s="159"/>
      <c r="AB21" s="159">
        <v>26</v>
      </c>
      <c r="AC21" s="295">
        <f t="shared" si="11"/>
        <v>4.4615384615384617</v>
      </c>
      <c r="AD21" s="159">
        <f t="shared" si="2"/>
        <v>13</v>
      </c>
      <c r="AE21" s="159"/>
      <c r="AF21" s="176"/>
      <c r="AG21" s="159"/>
      <c r="AH21" s="159">
        <f t="shared" si="3"/>
        <v>3</v>
      </c>
      <c r="AI21" s="295">
        <f t="shared" si="15"/>
        <v>4.333333333333333</v>
      </c>
      <c r="AJ21" s="159">
        <f t="shared" si="4"/>
        <v>13</v>
      </c>
      <c r="AK21" s="159"/>
      <c r="AL21" s="176"/>
      <c r="AM21" s="159"/>
      <c r="AN21" s="159">
        <f t="shared" si="5"/>
        <v>3</v>
      </c>
      <c r="AO21" s="295">
        <f t="shared" ref="AO21:AO25" si="19">AJ21/AN21</f>
        <v>4.333333333333333</v>
      </c>
      <c r="AQ21" s="286">
        <v>11</v>
      </c>
      <c r="AR21" s="263" t="s">
        <v>302</v>
      </c>
      <c r="AS21" s="99"/>
      <c r="AT21" s="381"/>
      <c r="AU21" s="159">
        <f t="shared" si="12"/>
        <v>116</v>
      </c>
      <c r="AV21" s="159"/>
      <c r="AW21" s="311"/>
      <c r="AX21" s="311"/>
      <c r="AY21" s="159">
        <f t="shared" si="6"/>
        <v>26</v>
      </c>
      <c r="AZ21" s="295">
        <f t="shared" si="13"/>
        <v>4.4615384615384617</v>
      </c>
      <c r="BB21" s="286">
        <v>11</v>
      </c>
      <c r="BC21" s="263" t="s">
        <v>302</v>
      </c>
      <c r="BD21" s="105"/>
      <c r="BE21" s="381"/>
      <c r="BF21" s="159">
        <f t="shared" si="14"/>
        <v>13</v>
      </c>
      <c r="BG21" s="159"/>
      <c r="BH21" s="311"/>
      <c r="BI21" s="311"/>
      <c r="BJ21" s="159">
        <f t="shared" si="7"/>
        <v>3</v>
      </c>
      <c r="BK21" s="295">
        <f t="shared" si="17"/>
        <v>4.333333333333333</v>
      </c>
      <c r="BM21" s="286">
        <v>11</v>
      </c>
      <c r="BN21" s="263" t="s">
        <v>302</v>
      </c>
      <c r="BO21" s="105"/>
      <c r="BP21" s="381"/>
      <c r="BQ21" s="176"/>
      <c r="BR21" s="176"/>
      <c r="BS21" s="385">
        <f t="shared" si="8"/>
        <v>4.4615384615384617</v>
      </c>
      <c r="BT21" s="176"/>
      <c r="BU21" s="176"/>
      <c r="BV21" s="385">
        <f t="shared" si="9"/>
        <v>4.333333333333333</v>
      </c>
    </row>
    <row r="22" spans="2:74" x14ac:dyDescent="0.35">
      <c r="B22" s="286">
        <v>12</v>
      </c>
      <c r="C22" s="263" t="s">
        <v>303</v>
      </c>
      <c r="D22" s="99"/>
      <c r="E22" s="159"/>
      <c r="F22" s="159"/>
      <c r="G22" s="9"/>
      <c r="H22" s="159"/>
      <c r="I22" s="159"/>
      <c r="J22" s="159"/>
      <c r="K22" s="159"/>
      <c r="L22" s="99">
        <v>232</v>
      </c>
      <c r="M22" s="159"/>
      <c r="N22" s="311"/>
      <c r="O22" s="159"/>
      <c r="P22" s="159">
        <v>127</v>
      </c>
      <c r="Q22" s="295">
        <f t="shared" si="1"/>
        <v>1.8267716535433072</v>
      </c>
      <c r="R22" s="159">
        <v>352</v>
      </c>
      <c r="S22" s="159"/>
      <c r="T22" s="311"/>
      <c r="U22" s="159"/>
      <c r="V22" s="159">
        <v>187</v>
      </c>
      <c r="W22" s="295">
        <f t="shared" si="10"/>
        <v>1.8823529411764706</v>
      </c>
      <c r="X22" s="159">
        <v>361</v>
      </c>
      <c r="Y22" s="159"/>
      <c r="Z22" s="311"/>
      <c r="AA22" s="159"/>
      <c r="AB22" s="159">
        <v>196</v>
      </c>
      <c r="AC22" s="295">
        <f t="shared" si="11"/>
        <v>1.8418367346938775</v>
      </c>
      <c r="AD22" s="159">
        <f t="shared" si="2"/>
        <v>120</v>
      </c>
      <c r="AE22" s="159"/>
      <c r="AF22" s="176"/>
      <c r="AG22" s="159"/>
      <c r="AH22" s="159">
        <f t="shared" si="3"/>
        <v>60</v>
      </c>
      <c r="AI22" s="295">
        <f t="shared" si="15"/>
        <v>2</v>
      </c>
      <c r="AJ22" s="159">
        <f t="shared" si="4"/>
        <v>129</v>
      </c>
      <c r="AK22" s="159"/>
      <c r="AL22" s="176"/>
      <c r="AM22" s="159"/>
      <c r="AN22" s="159">
        <f t="shared" si="5"/>
        <v>69</v>
      </c>
      <c r="AO22" s="295">
        <f t="shared" si="19"/>
        <v>1.8695652173913044</v>
      </c>
      <c r="AQ22" s="286">
        <v>12</v>
      </c>
      <c r="AR22" s="263" t="s">
        <v>303</v>
      </c>
      <c r="AS22" s="99"/>
      <c r="AT22" s="381"/>
      <c r="AU22" s="159">
        <f t="shared" si="12"/>
        <v>361</v>
      </c>
      <c r="AV22" s="159"/>
      <c r="AW22" s="311"/>
      <c r="AX22" s="311"/>
      <c r="AY22" s="159">
        <f t="shared" si="6"/>
        <v>196</v>
      </c>
      <c r="AZ22" s="295">
        <f t="shared" si="13"/>
        <v>1.8418367346938775</v>
      </c>
      <c r="BB22" s="286">
        <v>12</v>
      </c>
      <c r="BC22" s="263" t="s">
        <v>303</v>
      </c>
      <c r="BD22" s="105"/>
      <c r="BE22" s="381"/>
      <c r="BF22" s="159">
        <f t="shared" si="14"/>
        <v>129</v>
      </c>
      <c r="BG22" s="159"/>
      <c r="BH22" s="311"/>
      <c r="BI22" s="311"/>
      <c r="BJ22" s="159">
        <f t="shared" si="7"/>
        <v>69</v>
      </c>
      <c r="BK22" s="295">
        <f t="shared" si="17"/>
        <v>1.8695652173913044</v>
      </c>
      <c r="BM22" s="286">
        <v>12</v>
      </c>
      <c r="BN22" s="263" t="s">
        <v>303</v>
      </c>
      <c r="BO22" s="105"/>
      <c r="BP22" s="381"/>
      <c r="BQ22" s="176"/>
      <c r="BR22" s="176"/>
      <c r="BS22" s="385">
        <f t="shared" si="8"/>
        <v>1.8418367346938775</v>
      </c>
      <c r="BT22" s="176"/>
      <c r="BU22" s="176"/>
      <c r="BV22" s="385">
        <f t="shared" si="9"/>
        <v>1.8695652173913044</v>
      </c>
    </row>
    <row r="23" spans="2:74" x14ac:dyDescent="0.35">
      <c r="B23" s="286">
        <v>13</v>
      </c>
      <c r="C23" s="263" t="s">
        <v>304</v>
      </c>
      <c r="D23" s="99"/>
      <c r="E23" s="159"/>
      <c r="F23" s="159"/>
      <c r="G23" s="9"/>
      <c r="H23" s="159"/>
      <c r="I23" s="159"/>
      <c r="J23" s="159"/>
      <c r="K23" s="159"/>
      <c r="L23" s="99">
        <v>415</v>
      </c>
      <c r="M23" s="159"/>
      <c r="N23" s="311"/>
      <c r="O23" s="159"/>
      <c r="P23" s="159">
        <v>167</v>
      </c>
      <c r="Q23" s="295">
        <f t="shared" si="1"/>
        <v>2.4850299401197606</v>
      </c>
      <c r="R23" s="159">
        <v>694</v>
      </c>
      <c r="S23" s="159"/>
      <c r="T23" s="311"/>
      <c r="U23" s="159"/>
      <c r="V23" s="159">
        <v>307</v>
      </c>
      <c r="W23" s="295">
        <f t="shared" si="10"/>
        <v>2.2605863192182412</v>
      </c>
      <c r="X23" s="159">
        <v>715</v>
      </c>
      <c r="Y23" s="159"/>
      <c r="Z23" s="311"/>
      <c r="AA23" s="159"/>
      <c r="AB23" s="159">
        <v>318</v>
      </c>
      <c r="AC23" s="295">
        <f t="shared" si="11"/>
        <v>2.2484276729559749</v>
      </c>
      <c r="AD23" s="159">
        <f t="shared" si="2"/>
        <v>279</v>
      </c>
      <c r="AE23" s="159"/>
      <c r="AF23" s="176"/>
      <c r="AG23" s="159"/>
      <c r="AH23" s="159">
        <f t="shared" si="3"/>
        <v>140</v>
      </c>
      <c r="AI23" s="295">
        <f t="shared" si="15"/>
        <v>1.9928571428571429</v>
      </c>
      <c r="AJ23" s="159">
        <f t="shared" si="4"/>
        <v>300</v>
      </c>
      <c r="AK23" s="159"/>
      <c r="AL23" s="176"/>
      <c r="AM23" s="159"/>
      <c r="AN23" s="159">
        <f t="shared" si="5"/>
        <v>151</v>
      </c>
      <c r="AO23" s="295">
        <f t="shared" si="19"/>
        <v>1.9867549668874172</v>
      </c>
      <c r="AQ23" s="286">
        <v>13</v>
      </c>
      <c r="AR23" s="263" t="s">
        <v>304</v>
      </c>
      <c r="AS23" s="99"/>
      <c r="AT23" s="381"/>
      <c r="AU23" s="159">
        <f t="shared" si="12"/>
        <v>715</v>
      </c>
      <c r="AV23" s="159"/>
      <c r="AW23" s="311"/>
      <c r="AX23" s="311"/>
      <c r="AY23" s="159">
        <f t="shared" si="6"/>
        <v>318</v>
      </c>
      <c r="AZ23" s="295">
        <f t="shared" si="13"/>
        <v>2.2484276729559749</v>
      </c>
      <c r="BB23" s="286">
        <v>13</v>
      </c>
      <c r="BC23" s="263" t="s">
        <v>304</v>
      </c>
      <c r="BD23" s="105"/>
      <c r="BE23" s="381"/>
      <c r="BF23" s="159">
        <f t="shared" si="14"/>
        <v>300</v>
      </c>
      <c r="BG23" s="159"/>
      <c r="BH23" s="311"/>
      <c r="BI23" s="311"/>
      <c r="BJ23" s="159">
        <f t="shared" si="7"/>
        <v>151</v>
      </c>
      <c r="BK23" s="295">
        <f t="shared" si="17"/>
        <v>1.9867549668874172</v>
      </c>
      <c r="BM23" s="286">
        <v>13</v>
      </c>
      <c r="BN23" s="263" t="s">
        <v>304</v>
      </c>
      <c r="BO23" s="105"/>
      <c r="BP23" s="381"/>
      <c r="BQ23" s="176"/>
      <c r="BR23" s="176"/>
      <c r="BS23" s="385">
        <f t="shared" si="8"/>
        <v>2.2484276729559749</v>
      </c>
      <c r="BT23" s="176"/>
      <c r="BU23" s="176"/>
      <c r="BV23" s="385">
        <f t="shared" si="9"/>
        <v>1.9867549668874172</v>
      </c>
    </row>
    <row r="24" spans="2:74" x14ac:dyDescent="0.35">
      <c r="B24" s="286">
        <v>14</v>
      </c>
      <c r="C24" s="263" t="s">
        <v>305</v>
      </c>
      <c r="D24" s="99"/>
      <c r="E24" s="159"/>
      <c r="F24" s="159"/>
      <c r="G24" s="9"/>
      <c r="H24" s="159"/>
      <c r="I24" s="159"/>
      <c r="J24" s="159"/>
      <c r="K24" s="159"/>
      <c r="L24" s="99">
        <v>208</v>
      </c>
      <c r="M24" s="159"/>
      <c r="N24" s="311"/>
      <c r="O24" s="159"/>
      <c r="P24" s="159">
        <v>45</v>
      </c>
      <c r="Q24" s="295">
        <f t="shared" si="1"/>
        <v>4.6222222222222218</v>
      </c>
      <c r="R24" s="159">
        <v>360</v>
      </c>
      <c r="S24" s="159"/>
      <c r="T24" s="311"/>
      <c r="U24" s="159"/>
      <c r="V24" s="159">
        <v>60</v>
      </c>
      <c r="W24" s="295">
        <f t="shared" si="10"/>
        <v>6</v>
      </c>
      <c r="X24" s="159">
        <v>368</v>
      </c>
      <c r="Y24" s="159"/>
      <c r="Z24" s="311"/>
      <c r="AA24" s="159"/>
      <c r="AB24" s="159">
        <v>64</v>
      </c>
      <c r="AC24" s="295">
        <f t="shared" si="11"/>
        <v>5.75</v>
      </c>
      <c r="AD24" s="159">
        <f t="shared" si="2"/>
        <v>152</v>
      </c>
      <c r="AE24" s="159"/>
      <c r="AF24" s="176"/>
      <c r="AG24" s="159"/>
      <c r="AH24" s="159">
        <f t="shared" si="3"/>
        <v>15</v>
      </c>
      <c r="AI24" s="295">
        <f t="shared" si="15"/>
        <v>10.133333333333333</v>
      </c>
      <c r="AJ24" s="159">
        <f t="shared" si="4"/>
        <v>160</v>
      </c>
      <c r="AK24" s="159"/>
      <c r="AL24" s="176"/>
      <c r="AM24" s="159"/>
      <c r="AN24" s="159">
        <f t="shared" si="5"/>
        <v>19</v>
      </c>
      <c r="AO24" s="295">
        <f t="shared" si="19"/>
        <v>8.4210526315789469</v>
      </c>
      <c r="AQ24" s="286">
        <v>14</v>
      </c>
      <c r="AR24" s="263" t="s">
        <v>305</v>
      </c>
      <c r="AS24" s="99"/>
      <c r="AT24" s="381"/>
      <c r="AU24" s="159">
        <f t="shared" si="12"/>
        <v>368</v>
      </c>
      <c r="AV24" s="159"/>
      <c r="AW24" s="311"/>
      <c r="AX24" s="311"/>
      <c r="AY24" s="159">
        <f t="shared" si="6"/>
        <v>64</v>
      </c>
      <c r="AZ24" s="295">
        <f t="shared" si="13"/>
        <v>5.75</v>
      </c>
      <c r="BB24" s="286">
        <v>14</v>
      </c>
      <c r="BC24" s="263" t="s">
        <v>305</v>
      </c>
      <c r="BD24" s="105"/>
      <c r="BE24" s="381"/>
      <c r="BF24" s="159">
        <f t="shared" si="14"/>
        <v>160</v>
      </c>
      <c r="BG24" s="159"/>
      <c r="BH24" s="311"/>
      <c r="BI24" s="311"/>
      <c r="BJ24" s="159">
        <f t="shared" si="7"/>
        <v>19</v>
      </c>
      <c r="BK24" s="295">
        <f t="shared" si="17"/>
        <v>8.4210526315789469</v>
      </c>
      <c r="BM24" s="286">
        <v>14</v>
      </c>
      <c r="BN24" s="263" t="s">
        <v>305</v>
      </c>
      <c r="BO24" s="105"/>
      <c r="BP24" s="381"/>
      <c r="BQ24" s="176"/>
      <c r="BR24" s="176"/>
      <c r="BS24" s="385">
        <f t="shared" si="8"/>
        <v>5.75</v>
      </c>
      <c r="BT24" s="176"/>
      <c r="BU24" s="176"/>
      <c r="BV24" s="385">
        <f t="shared" si="9"/>
        <v>8.4210526315789469</v>
      </c>
    </row>
    <row r="25" spans="2:74" x14ac:dyDescent="0.35">
      <c r="B25" s="286">
        <v>15</v>
      </c>
      <c r="C25" s="263" t="s">
        <v>306</v>
      </c>
      <c r="D25" s="287">
        <v>5689</v>
      </c>
      <c r="E25" s="288">
        <f>S25/0.53</f>
        <v>20011.32075471698</v>
      </c>
      <c r="F25" s="288">
        <f>F18</f>
        <v>600</v>
      </c>
      <c r="G25" s="351">
        <f>F25/365</f>
        <v>1.6438356164383561</v>
      </c>
      <c r="H25" s="288">
        <f>($E25+(DATEDIF($D$9,H$9,"M")/12)*$F25)-M25</f>
        <v>16968.32075471698</v>
      </c>
      <c r="I25" s="288">
        <f>($E25+(DATEDIF($D$9,I$9,"M")/12)*$F25)-S25</f>
        <v>10605.32075471698</v>
      </c>
      <c r="J25" s="288">
        <f>($E25+(DATEDIF($D$9,J$9,"M")/12)*$F25)-Y25</f>
        <v>9809.3207547169804</v>
      </c>
      <c r="K25" s="292"/>
      <c r="L25" s="287">
        <f>SUM(L20:L24)</f>
        <v>996</v>
      </c>
      <c r="M25" s="288">
        <v>3793</v>
      </c>
      <c r="N25" s="324">
        <f>M25/M$4</f>
        <v>7.9684873949579833</v>
      </c>
      <c r="O25" s="288">
        <f>H25/(N25*30)</f>
        <v>70.980935752221484</v>
      </c>
      <c r="P25" s="288">
        <f>SUM(P20:P24)</f>
        <v>383</v>
      </c>
      <c r="Q25" s="289">
        <f t="shared" si="1"/>
        <v>2.6005221932114884</v>
      </c>
      <c r="R25" s="288">
        <f>SUM(R20:R24)</f>
        <v>1566</v>
      </c>
      <c r="S25" s="288">
        <v>10606</v>
      </c>
      <c r="T25" s="324">
        <f>S25/S$4</f>
        <v>14.122503328894807</v>
      </c>
      <c r="U25" s="288">
        <f>I25/(T25*30)</f>
        <v>25.031730111234058</v>
      </c>
      <c r="V25" s="288">
        <f>SUM(V20:V24)</f>
        <v>601</v>
      </c>
      <c r="W25" s="289">
        <f t="shared" si="10"/>
        <v>2.605657237936772</v>
      </c>
      <c r="X25" s="288">
        <f>SUM(X20:X24)</f>
        <v>1604</v>
      </c>
      <c r="Y25" s="288">
        <v>11452</v>
      </c>
      <c r="Z25" s="324">
        <f>Y25/Y$4</f>
        <v>14.738738738738739</v>
      </c>
      <c r="AA25" s="288">
        <f>J25/(Z25*30)</f>
        <v>22.184894127416154</v>
      </c>
      <c r="AB25" s="288">
        <f>SUM(AB20:AB24)</f>
        <v>624</v>
      </c>
      <c r="AC25" s="289">
        <f t="shared" si="11"/>
        <v>2.5705128205128207</v>
      </c>
      <c r="AD25" s="288">
        <f t="shared" si="2"/>
        <v>570</v>
      </c>
      <c r="AE25" s="288">
        <f>S25-$M25</f>
        <v>6813</v>
      </c>
      <c r="AF25" s="337">
        <f>AE25/AE$4</f>
        <v>24.774545454545454</v>
      </c>
      <c r="AG25" s="288">
        <f>I25/(AF25*30)</f>
        <v>14.269109093141394</v>
      </c>
      <c r="AH25" s="288">
        <f t="shared" si="3"/>
        <v>218</v>
      </c>
      <c r="AI25" s="289">
        <f t="shared" si="15"/>
        <v>2.6146788990825689</v>
      </c>
      <c r="AJ25" s="288">
        <f t="shared" si="4"/>
        <v>608</v>
      </c>
      <c r="AK25" s="288">
        <f>Y25-$M25</f>
        <v>7659</v>
      </c>
      <c r="AL25" s="337">
        <f>AK25/AK$4</f>
        <v>25.44518272425249</v>
      </c>
      <c r="AM25" s="288">
        <f>J25/(AL25*30)</f>
        <v>12.850265688165607</v>
      </c>
      <c r="AN25" s="288">
        <f t="shared" si="5"/>
        <v>241</v>
      </c>
      <c r="AO25" s="289">
        <f t="shared" si="19"/>
        <v>2.5228215767634854</v>
      </c>
      <c r="AQ25" s="286">
        <v>15</v>
      </c>
      <c r="AR25" s="263" t="s">
        <v>306</v>
      </c>
      <c r="AS25" s="287">
        <f>J25</f>
        <v>9809.3207547169804</v>
      </c>
      <c r="AT25" s="379">
        <f>G25</f>
        <v>1.6438356164383561</v>
      </c>
      <c r="AU25" s="288">
        <f t="shared" si="12"/>
        <v>1604</v>
      </c>
      <c r="AV25" s="288">
        <f t="shared" ref="AV25" si="20">Y25</f>
        <v>11452</v>
      </c>
      <c r="AW25" s="324">
        <f>AV25/AV$4</f>
        <v>14.738738738738739</v>
      </c>
      <c r="AX25" s="288">
        <f>AS25/(AW25*30)</f>
        <v>22.184894127416154</v>
      </c>
      <c r="AY25" s="288">
        <f t="shared" si="6"/>
        <v>624</v>
      </c>
      <c r="AZ25" s="289">
        <f t="shared" si="13"/>
        <v>2.5705128205128207</v>
      </c>
      <c r="BB25" s="286">
        <v>15</v>
      </c>
      <c r="BC25" s="263" t="s">
        <v>306</v>
      </c>
      <c r="BD25" s="333">
        <f>J25</f>
        <v>9809.3207547169804</v>
      </c>
      <c r="BE25" s="379">
        <f>G25</f>
        <v>1.6438356164383561</v>
      </c>
      <c r="BF25" s="288">
        <f t="shared" si="14"/>
        <v>608</v>
      </c>
      <c r="BG25" s="288">
        <f>AK25</f>
        <v>7659</v>
      </c>
      <c r="BH25" s="324">
        <f>BG25/BG$4</f>
        <v>25.44518272425249</v>
      </c>
      <c r="BI25" s="288">
        <f>BD25/(BH25*30)</f>
        <v>12.850265688165607</v>
      </c>
      <c r="BJ25" s="288">
        <f t="shared" si="7"/>
        <v>241</v>
      </c>
      <c r="BK25" s="289">
        <f t="shared" si="17"/>
        <v>2.5228215767634854</v>
      </c>
      <c r="BM25" s="286">
        <v>15</v>
      </c>
      <c r="BN25" s="263" t="s">
        <v>306</v>
      </c>
      <c r="BO25" s="333">
        <f>J25</f>
        <v>9809.3207547169804</v>
      </c>
      <c r="BP25" s="379">
        <f>G25</f>
        <v>1.6438356164383561</v>
      </c>
      <c r="BQ25" s="337">
        <f>AW25</f>
        <v>14.738738738738739</v>
      </c>
      <c r="BR25" s="288">
        <f>$BO25/(BQ25*30)</f>
        <v>22.184894127416154</v>
      </c>
      <c r="BS25" s="340">
        <f t="shared" si="8"/>
        <v>2.5705128205128207</v>
      </c>
      <c r="BT25" s="337">
        <f>BH25</f>
        <v>25.44518272425249</v>
      </c>
      <c r="BU25" s="288">
        <f>$BO25/(BT25*30)</f>
        <v>12.850265688165607</v>
      </c>
      <c r="BV25" s="340">
        <f t="shared" si="9"/>
        <v>2.5228215767634854</v>
      </c>
    </row>
    <row r="26" spans="2:74" x14ac:dyDescent="0.35">
      <c r="B26" s="286">
        <v>16</v>
      </c>
      <c r="C26" s="263" t="s">
        <v>307</v>
      </c>
      <c r="D26" s="99"/>
      <c r="E26" s="159"/>
      <c r="F26" s="159"/>
      <c r="G26" s="9"/>
      <c r="H26" s="159"/>
      <c r="I26" s="159"/>
      <c r="J26" s="159"/>
      <c r="K26" s="159"/>
      <c r="L26" s="99">
        <v>17</v>
      </c>
      <c r="M26" s="159"/>
      <c r="N26" s="311"/>
      <c r="O26" s="159"/>
      <c r="P26" s="159">
        <v>4</v>
      </c>
      <c r="Q26" s="295">
        <f t="shared" si="1"/>
        <v>4.25</v>
      </c>
      <c r="R26" s="159">
        <v>50</v>
      </c>
      <c r="S26" s="159"/>
      <c r="T26" s="311"/>
      <c r="U26" s="159"/>
      <c r="V26" s="159">
        <v>4</v>
      </c>
      <c r="W26" s="295">
        <f t="shared" si="10"/>
        <v>12.5</v>
      </c>
      <c r="X26" s="159">
        <v>51</v>
      </c>
      <c r="Y26" s="159"/>
      <c r="Z26" s="311"/>
      <c r="AA26" s="159"/>
      <c r="AB26" s="159">
        <v>4</v>
      </c>
      <c r="AC26" s="295">
        <f t="shared" si="11"/>
        <v>12.75</v>
      </c>
      <c r="AD26" s="159">
        <f t="shared" si="2"/>
        <v>33</v>
      </c>
      <c r="AE26" s="159"/>
      <c r="AF26" s="176"/>
      <c r="AG26" s="159"/>
      <c r="AH26" s="159">
        <f t="shared" si="3"/>
        <v>0</v>
      </c>
      <c r="AI26" s="296" t="s">
        <v>35</v>
      </c>
      <c r="AJ26" s="159">
        <f t="shared" si="4"/>
        <v>34</v>
      </c>
      <c r="AK26" s="159"/>
      <c r="AL26" s="176"/>
      <c r="AM26" s="159"/>
      <c r="AN26" s="159">
        <f t="shared" si="5"/>
        <v>0</v>
      </c>
      <c r="AO26" s="296" t="s">
        <v>35</v>
      </c>
      <c r="AQ26" s="286">
        <v>16</v>
      </c>
      <c r="AR26" s="263" t="s">
        <v>307</v>
      </c>
      <c r="AS26" s="99"/>
      <c r="AT26" s="381"/>
      <c r="AU26" s="159">
        <f t="shared" si="12"/>
        <v>51</v>
      </c>
      <c r="AV26" s="159"/>
      <c r="AW26" s="311"/>
      <c r="AX26" s="311"/>
      <c r="AY26" s="159">
        <f t="shared" ref="AY26:AY41" si="21">AB26</f>
        <v>4</v>
      </c>
      <c r="AZ26" s="295">
        <f t="shared" si="13"/>
        <v>12.75</v>
      </c>
      <c r="BB26" s="286">
        <v>16</v>
      </c>
      <c r="BC26" s="263" t="s">
        <v>307</v>
      </c>
      <c r="BD26" s="105"/>
      <c r="BE26" s="381"/>
      <c r="BF26" s="159">
        <f t="shared" si="14"/>
        <v>34</v>
      </c>
      <c r="BG26" s="159"/>
      <c r="BH26" s="311"/>
      <c r="BI26" s="311"/>
      <c r="BJ26" s="159">
        <f t="shared" si="7"/>
        <v>0</v>
      </c>
      <c r="BK26" s="296" t="s">
        <v>35</v>
      </c>
      <c r="BM26" s="286">
        <v>16</v>
      </c>
      <c r="BN26" s="263" t="s">
        <v>307</v>
      </c>
      <c r="BO26" s="105"/>
      <c r="BP26" s="381"/>
      <c r="BQ26" s="231"/>
      <c r="BR26" s="231"/>
      <c r="BS26" s="386">
        <f t="shared" si="8"/>
        <v>12.75</v>
      </c>
      <c r="BT26" s="176"/>
      <c r="BU26" s="176"/>
      <c r="BV26" s="386" t="str">
        <f t="shared" si="9"/>
        <v>-</v>
      </c>
    </row>
    <row r="27" spans="2:74" x14ac:dyDescent="0.35">
      <c r="B27" s="286">
        <v>17</v>
      </c>
      <c r="C27" s="263" t="s">
        <v>308</v>
      </c>
      <c r="D27" s="99"/>
      <c r="E27" s="159"/>
      <c r="F27" s="159"/>
      <c r="G27" s="9"/>
      <c r="H27" s="159"/>
      <c r="I27" s="159"/>
      <c r="J27" s="159"/>
      <c r="K27" s="159"/>
      <c r="L27" s="99">
        <v>24</v>
      </c>
      <c r="M27" s="159"/>
      <c r="N27" s="311"/>
      <c r="O27" s="159"/>
      <c r="P27" s="159">
        <v>6</v>
      </c>
      <c r="Q27" s="295">
        <f t="shared" si="1"/>
        <v>4</v>
      </c>
      <c r="R27" s="159">
        <v>25</v>
      </c>
      <c r="S27" s="159"/>
      <c r="T27" s="311"/>
      <c r="U27" s="159"/>
      <c r="V27" s="159">
        <v>11</v>
      </c>
      <c r="W27" s="295">
        <f t="shared" si="10"/>
        <v>2.2727272727272729</v>
      </c>
      <c r="X27" s="159">
        <v>25</v>
      </c>
      <c r="Y27" s="159"/>
      <c r="Z27" s="311"/>
      <c r="AA27" s="159"/>
      <c r="AB27" s="159">
        <v>14</v>
      </c>
      <c r="AC27" s="295">
        <f t="shared" si="11"/>
        <v>1.7857142857142858</v>
      </c>
      <c r="AD27" s="159">
        <f t="shared" si="2"/>
        <v>1</v>
      </c>
      <c r="AE27" s="159"/>
      <c r="AF27" s="176"/>
      <c r="AG27" s="159"/>
      <c r="AH27" s="159">
        <f t="shared" si="3"/>
        <v>5</v>
      </c>
      <c r="AI27" s="295">
        <f t="shared" si="15"/>
        <v>0.2</v>
      </c>
      <c r="AJ27" s="159">
        <f t="shared" si="4"/>
        <v>1</v>
      </c>
      <c r="AK27" s="159"/>
      <c r="AL27" s="176"/>
      <c r="AM27" s="159"/>
      <c r="AN27" s="159">
        <f t="shared" si="5"/>
        <v>8</v>
      </c>
      <c r="AO27" s="295">
        <f t="shared" ref="AO27:AO37" si="22">AJ27/AN27</f>
        <v>0.125</v>
      </c>
      <c r="AQ27" s="286">
        <v>17</v>
      </c>
      <c r="AR27" s="263" t="s">
        <v>308</v>
      </c>
      <c r="AS27" s="99"/>
      <c r="AT27" s="381"/>
      <c r="AU27" s="159">
        <f t="shared" si="12"/>
        <v>25</v>
      </c>
      <c r="AV27" s="159"/>
      <c r="AW27" s="311"/>
      <c r="AX27" s="311"/>
      <c r="AY27" s="159">
        <f t="shared" si="21"/>
        <v>14</v>
      </c>
      <c r="AZ27" s="295">
        <f t="shared" si="13"/>
        <v>1.7857142857142858</v>
      </c>
      <c r="BB27" s="286">
        <v>17</v>
      </c>
      <c r="BC27" s="263" t="s">
        <v>308</v>
      </c>
      <c r="BD27" s="105"/>
      <c r="BE27" s="381"/>
      <c r="BF27" s="159">
        <f t="shared" si="14"/>
        <v>1</v>
      </c>
      <c r="BG27" s="159"/>
      <c r="BH27" s="311"/>
      <c r="BI27" s="311"/>
      <c r="BJ27" s="159">
        <f t="shared" si="7"/>
        <v>8</v>
      </c>
      <c r="BK27" s="295">
        <f t="shared" si="17"/>
        <v>0.125</v>
      </c>
      <c r="BM27" s="286">
        <v>17</v>
      </c>
      <c r="BN27" s="263" t="s">
        <v>308</v>
      </c>
      <c r="BO27" s="105"/>
      <c r="BP27" s="381"/>
      <c r="BQ27" s="231"/>
      <c r="BR27" s="231"/>
      <c r="BS27" s="385">
        <f t="shared" si="8"/>
        <v>1.7857142857142858</v>
      </c>
      <c r="BT27" s="176"/>
      <c r="BU27" s="176"/>
      <c r="BV27" s="385">
        <f t="shared" si="9"/>
        <v>0.125</v>
      </c>
    </row>
    <row r="28" spans="2:74" x14ac:dyDescent="0.35">
      <c r="B28" s="286">
        <v>18</v>
      </c>
      <c r="C28" s="263" t="s">
        <v>309</v>
      </c>
      <c r="D28" s="99"/>
      <c r="E28" s="159"/>
      <c r="F28" s="159"/>
      <c r="G28" s="9"/>
      <c r="H28" s="159"/>
      <c r="I28" s="159"/>
      <c r="J28" s="159"/>
      <c r="K28" s="159"/>
      <c r="L28" s="99">
        <v>117</v>
      </c>
      <c r="M28" s="159"/>
      <c r="N28" s="311"/>
      <c r="O28" s="159"/>
      <c r="P28" s="159">
        <v>113</v>
      </c>
      <c r="Q28" s="295">
        <f t="shared" si="1"/>
        <v>1.0353982300884956</v>
      </c>
      <c r="R28" s="159">
        <v>214</v>
      </c>
      <c r="S28" s="159"/>
      <c r="T28" s="311"/>
      <c r="U28" s="159"/>
      <c r="V28" s="159">
        <v>140</v>
      </c>
      <c r="W28" s="295">
        <f t="shared" si="10"/>
        <v>1.5285714285714285</v>
      </c>
      <c r="X28" s="159">
        <v>218</v>
      </c>
      <c r="Y28" s="159"/>
      <c r="Z28" s="311"/>
      <c r="AA28" s="159"/>
      <c r="AB28" s="159">
        <v>144</v>
      </c>
      <c r="AC28" s="295">
        <f t="shared" si="11"/>
        <v>1.5138888888888888</v>
      </c>
      <c r="AD28" s="159">
        <f t="shared" si="2"/>
        <v>97</v>
      </c>
      <c r="AE28" s="159"/>
      <c r="AF28" s="176"/>
      <c r="AG28" s="159"/>
      <c r="AH28" s="159">
        <f t="shared" si="3"/>
        <v>27</v>
      </c>
      <c r="AI28" s="295">
        <f t="shared" si="15"/>
        <v>3.5925925925925926</v>
      </c>
      <c r="AJ28" s="159">
        <f t="shared" si="4"/>
        <v>101</v>
      </c>
      <c r="AK28" s="159"/>
      <c r="AL28" s="176"/>
      <c r="AM28" s="159"/>
      <c r="AN28" s="159">
        <f t="shared" si="5"/>
        <v>31</v>
      </c>
      <c r="AO28" s="295">
        <f t="shared" si="22"/>
        <v>3.2580645161290325</v>
      </c>
      <c r="AQ28" s="286">
        <v>18</v>
      </c>
      <c r="AR28" s="263" t="s">
        <v>309</v>
      </c>
      <c r="AS28" s="99"/>
      <c r="AT28" s="381"/>
      <c r="AU28" s="159">
        <f t="shared" si="12"/>
        <v>218</v>
      </c>
      <c r="AV28" s="159"/>
      <c r="AW28" s="311"/>
      <c r="AX28" s="311"/>
      <c r="AY28" s="159">
        <f t="shared" si="21"/>
        <v>144</v>
      </c>
      <c r="AZ28" s="295">
        <f t="shared" si="13"/>
        <v>1.5138888888888888</v>
      </c>
      <c r="BB28" s="286">
        <v>18</v>
      </c>
      <c r="BC28" s="263" t="s">
        <v>309</v>
      </c>
      <c r="BD28" s="105"/>
      <c r="BE28" s="381"/>
      <c r="BF28" s="159">
        <f t="shared" si="14"/>
        <v>101</v>
      </c>
      <c r="BG28" s="159"/>
      <c r="BH28" s="311"/>
      <c r="BI28" s="311"/>
      <c r="BJ28" s="159">
        <f t="shared" si="7"/>
        <v>31</v>
      </c>
      <c r="BK28" s="295">
        <f t="shared" si="17"/>
        <v>3.2580645161290325</v>
      </c>
      <c r="BM28" s="286">
        <v>18</v>
      </c>
      <c r="BN28" s="263" t="s">
        <v>309</v>
      </c>
      <c r="BO28" s="105"/>
      <c r="BP28" s="381"/>
      <c r="BQ28" s="231"/>
      <c r="BR28" s="231"/>
      <c r="BS28" s="385">
        <f t="shared" si="8"/>
        <v>1.5138888888888888</v>
      </c>
      <c r="BT28" s="176"/>
      <c r="BU28" s="176"/>
      <c r="BV28" s="385">
        <f t="shared" si="9"/>
        <v>3.2580645161290325</v>
      </c>
    </row>
    <row r="29" spans="2:74" x14ac:dyDescent="0.35">
      <c r="B29" s="286">
        <v>19</v>
      </c>
      <c r="C29" s="263" t="s">
        <v>310</v>
      </c>
      <c r="D29" s="99"/>
      <c r="E29" s="159"/>
      <c r="F29" s="159"/>
      <c r="G29" s="9"/>
      <c r="H29" s="159"/>
      <c r="I29" s="159"/>
      <c r="J29" s="159"/>
      <c r="K29" s="159"/>
      <c r="L29" s="99">
        <v>32</v>
      </c>
      <c r="M29" s="159"/>
      <c r="N29" s="311"/>
      <c r="O29" s="159"/>
      <c r="P29" s="159">
        <v>63</v>
      </c>
      <c r="Q29" s="295">
        <f t="shared" si="1"/>
        <v>0.50793650793650791</v>
      </c>
      <c r="R29" s="159">
        <v>62</v>
      </c>
      <c r="S29" s="159"/>
      <c r="T29" s="311"/>
      <c r="U29" s="159"/>
      <c r="V29" s="159">
        <v>98</v>
      </c>
      <c r="W29" s="295">
        <f t="shared" si="10"/>
        <v>0.63265306122448983</v>
      </c>
      <c r="X29" s="159">
        <v>63</v>
      </c>
      <c r="Y29" s="159"/>
      <c r="Z29" s="311"/>
      <c r="AA29" s="159"/>
      <c r="AB29" s="159">
        <v>104</v>
      </c>
      <c r="AC29" s="295">
        <f t="shared" si="11"/>
        <v>0.60576923076923073</v>
      </c>
      <c r="AD29" s="159">
        <f t="shared" si="2"/>
        <v>30</v>
      </c>
      <c r="AE29" s="159"/>
      <c r="AF29" s="176"/>
      <c r="AG29" s="159"/>
      <c r="AH29" s="159">
        <f t="shared" si="3"/>
        <v>35</v>
      </c>
      <c r="AI29" s="295">
        <f t="shared" si="15"/>
        <v>0.8571428571428571</v>
      </c>
      <c r="AJ29" s="159">
        <f t="shared" si="4"/>
        <v>31</v>
      </c>
      <c r="AK29" s="159"/>
      <c r="AL29" s="176"/>
      <c r="AM29" s="159"/>
      <c r="AN29" s="159">
        <f t="shared" si="5"/>
        <v>41</v>
      </c>
      <c r="AO29" s="295">
        <f t="shared" si="22"/>
        <v>0.75609756097560976</v>
      </c>
      <c r="AQ29" s="286">
        <v>19</v>
      </c>
      <c r="AR29" s="263" t="s">
        <v>310</v>
      </c>
      <c r="AS29" s="99"/>
      <c r="AT29" s="381"/>
      <c r="AU29" s="159">
        <f t="shared" si="12"/>
        <v>63</v>
      </c>
      <c r="AV29" s="159"/>
      <c r="AW29" s="311"/>
      <c r="AX29" s="311"/>
      <c r="AY29" s="159">
        <f t="shared" si="21"/>
        <v>104</v>
      </c>
      <c r="AZ29" s="295">
        <f t="shared" si="13"/>
        <v>0.60576923076923073</v>
      </c>
      <c r="BB29" s="286">
        <v>19</v>
      </c>
      <c r="BC29" s="263" t="s">
        <v>310</v>
      </c>
      <c r="BD29" s="105"/>
      <c r="BE29" s="381"/>
      <c r="BF29" s="159">
        <f t="shared" si="14"/>
        <v>31</v>
      </c>
      <c r="BG29" s="159"/>
      <c r="BH29" s="311"/>
      <c r="BI29" s="311"/>
      <c r="BJ29" s="159">
        <f t="shared" si="7"/>
        <v>41</v>
      </c>
      <c r="BK29" s="295">
        <f t="shared" si="17"/>
        <v>0.75609756097560976</v>
      </c>
      <c r="BM29" s="286">
        <v>19</v>
      </c>
      <c r="BN29" s="263" t="s">
        <v>310</v>
      </c>
      <c r="BO29" s="105"/>
      <c r="BP29" s="381"/>
      <c r="BQ29" s="231"/>
      <c r="BR29" s="231"/>
      <c r="BS29" s="385">
        <f t="shared" si="8"/>
        <v>0.60576923076923073</v>
      </c>
      <c r="BT29" s="176"/>
      <c r="BU29" s="176"/>
      <c r="BV29" s="385">
        <f t="shared" si="9"/>
        <v>0.75609756097560976</v>
      </c>
    </row>
    <row r="30" spans="2:74" x14ac:dyDescent="0.35">
      <c r="B30" s="286">
        <v>20</v>
      </c>
      <c r="C30" s="263" t="s">
        <v>311</v>
      </c>
      <c r="D30" s="99"/>
      <c r="E30" s="159"/>
      <c r="F30" s="159"/>
      <c r="G30" s="9"/>
      <c r="H30" s="159"/>
      <c r="I30" s="159"/>
      <c r="J30" s="159"/>
      <c r="K30" s="159"/>
      <c r="L30" s="99">
        <v>41</v>
      </c>
      <c r="M30" s="159"/>
      <c r="N30" s="311"/>
      <c r="O30" s="159"/>
      <c r="P30" s="159">
        <v>3</v>
      </c>
      <c r="Q30" s="295">
        <f t="shared" si="1"/>
        <v>13.666666666666666</v>
      </c>
      <c r="R30" s="159">
        <v>76</v>
      </c>
      <c r="S30" s="159"/>
      <c r="T30" s="311"/>
      <c r="U30" s="159"/>
      <c r="V30" s="159">
        <v>6</v>
      </c>
      <c r="W30" s="295">
        <f t="shared" si="10"/>
        <v>12.666666666666666</v>
      </c>
      <c r="X30" s="159">
        <v>79</v>
      </c>
      <c r="Y30" s="159"/>
      <c r="Z30" s="311"/>
      <c r="AA30" s="159"/>
      <c r="AB30" s="159">
        <v>7</v>
      </c>
      <c r="AC30" s="295">
        <f t="shared" si="11"/>
        <v>11.285714285714286</v>
      </c>
      <c r="AD30" s="159">
        <f t="shared" si="2"/>
        <v>35</v>
      </c>
      <c r="AE30" s="159"/>
      <c r="AF30" s="176"/>
      <c r="AG30" s="159"/>
      <c r="AH30" s="159">
        <f t="shared" si="3"/>
        <v>3</v>
      </c>
      <c r="AI30" s="295">
        <f t="shared" si="15"/>
        <v>11.666666666666666</v>
      </c>
      <c r="AJ30" s="159">
        <f t="shared" si="4"/>
        <v>38</v>
      </c>
      <c r="AK30" s="159"/>
      <c r="AL30" s="176"/>
      <c r="AM30" s="159"/>
      <c r="AN30" s="159">
        <f t="shared" si="5"/>
        <v>4</v>
      </c>
      <c r="AO30" s="295">
        <f t="shared" si="22"/>
        <v>9.5</v>
      </c>
      <c r="AQ30" s="286">
        <v>20</v>
      </c>
      <c r="AR30" s="263" t="s">
        <v>311</v>
      </c>
      <c r="AS30" s="99"/>
      <c r="AT30" s="381"/>
      <c r="AU30" s="159">
        <f t="shared" si="12"/>
        <v>79</v>
      </c>
      <c r="AV30" s="159"/>
      <c r="AW30" s="311"/>
      <c r="AX30" s="311"/>
      <c r="AY30" s="159">
        <f t="shared" si="21"/>
        <v>7</v>
      </c>
      <c r="AZ30" s="295">
        <f t="shared" si="13"/>
        <v>11.285714285714286</v>
      </c>
      <c r="BB30" s="286">
        <v>20</v>
      </c>
      <c r="BC30" s="263" t="s">
        <v>311</v>
      </c>
      <c r="BD30" s="105"/>
      <c r="BE30" s="381"/>
      <c r="BF30" s="159">
        <f t="shared" si="14"/>
        <v>38</v>
      </c>
      <c r="BG30" s="159"/>
      <c r="BH30" s="311"/>
      <c r="BI30" s="311"/>
      <c r="BJ30" s="159">
        <f t="shared" si="7"/>
        <v>4</v>
      </c>
      <c r="BK30" s="295">
        <f t="shared" si="17"/>
        <v>9.5</v>
      </c>
      <c r="BM30" s="286">
        <v>20</v>
      </c>
      <c r="BN30" s="263" t="s">
        <v>311</v>
      </c>
      <c r="BO30" s="105"/>
      <c r="BP30" s="381"/>
      <c r="BQ30" s="231"/>
      <c r="BR30" s="231"/>
      <c r="BS30" s="385">
        <f t="shared" si="8"/>
        <v>11.285714285714286</v>
      </c>
      <c r="BT30" s="176"/>
      <c r="BU30" s="176"/>
      <c r="BV30" s="385">
        <f t="shared" si="9"/>
        <v>9.5</v>
      </c>
    </row>
    <row r="31" spans="2:74" x14ac:dyDescent="0.35">
      <c r="B31" s="286">
        <v>21</v>
      </c>
      <c r="C31" s="263" t="s">
        <v>312</v>
      </c>
      <c r="D31" s="287"/>
      <c r="E31" s="288">
        <f>S31/0.26</f>
        <v>2765.3846153846152</v>
      </c>
      <c r="F31" s="288">
        <f>E31*0.1</f>
        <v>276.53846153846155</v>
      </c>
      <c r="G31" s="351">
        <f>F31/365</f>
        <v>0.75763962065331936</v>
      </c>
      <c r="H31" s="288">
        <f>($E31+(DATEDIF($D$9,H$9,"M")/12)*$F31)-M31</f>
        <v>2747.0576923076924</v>
      </c>
      <c r="I31" s="288">
        <f>($E31+(DATEDIF($D$9,I$9,"M")/12)*$F31)-S31</f>
        <v>2599.4615384615381</v>
      </c>
      <c r="J31" s="288">
        <f>($E31+(DATEDIF($D$9,J$9,"M")/12)*$F31)-Y31</f>
        <v>2587.5064102564102</v>
      </c>
      <c r="K31" s="288"/>
      <c r="L31" s="287">
        <f>SUM(L26:L30)</f>
        <v>231</v>
      </c>
      <c r="M31" s="288">
        <v>364</v>
      </c>
      <c r="N31" s="324">
        <f>M31/M$4</f>
        <v>0.76470588235294112</v>
      </c>
      <c r="O31" s="288">
        <f>H31/(N31*30)</f>
        <v>119.74354043392508</v>
      </c>
      <c r="P31" s="288">
        <f>SUM(P26:P30)</f>
        <v>189</v>
      </c>
      <c r="Q31" s="289">
        <f t="shared" si="1"/>
        <v>1.2222222222222223</v>
      </c>
      <c r="R31" s="288">
        <f>SUM(R26:R30)</f>
        <v>427</v>
      </c>
      <c r="S31" s="288">
        <v>719</v>
      </c>
      <c r="T31" s="324">
        <f>S31/S$4</f>
        <v>0.95739014647137155</v>
      </c>
      <c r="U31" s="288">
        <f>I31/(T31*30)</f>
        <v>90.505128205128187</v>
      </c>
      <c r="V31" s="288">
        <f>SUM(V26:V30)</f>
        <v>259</v>
      </c>
      <c r="W31" s="289">
        <f t="shared" si="10"/>
        <v>1.6486486486486487</v>
      </c>
      <c r="X31" s="288">
        <f>SUM(X26:X30)</f>
        <v>436</v>
      </c>
      <c r="Y31" s="288">
        <v>754</v>
      </c>
      <c r="Z31" s="324">
        <f>Y31/Y$4</f>
        <v>0.97039897039897038</v>
      </c>
      <c r="AA31" s="288">
        <f>J31/(Z31*30)</f>
        <v>88.881188362919133</v>
      </c>
      <c r="AB31" s="288">
        <f>SUM(AB26:AB30)</f>
        <v>273</v>
      </c>
      <c r="AC31" s="289">
        <f t="shared" si="11"/>
        <v>1.5970695970695972</v>
      </c>
      <c r="AD31" s="288">
        <f t="shared" si="2"/>
        <v>196</v>
      </c>
      <c r="AE31" s="288">
        <f>S31-$M31</f>
        <v>355</v>
      </c>
      <c r="AF31" s="337">
        <f>AE31/AE$4</f>
        <v>1.290909090909091</v>
      </c>
      <c r="AG31" s="288">
        <f>I31/(AF31*30)</f>
        <v>67.122246298302613</v>
      </c>
      <c r="AH31" s="288">
        <f t="shared" si="3"/>
        <v>70</v>
      </c>
      <c r="AI31" s="289">
        <f t="shared" si="15"/>
        <v>2.8</v>
      </c>
      <c r="AJ31" s="288">
        <f t="shared" si="4"/>
        <v>205</v>
      </c>
      <c r="AK31" s="288">
        <f>Y31-$M31</f>
        <v>390</v>
      </c>
      <c r="AL31" s="337">
        <f>AK31/AK$4</f>
        <v>1.2956810631229236</v>
      </c>
      <c r="AM31" s="288">
        <f>J31/(AL31*30)</f>
        <v>66.567472605741827</v>
      </c>
      <c r="AN31" s="288">
        <f t="shared" si="5"/>
        <v>84</v>
      </c>
      <c r="AO31" s="289">
        <f t="shared" si="22"/>
        <v>2.4404761904761907</v>
      </c>
      <c r="AQ31" s="286">
        <v>21</v>
      </c>
      <c r="AR31" s="263" t="s">
        <v>312</v>
      </c>
      <c r="AS31" s="287">
        <f>J31</f>
        <v>2587.5064102564102</v>
      </c>
      <c r="AT31" s="379">
        <f>G31</f>
        <v>0.75763962065331936</v>
      </c>
      <c r="AU31" s="288">
        <f t="shared" si="12"/>
        <v>436</v>
      </c>
      <c r="AV31" s="288">
        <f t="shared" ref="AV31:AV33" si="23">Y31</f>
        <v>754</v>
      </c>
      <c r="AW31" s="324">
        <f>AV31/AV$4</f>
        <v>0.97039897039897038</v>
      </c>
      <c r="AX31" s="288">
        <f>AS31/(AW31*30)</f>
        <v>88.881188362919133</v>
      </c>
      <c r="AY31" s="288">
        <f t="shared" si="21"/>
        <v>273</v>
      </c>
      <c r="AZ31" s="289">
        <f t="shared" si="13"/>
        <v>1.5970695970695972</v>
      </c>
      <c r="BB31" s="286">
        <v>21</v>
      </c>
      <c r="BC31" s="263" t="s">
        <v>312</v>
      </c>
      <c r="BD31" s="333">
        <f>J31</f>
        <v>2587.5064102564102</v>
      </c>
      <c r="BE31" s="379">
        <f>G31</f>
        <v>0.75763962065331936</v>
      </c>
      <c r="BF31" s="288">
        <f t="shared" si="14"/>
        <v>205</v>
      </c>
      <c r="BG31" s="288">
        <f>AK31</f>
        <v>390</v>
      </c>
      <c r="BH31" s="324">
        <f>BG31/BG$4</f>
        <v>1.2956810631229236</v>
      </c>
      <c r="BI31" s="288">
        <f>BD31/(BH31*30)</f>
        <v>66.567472605741827</v>
      </c>
      <c r="BJ31" s="288">
        <f t="shared" si="7"/>
        <v>84</v>
      </c>
      <c r="BK31" s="289">
        <f t="shared" si="17"/>
        <v>2.4404761904761907</v>
      </c>
      <c r="BM31" s="286">
        <v>21</v>
      </c>
      <c r="BN31" s="263" t="s">
        <v>312</v>
      </c>
      <c r="BO31" s="333">
        <f>J31</f>
        <v>2587.5064102564102</v>
      </c>
      <c r="BP31" s="379">
        <f>G31</f>
        <v>0.75763962065331936</v>
      </c>
      <c r="BQ31" s="337">
        <f>AW31</f>
        <v>0.97039897039897038</v>
      </c>
      <c r="BR31" s="288">
        <f>$BO31/(BQ31*30)</f>
        <v>88.881188362919133</v>
      </c>
      <c r="BS31" s="340">
        <f t="shared" si="8"/>
        <v>1.5970695970695972</v>
      </c>
      <c r="BT31" s="337">
        <f>BH31</f>
        <v>1.2956810631229236</v>
      </c>
      <c r="BU31" s="288">
        <f>$BO31/(BT31*30)</f>
        <v>66.567472605741827</v>
      </c>
      <c r="BV31" s="340">
        <f t="shared" si="9"/>
        <v>2.4404761904761907</v>
      </c>
    </row>
    <row r="32" spans="2:74" x14ac:dyDescent="0.35">
      <c r="B32" s="286">
        <v>22</v>
      </c>
      <c r="C32" s="263" t="s">
        <v>313</v>
      </c>
      <c r="D32" s="287">
        <v>1379</v>
      </c>
      <c r="E32" s="288">
        <f>S32/0.24</f>
        <v>1445.8333333333335</v>
      </c>
      <c r="F32" s="288">
        <f>2*27</f>
        <v>54</v>
      </c>
      <c r="G32" s="351">
        <f>F32/365</f>
        <v>0.14794520547945206</v>
      </c>
      <c r="H32" s="288">
        <f>($E32+(DATEDIF($D$9,H$9,"M")/12)*$F32)-M32</f>
        <v>1199.3333333333335</v>
      </c>
      <c r="I32" s="288">
        <f>($E32+(DATEDIF($D$9,I$9,"M")/12)*$F32)-S32</f>
        <v>1206.8333333333335</v>
      </c>
      <c r="J32" s="288">
        <f>($E32+(DATEDIF($D$9,J$9,"M")/12)*$F32)-Y32</f>
        <v>1211.3333333333335</v>
      </c>
      <c r="K32" s="288">
        <v>145</v>
      </c>
      <c r="L32" s="287">
        <v>82</v>
      </c>
      <c r="M32" s="288">
        <v>314</v>
      </c>
      <c r="N32" s="324">
        <f t="shared" ref="N32:N33" si="24">M32/M$4</f>
        <v>0.65966386554621848</v>
      </c>
      <c r="O32" s="288">
        <f>H32/(N32*30)</f>
        <v>60.60325548478415</v>
      </c>
      <c r="P32" s="288">
        <v>68</v>
      </c>
      <c r="Q32" s="289">
        <f t="shared" si="1"/>
        <v>1.2058823529411764</v>
      </c>
      <c r="R32" s="288">
        <v>105</v>
      </c>
      <c r="S32" s="288">
        <v>347</v>
      </c>
      <c r="T32" s="324">
        <f t="shared" ref="T32:T33" si="25">S32/S$4</f>
        <v>0.46205059920106523</v>
      </c>
      <c r="U32" s="288">
        <f>I32/(T32*30)</f>
        <v>87.063576689081032</v>
      </c>
      <c r="V32" s="288">
        <v>81</v>
      </c>
      <c r="W32" s="289">
        <f t="shared" si="10"/>
        <v>1.2962962962962963</v>
      </c>
      <c r="X32" s="288">
        <v>108</v>
      </c>
      <c r="Y32" s="288">
        <v>347</v>
      </c>
      <c r="Z32" s="324">
        <f t="shared" ref="Z32:Z33" si="26">Y32/Y$4</f>
        <v>0.4465894465894466</v>
      </c>
      <c r="AA32" s="288">
        <f>J32/(Z32*30)</f>
        <v>90.413640730067257</v>
      </c>
      <c r="AB32" s="288">
        <v>84</v>
      </c>
      <c r="AC32" s="289">
        <f t="shared" si="11"/>
        <v>1.2857142857142858</v>
      </c>
      <c r="AD32" s="288">
        <f t="shared" si="2"/>
        <v>23</v>
      </c>
      <c r="AE32" s="288">
        <f>S32-$M32</f>
        <v>33</v>
      </c>
      <c r="AF32" s="337">
        <f>AE32/AE$4</f>
        <v>0.12</v>
      </c>
      <c r="AG32" s="288">
        <f>I32/(AF32*30)</f>
        <v>335.23148148148158</v>
      </c>
      <c r="AH32" s="288">
        <f t="shared" si="3"/>
        <v>13</v>
      </c>
      <c r="AI32" s="289">
        <f t="shared" si="15"/>
        <v>1.7692307692307692</v>
      </c>
      <c r="AJ32" s="288">
        <f t="shared" si="4"/>
        <v>26</v>
      </c>
      <c r="AK32" s="288">
        <f>Y32-$M32</f>
        <v>33</v>
      </c>
      <c r="AL32" s="337">
        <f>AK32/AK$4</f>
        <v>0.10963455149501661</v>
      </c>
      <c r="AM32" s="288">
        <f>J32/(AL32*30)</f>
        <v>368.29427609427614</v>
      </c>
      <c r="AN32" s="288">
        <f t="shared" si="5"/>
        <v>16</v>
      </c>
      <c r="AO32" s="289">
        <f t="shared" si="22"/>
        <v>1.625</v>
      </c>
      <c r="AQ32" s="286">
        <v>22</v>
      </c>
      <c r="AR32" s="263" t="s">
        <v>313</v>
      </c>
      <c r="AS32" s="287">
        <f>J32</f>
        <v>1211.3333333333335</v>
      </c>
      <c r="AT32" s="379">
        <f t="shared" ref="AT32:AT33" si="27">G32</f>
        <v>0.14794520547945206</v>
      </c>
      <c r="AU32" s="288">
        <f t="shared" si="12"/>
        <v>108</v>
      </c>
      <c r="AV32" s="288">
        <f t="shared" si="23"/>
        <v>347</v>
      </c>
      <c r="AW32" s="324">
        <f t="shared" ref="AW32:AW33" si="28">AV32/AV$4</f>
        <v>0.4465894465894466</v>
      </c>
      <c r="AX32" s="288">
        <f>AS32/(AW32*30)</f>
        <v>90.413640730067257</v>
      </c>
      <c r="AY32" s="288">
        <f t="shared" si="21"/>
        <v>84</v>
      </c>
      <c r="AZ32" s="289">
        <f t="shared" si="13"/>
        <v>1.2857142857142858</v>
      </c>
      <c r="BB32" s="286">
        <v>22</v>
      </c>
      <c r="BC32" s="263" t="s">
        <v>313</v>
      </c>
      <c r="BD32" s="333">
        <f>J32</f>
        <v>1211.3333333333335</v>
      </c>
      <c r="BE32" s="379">
        <f>G32</f>
        <v>0.14794520547945206</v>
      </c>
      <c r="BF32" s="288">
        <f t="shared" si="14"/>
        <v>26</v>
      </c>
      <c r="BG32" s="288">
        <f>AK32</f>
        <v>33</v>
      </c>
      <c r="BH32" s="324">
        <f t="shared" ref="BH32:BH33" si="29">BG32/BG$4</f>
        <v>0.10963455149501661</v>
      </c>
      <c r="BI32" s="288">
        <f>BD32/(BH32*30)</f>
        <v>368.29427609427614</v>
      </c>
      <c r="BJ32" s="288">
        <f t="shared" si="7"/>
        <v>16</v>
      </c>
      <c r="BK32" s="289">
        <f t="shared" si="17"/>
        <v>1.625</v>
      </c>
      <c r="BM32" s="286">
        <v>22</v>
      </c>
      <c r="BN32" s="263" t="s">
        <v>313</v>
      </c>
      <c r="BO32" s="333">
        <f>J32</f>
        <v>1211.3333333333335</v>
      </c>
      <c r="BP32" s="379">
        <f>G32</f>
        <v>0.14794520547945206</v>
      </c>
      <c r="BQ32" s="337">
        <f>AW32</f>
        <v>0.4465894465894466</v>
      </c>
      <c r="BR32" s="288">
        <f>$BO32/(BQ32*30)</f>
        <v>90.413640730067257</v>
      </c>
      <c r="BS32" s="340">
        <f t="shared" si="8"/>
        <v>1.2857142857142858</v>
      </c>
      <c r="BT32" s="337">
        <f>BH32</f>
        <v>0.10963455149501661</v>
      </c>
      <c r="BU32" s="288">
        <f>$BO32/(BT32*30)</f>
        <v>368.29427609427614</v>
      </c>
      <c r="BV32" s="340">
        <f t="shared" si="9"/>
        <v>1.625</v>
      </c>
    </row>
    <row r="33" spans="2:74" x14ac:dyDescent="0.35">
      <c r="B33" s="286">
        <v>23</v>
      </c>
      <c r="C33" s="263" t="s">
        <v>314</v>
      </c>
      <c r="D33" s="287">
        <v>961</v>
      </c>
      <c r="E33" s="288">
        <f>S33/0.34</f>
        <v>955.88235294117635</v>
      </c>
      <c r="F33" s="288">
        <f>D33*0.1</f>
        <v>96.100000000000009</v>
      </c>
      <c r="G33" s="351">
        <f>F33/365</f>
        <v>0.26328767123287672</v>
      </c>
      <c r="H33" s="288">
        <f>($E33+(DATEDIF($D$9,H$9,"M")/12)*$F33)-M33</f>
        <v>775.00735294117635</v>
      </c>
      <c r="I33" s="288">
        <f>($E33+(DATEDIF($D$9,I$9,"M")/12)*$F33)-S33</f>
        <v>823.0823529411764</v>
      </c>
      <c r="J33" s="288">
        <f>($E33+(DATEDIF($D$9,J$9,"M")/12)*$F33)-Y33</f>
        <v>831.09068627450961</v>
      </c>
      <c r="K33" s="288"/>
      <c r="L33" s="287">
        <v>90</v>
      </c>
      <c r="M33" s="288">
        <v>301</v>
      </c>
      <c r="N33" s="324">
        <f t="shared" si="24"/>
        <v>0.63235294117647056</v>
      </c>
      <c r="O33" s="288">
        <f>H33/(N33*30)</f>
        <v>40.853100775193795</v>
      </c>
      <c r="P33" s="288">
        <v>31</v>
      </c>
      <c r="Q33" s="289">
        <f t="shared" si="1"/>
        <v>2.903225806451613</v>
      </c>
      <c r="R33" s="288">
        <v>135</v>
      </c>
      <c r="S33" s="288">
        <v>325</v>
      </c>
      <c r="T33" s="324">
        <f t="shared" si="25"/>
        <v>0.43275632490013316</v>
      </c>
      <c r="U33" s="288">
        <f>I33/(T33*30)</f>
        <v>63.398445852187017</v>
      </c>
      <c r="V33" s="288">
        <v>40</v>
      </c>
      <c r="W33" s="289">
        <f t="shared" si="10"/>
        <v>3.375</v>
      </c>
      <c r="X33" s="288">
        <v>136</v>
      </c>
      <c r="Y33" s="288">
        <v>325</v>
      </c>
      <c r="Z33" s="324">
        <f t="shared" si="26"/>
        <v>0.41827541827541825</v>
      </c>
      <c r="AA33" s="288">
        <f>J33/(Z33*30)</f>
        <v>66.231534690799378</v>
      </c>
      <c r="AB33" s="288">
        <v>43</v>
      </c>
      <c r="AC33" s="289">
        <f t="shared" si="11"/>
        <v>3.1627906976744184</v>
      </c>
      <c r="AD33" s="288">
        <f t="shared" si="2"/>
        <v>45</v>
      </c>
      <c r="AE33" s="288">
        <f>S33-$M33</f>
        <v>24</v>
      </c>
      <c r="AF33" s="337">
        <f>AE33/AE$4</f>
        <v>8.727272727272728E-2</v>
      </c>
      <c r="AG33" s="288">
        <f>I33/(AF33*30)</f>
        <v>314.37173202614377</v>
      </c>
      <c r="AH33" s="288">
        <f t="shared" si="3"/>
        <v>9</v>
      </c>
      <c r="AI33" s="289">
        <f t="shared" si="15"/>
        <v>5</v>
      </c>
      <c r="AJ33" s="288">
        <f t="shared" si="4"/>
        <v>46</v>
      </c>
      <c r="AK33" s="288">
        <f>Y33-$M33</f>
        <v>24</v>
      </c>
      <c r="AL33" s="337">
        <f>AK33/AK$4</f>
        <v>7.9734219269102985E-2</v>
      </c>
      <c r="AM33" s="288">
        <f>J33/(AL33*30)</f>
        <v>347.44207856753809</v>
      </c>
      <c r="AN33" s="288">
        <f t="shared" si="5"/>
        <v>12</v>
      </c>
      <c r="AO33" s="289">
        <f t="shared" si="22"/>
        <v>3.8333333333333335</v>
      </c>
      <c r="AQ33" s="286">
        <v>23</v>
      </c>
      <c r="AR33" s="263" t="s">
        <v>314</v>
      </c>
      <c r="AS33" s="287">
        <f>J33</f>
        <v>831.09068627450961</v>
      </c>
      <c r="AT33" s="379">
        <f t="shared" si="27"/>
        <v>0.26328767123287672</v>
      </c>
      <c r="AU33" s="288">
        <f t="shared" si="12"/>
        <v>136</v>
      </c>
      <c r="AV33" s="288">
        <f t="shared" si="23"/>
        <v>325</v>
      </c>
      <c r="AW33" s="324">
        <f t="shared" si="28"/>
        <v>0.41827541827541825</v>
      </c>
      <c r="AX33" s="288">
        <f>AS33/(AW33*30)</f>
        <v>66.231534690799378</v>
      </c>
      <c r="AY33" s="288">
        <f t="shared" si="21"/>
        <v>43</v>
      </c>
      <c r="AZ33" s="289">
        <f t="shared" si="13"/>
        <v>3.1627906976744184</v>
      </c>
      <c r="BB33" s="286">
        <v>23</v>
      </c>
      <c r="BC33" s="263" t="s">
        <v>314</v>
      </c>
      <c r="BD33" s="333">
        <f>J33</f>
        <v>831.09068627450961</v>
      </c>
      <c r="BE33" s="379">
        <f>G33</f>
        <v>0.26328767123287672</v>
      </c>
      <c r="BF33" s="288">
        <f t="shared" si="14"/>
        <v>46</v>
      </c>
      <c r="BG33" s="288">
        <f>AK33</f>
        <v>24</v>
      </c>
      <c r="BH33" s="324">
        <f t="shared" si="29"/>
        <v>7.9734219269102985E-2</v>
      </c>
      <c r="BI33" s="288">
        <f>BD33/(BH33*30)</f>
        <v>347.44207856753809</v>
      </c>
      <c r="BJ33" s="288">
        <f t="shared" si="7"/>
        <v>12</v>
      </c>
      <c r="BK33" s="289">
        <f t="shared" si="17"/>
        <v>3.8333333333333335</v>
      </c>
      <c r="BM33" s="286">
        <v>23</v>
      </c>
      <c r="BN33" s="263" t="s">
        <v>314</v>
      </c>
      <c r="BO33" s="333">
        <f>J33</f>
        <v>831.09068627450961</v>
      </c>
      <c r="BP33" s="379">
        <f>G33</f>
        <v>0.26328767123287672</v>
      </c>
      <c r="BQ33" s="337">
        <f>AW33</f>
        <v>0.41827541827541825</v>
      </c>
      <c r="BR33" s="288">
        <f>$BO33/(BQ33*30)</f>
        <v>66.231534690799378</v>
      </c>
      <c r="BS33" s="340">
        <f t="shared" si="8"/>
        <v>3.1627906976744184</v>
      </c>
      <c r="BT33" s="337">
        <f>BH33</f>
        <v>7.9734219269102985E-2</v>
      </c>
      <c r="BU33" s="288">
        <f>$BO33/(BT33*30)</f>
        <v>347.44207856753809</v>
      </c>
      <c r="BV33" s="340">
        <f t="shared" si="9"/>
        <v>3.8333333333333335</v>
      </c>
    </row>
    <row r="34" spans="2:74" x14ac:dyDescent="0.35">
      <c r="B34" s="286">
        <v>24</v>
      </c>
      <c r="C34" s="263" t="s">
        <v>315</v>
      </c>
      <c r="D34" s="99"/>
      <c r="E34" s="159"/>
      <c r="F34" s="159"/>
      <c r="G34" s="9"/>
      <c r="H34" s="159"/>
      <c r="I34" s="159"/>
      <c r="J34" s="159"/>
      <c r="K34" s="159"/>
      <c r="L34" s="99">
        <v>10</v>
      </c>
      <c r="M34" s="159"/>
      <c r="N34" s="311"/>
      <c r="O34" s="159"/>
      <c r="P34" s="159">
        <v>23</v>
      </c>
      <c r="Q34" s="295">
        <f t="shared" si="1"/>
        <v>0.43478260869565216</v>
      </c>
      <c r="R34" s="159">
        <v>14</v>
      </c>
      <c r="S34" s="159"/>
      <c r="T34" s="311"/>
      <c r="U34" s="159"/>
      <c r="V34" s="159">
        <v>27</v>
      </c>
      <c r="W34" s="295">
        <f t="shared" si="10"/>
        <v>0.51851851851851849</v>
      </c>
      <c r="X34" s="159">
        <v>14</v>
      </c>
      <c r="Y34" s="159"/>
      <c r="Z34" s="311"/>
      <c r="AA34" s="159"/>
      <c r="AB34" s="159">
        <v>27</v>
      </c>
      <c r="AC34" s="295">
        <f t="shared" si="11"/>
        <v>0.51851851851851849</v>
      </c>
      <c r="AD34" s="159">
        <f t="shared" si="2"/>
        <v>4</v>
      </c>
      <c r="AE34" s="159"/>
      <c r="AF34" s="176"/>
      <c r="AG34" s="159"/>
      <c r="AH34" s="159">
        <f t="shared" si="3"/>
        <v>4</v>
      </c>
      <c r="AI34" s="295">
        <f t="shared" si="15"/>
        <v>1</v>
      </c>
      <c r="AJ34" s="159">
        <f t="shared" si="4"/>
        <v>4</v>
      </c>
      <c r="AK34" s="159"/>
      <c r="AL34" s="176"/>
      <c r="AM34" s="159"/>
      <c r="AN34" s="159">
        <f t="shared" si="5"/>
        <v>4</v>
      </c>
      <c r="AO34" s="295">
        <f t="shared" si="22"/>
        <v>1</v>
      </c>
      <c r="AQ34" s="286">
        <v>24</v>
      </c>
      <c r="AR34" s="263" t="s">
        <v>315</v>
      </c>
      <c r="AS34" s="99"/>
      <c r="AT34" s="381"/>
      <c r="AU34" s="159">
        <f t="shared" si="12"/>
        <v>14</v>
      </c>
      <c r="AV34" s="159"/>
      <c r="AW34" s="311"/>
      <c r="AX34" s="311"/>
      <c r="AY34" s="159">
        <f t="shared" si="21"/>
        <v>27</v>
      </c>
      <c r="AZ34" s="295">
        <f t="shared" si="13"/>
        <v>0.51851851851851849</v>
      </c>
      <c r="BB34" s="286">
        <v>24</v>
      </c>
      <c r="BC34" s="263" t="s">
        <v>315</v>
      </c>
      <c r="BD34" s="105"/>
      <c r="BE34" s="381"/>
      <c r="BF34" s="159">
        <f t="shared" si="14"/>
        <v>4</v>
      </c>
      <c r="BG34" s="159"/>
      <c r="BH34" s="311"/>
      <c r="BI34" s="311"/>
      <c r="BJ34" s="159">
        <f t="shared" si="7"/>
        <v>4</v>
      </c>
      <c r="BK34" s="295">
        <f t="shared" si="17"/>
        <v>1</v>
      </c>
      <c r="BM34" s="286">
        <v>24</v>
      </c>
      <c r="BN34" s="263" t="s">
        <v>315</v>
      </c>
      <c r="BO34" s="105"/>
      <c r="BP34" s="381"/>
      <c r="BQ34" s="176"/>
      <c r="BR34" s="176"/>
      <c r="BS34" s="385">
        <f t="shared" si="8"/>
        <v>0.51851851851851849</v>
      </c>
      <c r="BT34" s="176"/>
      <c r="BU34" s="176"/>
      <c r="BV34" s="385">
        <f t="shared" si="9"/>
        <v>1</v>
      </c>
    </row>
    <row r="35" spans="2:74" x14ac:dyDescent="0.35">
      <c r="B35" s="286">
        <v>25</v>
      </c>
      <c r="C35" s="263" t="s">
        <v>316</v>
      </c>
      <c r="D35" s="99"/>
      <c r="E35" s="159"/>
      <c r="F35" s="159"/>
      <c r="G35" s="9"/>
      <c r="H35" s="159"/>
      <c r="I35" s="159"/>
      <c r="J35" s="159"/>
      <c r="K35" s="159"/>
      <c r="L35" s="99">
        <v>236</v>
      </c>
      <c r="M35" s="159"/>
      <c r="N35" s="311"/>
      <c r="O35" s="159"/>
      <c r="P35" s="159">
        <v>121</v>
      </c>
      <c r="Q35" s="295">
        <f t="shared" si="1"/>
        <v>1.9504132231404958</v>
      </c>
      <c r="R35" s="159">
        <v>337</v>
      </c>
      <c r="S35" s="159"/>
      <c r="T35" s="311"/>
      <c r="U35" s="159"/>
      <c r="V35" s="159">
        <v>271</v>
      </c>
      <c r="W35" s="295">
        <f t="shared" si="10"/>
        <v>1.2435424354243543</v>
      </c>
      <c r="X35" s="159">
        <v>342</v>
      </c>
      <c r="Y35" s="159"/>
      <c r="Z35" s="311"/>
      <c r="AA35" s="159"/>
      <c r="AB35" s="159">
        <v>290</v>
      </c>
      <c r="AC35" s="295">
        <f t="shared" si="11"/>
        <v>1.1793103448275861</v>
      </c>
      <c r="AD35" s="159">
        <f t="shared" si="2"/>
        <v>101</v>
      </c>
      <c r="AE35" s="159"/>
      <c r="AF35" s="176"/>
      <c r="AG35" s="159"/>
      <c r="AH35" s="159">
        <f t="shared" si="3"/>
        <v>150</v>
      </c>
      <c r="AI35" s="295">
        <f t="shared" si="15"/>
        <v>0.67333333333333334</v>
      </c>
      <c r="AJ35" s="159">
        <f t="shared" si="4"/>
        <v>106</v>
      </c>
      <c r="AK35" s="159"/>
      <c r="AL35" s="176"/>
      <c r="AM35" s="159"/>
      <c r="AN35" s="159">
        <f t="shared" si="5"/>
        <v>169</v>
      </c>
      <c r="AO35" s="295">
        <f t="shared" si="22"/>
        <v>0.62721893491124259</v>
      </c>
      <c r="AQ35" s="286">
        <v>25</v>
      </c>
      <c r="AR35" s="263" t="s">
        <v>316</v>
      </c>
      <c r="AS35" s="99"/>
      <c r="AT35" s="381"/>
      <c r="AU35" s="159">
        <f t="shared" si="12"/>
        <v>342</v>
      </c>
      <c r="AV35" s="159"/>
      <c r="AW35" s="311"/>
      <c r="AX35" s="311"/>
      <c r="AY35" s="159">
        <f t="shared" si="21"/>
        <v>290</v>
      </c>
      <c r="AZ35" s="295">
        <f t="shared" si="13"/>
        <v>1.1793103448275861</v>
      </c>
      <c r="BB35" s="286">
        <v>25</v>
      </c>
      <c r="BC35" s="263" t="s">
        <v>316</v>
      </c>
      <c r="BD35" s="105"/>
      <c r="BE35" s="381"/>
      <c r="BF35" s="159">
        <f t="shared" si="14"/>
        <v>106</v>
      </c>
      <c r="BG35" s="159"/>
      <c r="BH35" s="311"/>
      <c r="BI35" s="311"/>
      <c r="BJ35" s="159">
        <f t="shared" si="7"/>
        <v>169</v>
      </c>
      <c r="BK35" s="295">
        <f t="shared" si="17"/>
        <v>0.62721893491124259</v>
      </c>
      <c r="BM35" s="286">
        <v>25</v>
      </c>
      <c r="BN35" s="263" t="s">
        <v>316</v>
      </c>
      <c r="BO35" s="105"/>
      <c r="BP35" s="381"/>
      <c r="BQ35" s="176"/>
      <c r="BR35" s="176"/>
      <c r="BS35" s="385">
        <f t="shared" si="8"/>
        <v>1.1793103448275861</v>
      </c>
      <c r="BT35" s="176"/>
      <c r="BU35" s="176"/>
      <c r="BV35" s="385">
        <f t="shared" si="9"/>
        <v>0.62721893491124259</v>
      </c>
    </row>
    <row r="36" spans="2:74" x14ac:dyDescent="0.35">
      <c r="B36" s="286">
        <v>26</v>
      </c>
      <c r="C36" s="263" t="s">
        <v>317</v>
      </c>
      <c r="D36" s="287"/>
      <c r="E36" s="297" t="s">
        <v>35</v>
      </c>
      <c r="F36" s="297" t="s">
        <v>35</v>
      </c>
      <c r="G36" s="374"/>
      <c r="H36" s="297" t="s">
        <v>35</v>
      </c>
      <c r="I36" s="297" t="s">
        <v>35</v>
      </c>
      <c r="J36" s="297" t="s">
        <v>35</v>
      </c>
      <c r="K36" s="288"/>
      <c r="L36" s="291">
        <f>SUM(L34:L35)</f>
        <v>246</v>
      </c>
      <c r="M36" s="292">
        <v>3333</v>
      </c>
      <c r="N36" s="354">
        <f t="shared" ref="N36:N39" si="30">M36/M$4</f>
        <v>7.0021008403361344</v>
      </c>
      <c r="O36" s="408" t="s">
        <v>35</v>
      </c>
      <c r="P36" s="292">
        <f>SUM(P34:P35)</f>
        <v>144</v>
      </c>
      <c r="Q36" s="293">
        <f t="shared" si="1"/>
        <v>1.7083333333333333</v>
      </c>
      <c r="R36" s="292">
        <f>SUM(R34:R35)</f>
        <v>351</v>
      </c>
      <c r="S36" s="292">
        <v>8268</v>
      </c>
      <c r="T36" s="354">
        <f t="shared" ref="T36:T39" si="31">S36/S$4</f>
        <v>11.009320905459388</v>
      </c>
      <c r="U36" s="408" t="s">
        <v>35</v>
      </c>
      <c r="V36" s="292">
        <f>SUM(V34:V35)</f>
        <v>298</v>
      </c>
      <c r="W36" s="293">
        <f t="shared" si="10"/>
        <v>1.1778523489932886</v>
      </c>
      <c r="X36" s="292">
        <f>SUM(X34:X35)</f>
        <v>356</v>
      </c>
      <c r="Y36" s="292">
        <v>9104</v>
      </c>
      <c r="Z36" s="354">
        <f t="shared" ref="Z36:Z39" si="32">Y36/Y$4</f>
        <v>11.716859716859718</v>
      </c>
      <c r="AA36" s="408" t="s">
        <v>35</v>
      </c>
      <c r="AB36" s="292">
        <f>SUM(AB34:AB35)</f>
        <v>317</v>
      </c>
      <c r="AC36" s="293">
        <f t="shared" si="11"/>
        <v>1.1230283911671923</v>
      </c>
      <c r="AD36" s="292">
        <f t="shared" si="2"/>
        <v>105</v>
      </c>
      <c r="AE36" s="292">
        <f>S36-$M36</f>
        <v>4935</v>
      </c>
      <c r="AF36" s="383">
        <f>AE36/AE$4</f>
        <v>17.945454545454545</v>
      </c>
      <c r="AG36" s="408" t="s">
        <v>35</v>
      </c>
      <c r="AH36" s="292">
        <f t="shared" si="3"/>
        <v>154</v>
      </c>
      <c r="AI36" s="293">
        <f t="shared" si="15"/>
        <v>0.68181818181818177</v>
      </c>
      <c r="AJ36" s="292">
        <f t="shared" si="4"/>
        <v>110</v>
      </c>
      <c r="AK36" s="292">
        <f>Y36-$M36</f>
        <v>5771</v>
      </c>
      <c r="AL36" s="383">
        <f>AK36/AK$4</f>
        <v>19.172757475083056</v>
      </c>
      <c r="AM36" s="408" t="s">
        <v>35</v>
      </c>
      <c r="AN36" s="292">
        <f t="shared" si="5"/>
        <v>173</v>
      </c>
      <c r="AO36" s="293">
        <f t="shared" si="22"/>
        <v>0.63583815028901736</v>
      </c>
      <c r="AQ36" s="286">
        <v>26</v>
      </c>
      <c r="AR36" s="263" t="s">
        <v>317</v>
      </c>
      <c r="AS36" s="377" t="s">
        <v>35</v>
      </c>
      <c r="AT36" s="382" t="s">
        <v>35</v>
      </c>
      <c r="AU36" s="292">
        <f t="shared" si="12"/>
        <v>356</v>
      </c>
      <c r="AV36" s="292">
        <f t="shared" ref="AV36:AV40" si="33">Y36</f>
        <v>9104</v>
      </c>
      <c r="AW36" s="354">
        <f t="shared" ref="AW36:AW39" si="34">AV36/AV$4</f>
        <v>11.716859716859718</v>
      </c>
      <c r="AX36" s="417" t="s">
        <v>35</v>
      </c>
      <c r="AY36" s="292">
        <f t="shared" si="21"/>
        <v>317</v>
      </c>
      <c r="AZ36" s="293">
        <f t="shared" si="13"/>
        <v>1.1230283911671923</v>
      </c>
      <c r="BB36" s="286">
        <v>26</v>
      </c>
      <c r="BC36" s="263" t="s">
        <v>317</v>
      </c>
      <c r="BD36" s="334" t="s">
        <v>35</v>
      </c>
      <c r="BE36" s="382" t="s">
        <v>35</v>
      </c>
      <c r="BF36" s="292">
        <f t="shared" si="14"/>
        <v>110</v>
      </c>
      <c r="BG36" s="292">
        <f>AK36</f>
        <v>5771</v>
      </c>
      <c r="BH36" s="354">
        <f t="shared" ref="BH36:BH39" si="35">BG36/BG$4</f>
        <v>19.172757475083056</v>
      </c>
      <c r="BI36" s="417" t="s">
        <v>35</v>
      </c>
      <c r="BJ36" s="292">
        <f t="shared" si="7"/>
        <v>173</v>
      </c>
      <c r="BK36" s="293">
        <f t="shared" si="17"/>
        <v>0.63583815028901736</v>
      </c>
      <c r="BM36" s="286">
        <v>26</v>
      </c>
      <c r="BN36" s="263" t="s">
        <v>317</v>
      </c>
      <c r="BO36" s="334" t="s">
        <v>35</v>
      </c>
      <c r="BP36" s="382"/>
      <c r="BQ36" s="383">
        <f>AW36</f>
        <v>11.716859716859718</v>
      </c>
      <c r="BR36" s="383"/>
      <c r="BS36" s="387">
        <f t="shared" si="8"/>
        <v>1.1230283911671923</v>
      </c>
      <c r="BT36" s="383">
        <f>BH36</f>
        <v>19.172757475083056</v>
      </c>
      <c r="BU36" s="383"/>
      <c r="BV36" s="387">
        <f t="shared" si="9"/>
        <v>0.63583815028901736</v>
      </c>
    </row>
    <row r="37" spans="2:74" x14ac:dyDescent="0.35">
      <c r="B37" s="286">
        <v>27</v>
      </c>
      <c r="C37" s="263" t="s">
        <v>318</v>
      </c>
      <c r="D37" s="377" t="s">
        <v>319</v>
      </c>
      <c r="E37" s="288">
        <f>S37/0.35</f>
        <v>74.285714285714292</v>
      </c>
      <c r="F37" s="288">
        <v>0</v>
      </c>
      <c r="G37" s="351">
        <f>F37/365</f>
        <v>0</v>
      </c>
      <c r="H37" s="288">
        <f>($E37+(DATEDIF($D$9,H$9,"M")/12)*$F37)-M37</f>
        <v>56.285714285714292</v>
      </c>
      <c r="I37" s="288">
        <f>($E37+(DATEDIF($D$9,I$9,"M")/12)*$F37)-S37</f>
        <v>48.285714285714292</v>
      </c>
      <c r="J37" s="288">
        <f>($E37+(DATEDIF($D$9,J$9,"M")/12)*$F37)-Y37</f>
        <v>48.285714285714292</v>
      </c>
      <c r="K37" s="288"/>
      <c r="L37" s="287">
        <v>12</v>
      </c>
      <c r="M37" s="288">
        <v>18</v>
      </c>
      <c r="N37" s="419">
        <f t="shared" si="30"/>
        <v>3.7815126050420166E-2</v>
      </c>
      <c r="O37" s="288">
        <f>H37/(N37*30)</f>
        <v>49.614814814814821</v>
      </c>
      <c r="P37" s="288">
        <v>26</v>
      </c>
      <c r="Q37" s="289">
        <f t="shared" si="1"/>
        <v>0.46153846153846156</v>
      </c>
      <c r="R37" s="288">
        <v>21</v>
      </c>
      <c r="S37" s="288">
        <v>26</v>
      </c>
      <c r="T37" s="419">
        <f t="shared" si="31"/>
        <v>3.462050599201065E-2</v>
      </c>
      <c r="U37" s="288">
        <f>I37/(T37*30)</f>
        <v>46.490476190476194</v>
      </c>
      <c r="V37" s="288">
        <v>30</v>
      </c>
      <c r="W37" s="289">
        <f t="shared" si="10"/>
        <v>0.7</v>
      </c>
      <c r="X37" s="288">
        <v>22</v>
      </c>
      <c r="Y37" s="288">
        <v>26</v>
      </c>
      <c r="Z37" s="350">
        <f t="shared" si="32"/>
        <v>3.3462033462033462E-2</v>
      </c>
      <c r="AA37" s="288">
        <f>J37/(Z37*30)</f>
        <v>48.100000000000009</v>
      </c>
      <c r="AB37" s="288">
        <v>35</v>
      </c>
      <c r="AC37" s="289">
        <f t="shared" si="11"/>
        <v>0.62857142857142856</v>
      </c>
      <c r="AD37" s="288">
        <f t="shared" si="2"/>
        <v>9</v>
      </c>
      <c r="AE37" s="288">
        <f>S37-$M37</f>
        <v>8</v>
      </c>
      <c r="AF37" s="420">
        <f t="shared" ref="AF37:AF39" si="36">AE37/AE$4</f>
        <v>2.9090909090909091E-2</v>
      </c>
      <c r="AG37" s="288">
        <f>I37/(AF37*30)</f>
        <v>55.327380952380963</v>
      </c>
      <c r="AH37" s="288">
        <f t="shared" si="3"/>
        <v>4</v>
      </c>
      <c r="AI37" s="289">
        <f t="shared" si="15"/>
        <v>2.25</v>
      </c>
      <c r="AJ37" s="288">
        <f t="shared" si="4"/>
        <v>10</v>
      </c>
      <c r="AK37" s="288">
        <f>Y37-$M37</f>
        <v>8</v>
      </c>
      <c r="AL37" s="420">
        <f t="shared" ref="AL37:AL39" si="37">AK37/AK$4</f>
        <v>2.6578073089700997E-2</v>
      </c>
      <c r="AM37" s="288">
        <f>J37/(AL37*30)</f>
        <v>60.558333333333337</v>
      </c>
      <c r="AN37" s="288">
        <f t="shared" si="5"/>
        <v>9</v>
      </c>
      <c r="AO37" s="289">
        <f t="shared" si="22"/>
        <v>1.1111111111111112</v>
      </c>
      <c r="AQ37" s="286">
        <v>27</v>
      </c>
      <c r="AR37" s="263" t="s">
        <v>318</v>
      </c>
      <c r="AS37" s="287">
        <f>J37</f>
        <v>48.285714285714292</v>
      </c>
      <c r="AT37" s="379">
        <f t="shared" ref="AT37:AT38" si="38">G37</f>
        <v>0</v>
      </c>
      <c r="AU37" s="288">
        <f t="shared" si="12"/>
        <v>22</v>
      </c>
      <c r="AV37" s="288">
        <f t="shared" si="33"/>
        <v>26</v>
      </c>
      <c r="AW37" s="419">
        <f t="shared" si="34"/>
        <v>3.3462033462033462E-2</v>
      </c>
      <c r="AX37" s="288">
        <f>AS37/(AW37*30)</f>
        <v>48.100000000000009</v>
      </c>
      <c r="AY37" s="288">
        <f t="shared" si="21"/>
        <v>35</v>
      </c>
      <c r="AZ37" s="289">
        <f t="shared" si="13"/>
        <v>0.62857142857142856</v>
      </c>
      <c r="BB37" s="286">
        <v>27</v>
      </c>
      <c r="BC37" s="263" t="s">
        <v>318</v>
      </c>
      <c r="BD37" s="333">
        <f>J37</f>
        <v>48.285714285714292</v>
      </c>
      <c r="BE37" s="379">
        <f>G37</f>
        <v>0</v>
      </c>
      <c r="BF37" s="288">
        <f t="shared" si="14"/>
        <v>10</v>
      </c>
      <c r="BG37" s="288">
        <f>AK37</f>
        <v>8</v>
      </c>
      <c r="BH37" s="419">
        <f t="shared" si="35"/>
        <v>2.6578073089700997E-2</v>
      </c>
      <c r="BI37" s="288">
        <f>BD37/(BH37*30)</f>
        <v>60.558333333333337</v>
      </c>
      <c r="BJ37" s="288">
        <f t="shared" si="7"/>
        <v>9</v>
      </c>
      <c r="BK37" s="289">
        <f t="shared" si="17"/>
        <v>1.1111111111111112</v>
      </c>
      <c r="BM37" s="286">
        <v>27</v>
      </c>
      <c r="BN37" s="263" t="s">
        <v>318</v>
      </c>
      <c r="BO37" s="333">
        <f>J37</f>
        <v>48.285714285714292</v>
      </c>
      <c r="BP37" s="379">
        <f>G37</f>
        <v>0</v>
      </c>
      <c r="BQ37" s="420">
        <f>AW37</f>
        <v>3.3462033462033462E-2</v>
      </c>
      <c r="BR37" s="288">
        <f>$BO37/(BQ37*30)</f>
        <v>48.100000000000009</v>
      </c>
      <c r="BS37" s="340">
        <f t="shared" si="8"/>
        <v>0.62857142857142856</v>
      </c>
      <c r="BT37" s="420">
        <f>BH37</f>
        <v>2.6578073089700997E-2</v>
      </c>
      <c r="BU37" s="288">
        <f>$BO37/(BT37*30)</f>
        <v>60.558333333333337</v>
      </c>
      <c r="BV37" s="340">
        <f t="shared" si="9"/>
        <v>1.1111111111111112</v>
      </c>
    </row>
    <row r="38" spans="2:74" x14ac:dyDescent="0.35">
      <c r="B38" s="286">
        <v>28</v>
      </c>
      <c r="C38" s="263" t="s">
        <v>320</v>
      </c>
      <c r="D38" s="287"/>
      <c r="E38" s="288">
        <f>S38/0.17</f>
        <v>5.8823529411764701</v>
      </c>
      <c r="F38" s="288">
        <v>0</v>
      </c>
      <c r="G38" s="351">
        <f>F38/365</f>
        <v>0</v>
      </c>
      <c r="H38" s="288">
        <f>($E38+(DATEDIF($D$9,H$9,"M")/12)*$F38)-M38</f>
        <v>5.8823529411764701</v>
      </c>
      <c r="I38" s="288">
        <f>($E38+(DATEDIF($D$9,I$9,"M")/12)*$F38)-S38</f>
        <v>4.8823529411764701</v>
      </c>
      <c r="J38" s="288">
        <f>($E38+(DATEDIF($D$9,J$9,"M")/12)*$F38)-Y38</f>
        <v>4.8823529411764701</v>
      </c>
      <c r="K38" s="288"/>
      <c r="L38" s="287">
        <v>0</v>
      </c>
      <c r="M38" s="288">
        <v>0</v>
      </c>
      <c r="N38" s="419">
        <f t="shared" si="30"/>
        <v>0</v>
      </c>
      <c r="O38" s="288" t="e">
        <f>H38/(N38*30)</f>
        <v>#DIV/0!</v>
      </c>
      <c r="P38" s="288">
        <v>0</v>
      </c>
      <c r="Q38" s="289" t="s">
        <v>35</v>
      </c>
      <c r="R38" s="288">
        <v>1</v>
      </c>
      <c r="S38" s="288">
        <v>1</v>
      </c>
      <c r="T38" s="419">
        <f t="shared" si="31"/>
        <v>1.3315579227696406E-3</v>
      </c>
      <c r="U38" s="288">
        <f>I38/(T38*30)</f>
        <v>122.22156862745095</v>
      </c>
      <c r="V38" s="288">
        <v>0</v>
      </c>
      <c r="W38" s="298" t="s">
        <v>35</v>
      </c>
      <c r="X38" s="288">
        <v>1</v>
      </c>
      <c r="Y38" s="288">
        <v>1</v>
      </c>
      <c r="Z38" s="419">
        <f t="shared" si="32"/>
        <v>1.287001287001287E-3</v>
      </c>
      <c r="AA38" s="288">
        <f>J38/(Z38*30)</f>
        <v>126.45294117647057</v>
      </c>
      <c r="AB38" s="288">
        <v>0</v>
      </c>
      <c r="AC38" s="298" t="s">
        <v>35</v>
      </c>
      <c r="AD38" s="288">
        <f t="shared" si="2"/>
        <v>1</v>
      </c>
      <c r="AE38" s="288">
        <f>S38-$M38</f>
        <v>1</v>
      </c>
      <c r="AF38" s="420">
        <f t="shared" si="36"/>
        <v>3.6363636363636364E-3</v>
      </c>
      <c r="AG38" s="288">
        <f>I38/(AF38*30)</f>
        <v>44.754901960784309</v>
      </c>
      <c r="AH38" s="288">
        <f t="shared" si="3"/>
        <v>0</v>
      </c>
      <c r="AI38" s="298" t="s">
        <v>35</v>
      </c>
      <c r="AJ38" s="288">
        <f t="shared" si="4"/>
        <v>1</v>
      </c>
      <c r="AK38" s="288">
        <f>Y38-$M38</f>
        <v>1</v>
      </c>
      <c r="AL38" s="420">
        <f t="shared" si="37"/>
        <v>3.3222591362126247E-3</v>
      </c>
      <c r="AM38" s="288">
        <f>J38/(AL38*30)</f>
        <v>48.98627450980392</v>
      </c>
      <c r="AN38" s="288">
        <f t="shared" si="5"/>
        <v>0</v>
      </c>
      <c r="AO38" s="298" t="s">
        <v>35</v>
      </c>
      <c r="AQ38" s="286">
        <v>28</v>
      </c>
      <c r="AR38" s="263" t="s">
        <v>320</v>
      </c>
      <c r="AS38" s="287">
        <f>J38</f>
        <v>4.8823529411764701</v>
      </c>
      <c r="AT38" s="379">
        <f t="shared" si="38"/>
        <v>0</v>
      </c>
      <c r="AU38" s="288">
        <f t="shared" si="12"/>
        <v>1</v>
      </c>
      <c r="AV38" s="288">
        <f t="shared" si="33"/>
        <v>1</v>
      </c>
      <c r="AW38" s="419">
        <f t="shared" si="34"/>
        <v>1.287001287001287E-3</v>
      </c>
      <c r="AX38" s="288">
        <f>AS38/(AW38*30)</f>
        <v>126.45294117647057</v>
      </c>
      <c r="AY38" s="288">
        <f t="shared" si="21"/>
        <v>0</v>
      </c>
      <c r="AZ38" s="298" t="s">
        <v>35</v>
      </c>
      <c r="BB38" s="286">
        <v>28</v>
      </c>
      <c r="BC38" s="263" t="s">
        <v>320</v>
      </c>
      <c r="BD38" s="333">
        <f>J38</f>
        <v>4.8823529411764701</v>
      </c>
      <c r="BE38" s="379">
        <f>G38</f>
        <v>0</v>
      </c>
      <c r="BF38" s="288">
        <f t="shared" si="14"/>
        <v>1</v>
      </c>
      <c r="BG38" s="288">
        <f>AK38</f>
        <v>1</v>
      </c>
      <c r="BH38" s="419">
        <f t="shared" si="35"/>
        <v>3.3222591362126247E-3</v>
      </c>
      <c r="BI38" s="288">
        <f>BD38/(BH38*30)</f>
        <v>48.98627450980392</v>
      </c>
      <c r="BJ38" s="288">
        <f t="shared" si="7"/>
        <v>0</v>
      </c>
      <c r="BK38" s="298" t="s">
        <v>35</v>
      </c>
      <c r="BM38" s="286">
        <v>28</v>
      </c>
      <c r="BN38" s="263" t="s">
        <v>320</v>
      </c>
      <c r="BO38" s="333">
        <f>J38</f>
        <v>4.8823529411764701</v>
      </c>
      <c r="BP38" s="379">
        <f>G38</f>
        <v>0</v>
      </c>
      <c r="BQ38" s="420">
        <f>AW38</f>
        <v>1.287001287001287E-3</v>
      </c>
      <c r="BR38" s="288">
        <f>$BO38/(BQ38*30)</f>
        <v>126.45294117647057</v>
      </c>
      <c r="BS38" s="341" t="str">
        <f t="shared" si="8"/>
        <v>-</v>
      </c>
      <c r="BT38" s="420">
        <f>BH38</f>
        <v>3.3222591362126247E-3</v>
      </c>
      <c r="BU38" s="288">
        <f>$BO38/(BT38*30)</f>
        <v>48.98627450980392</v>
      </c>
      <c r="BV38" s="341" t="str">
        <f t="shared" si="9"/>
        <v>-</v>
      </c>
    </row>
    <row r="39" spans="2:74" x14ac:dyDescent="0.35">
      <c r="B39" s="286">
        <v>29</v>
      </c>
      <c r="C39" s="263" t="s">
        <v>321</v>
      </c>
      <c r="D39" s="287"/>
      <c r="E39" s="297" t="s">
        <v>35</v>
      </c>
      <c r="F39" s="297" t="s">
        <v>35</v>
      </c>
      <c r="G39" s="297"/>
      <c r="H39" s="297" t="s">
        <v>35</v>
      </c>
      <c r="I39" s="297" t="s">
        <v>35</v>
      </c>
      <c r="J39" s="297" t="s">
        <v>35</v>
      </c>
      <c r="K39" s="288"/>
      <c r="L39" s="287">
        <v>2570</v>
      </c>
      <c r="M39" s="288">
        <v>6506</v>
      </c>
      <c r="N39" s="324">
        <f t="shared" si="30"/>
        <v>13.668067226890756</v>
      </c>
      <c r="O39" s="297" t="s">
        <v>35</v>
      </c>
      <c r="P39" s="288">
        <v>653</v>
      </c>
      <c r="Q39" s="289">
        <f t="shared" si="1"/>
        <v>3.9356814701378253</v>
      </c>
      <c r="R39" s="288">
        <v>3152</v>
      </c>
      <c r="S39" s="288">
        <v>14024</v>
      </c>
      <c r="T39" s="324">
        <f t="shared" si="31"/>
        <v>18.673768308921439</v>
      </c>
      <c r="U39" s="297" t="s">
        <v>35</v>
      </c>
      <c r="V39" s="288">
        <v>842</v>
      </c>
      <c r="W39" s="289">
        <f t="shared" si="10"/>
        <v>3.7434679334916865</v>
      </c>
      <c r="X39" s="288">
        <v>3203</v>
      </c>
      <c r="Y39" s="288">
        <v>15298</v>
      </c>
      <c r="Z39" s="324">
        <f t="shared" si="32"/>
        <v>19.688545688545688</v>
      </c>
      <c r="AA39" s="297" t="s">
        <v>35</v>
      </c>
      <c r="AB39" s="288">
        <v>861</v>
      </c>
      <c r="AC39" s="289">
        <f t="shared" ref="AC39" si="39">X39/AB39</f>
        <v>3.7200929152148663</v>
      </c>
      <c r="AD39" s="288">
        <f t="shared" si="2"/>
        <v>582</v>
      </c>
      <c r="AE39" s="288">
        <f>S39-$M39</f>
        <v>7518</v>
      </c>
      <c r="AF39" s="337">
        <f t="shared" si="36"/>
        <v>27.33818181818182</v>
      </c>
      <c r="AG39" s="297" t="s">
        <v>35</v>
      </c>
      <c r="AH39" s="288">
        <f t="shared" si="3"/>
        <v>189</v>
      </c>
      <c r="AI39" s="289">
        <f t="shared" ref="AI39:AI43" si="40">AD39/AH39</f>
        <v>3.0793650793650795</v>
      </c>
      <c r="AJ39" s="288">
        <f t="shared" si="4"/>
        <v>633</v>
      </c>
      <c r="AK39" s="288">
        <f>Y39-$M39</f>
        <v>8792</v>
      </c>
      <c r="AL39" s="337">
        <f t="shared" si="37"/>
        <v>29.209302325581394</v>
      </c>
      <c r="AM39" s="297" t="s">
        <v>35</v>
      </c>
      <c r="AN39" s="288">
        <f t="shared" si="5"/>
        <v>208</v>
      </c>
      <c r="AO39" s="289">
        <f t="shared" ref="AO39" si="41">AJ39/AN39</f>
        <v>3.0432692307692308</v>
      </c>
      <c r="AQ39" s="286">
        <v>29</v>
      </c>
      <c r="AR39" s="263" t="s">
        <v>321</v>
      </c>
      <c r="AS39" s="377" t="s">
        <v>35</v>
      </c>
      <c r="AT39" s="382" t="s">
        <v>35</v>
      </c>
      <c r="AU39" s="288">
        <f t="shared" si="12"/>
        <v>3203</v>
      </c>
      <c r="AV39" s="288">
        <f t="shared" si="33"/>
        <v>15298</v>
      </c>
      <c r="AW39" s="324">
        <f t="shared" si="34"/>
        <v>19.688545688545688</v>
      </c>
      <c r="AX39" s="418" t="s">
        <v>35</v>
      </c>
      <c r="AY39" s="288">
        <f t="shared" si="21"/>
        <v>861</v>
      </c>
      <c r="AZ39" s="289">
        <f t="shared" ref="AZ39" si="42">AU39/AY39</f>
        <v>3.7200929152148663</v>
      </c>
      <c r="BB39" s="286">
        <v>29</v>
      </c>
      <c r="BC39" s="263" t="s">
        <v>321</v>
      </c>
      <c r="BD39" s="334" t="s">
        <v>35</v>
      </c>
      <c r="BE39" s="382" t="s">
        <v>35</v>
      </c>
      <c r="BF39" s="288">
        <f t="shared" si="14"/>
        <v>633</v>
      </c>
      <c r="BG39" s="288">
        <f>AK39</f>
        <v>8792</v>
      </c>
      <c r="BH39" s="324">
        <f t="shared" si="35"/>
        <v>29.209302325581394</v>
      </c>
      <c r="BI39" s="418" t="s">
        <v>35</v>
      </c>
      <c r="BJ39" s="288">
        <f t="shared" si="7"/>
        <v>208</v>
      </c>
      <c r="BK39" s="289">
        <f t="shared" ref="BK39:BK44" si="43">BF39/BJ39</f>
        <v>3.0432692307692308</v>
      </c>
      <c r="BM39" s="286">
        <v>29</v>
      </c>
      <c r="BN39" s="263" t="s">
        <v>321</v>
      </c>
      <c r="BO39" s="334" t="s">
        <v>35</v>
      </c>
      <c r="BP39" s="382"/>
      <c r="BQ39" s="337">
        <f>AW39</f>
        <v>19.688545688545688</v>
      </c>
      <c r="BR39" s="337"/>
      <c r="BS39" s="340">
        <f t="shared" si="8"/>
        <v>3.7200929152148663</v>
      </c>
      <c r="BT39" s="337">
        <f>BH39</f>
        <v>29.209302325581394</v>
      </c>
      <c r="BU39" s="337"/>
      <c r="BV39" s="340">
        <f t="shared" si="9"/>
        <v>3.0432692307692308</v>
      </c>
    </row>
    <row r="40" spans="2:74" x14ac:dyDescent="0.35">
      <c r="B40" s="286">
        <v>30</v>
      </c>
      <c r="C40" s="263" t="s">
        <v>430</v>
      </c>
      <c r="D40" s="299"/>
      <c r="E40" s="300"/>
      <c r="F40" s="300"/>
      <c r="G40" s="404">
        <f>SUM(G10:G33,G37:G38)</f>
        <v>5.314451006338766</v>
      </c>
      <c r="H40" s="300">
        <f t="shared" ref="H40:J40" si="44">SUM(H10:H33,H37:H38)</f>
        <v>55456.667323925067</v>
      </c>
      <c r="I40" s="300">
        <f t="shared" si="44"/>
        <v>40834.312271273782</v>
      </c>
      <c r="J40" s="300">
        <f t="shared" si="44"/>
        <v>38960.549180979848</v>
      </c>
      <c r="K40" s="300"/>
      <c r="L40" s="299">
        <f>SUM(L10,L18,L19,L25,L31:L33,L37:L38)</f>
        <v>7844</v>
      </c>
      <c r="M40" s="300">
        <f>SUM(M10,M18,M19,M25,M31:M33,M37:M38)</f>
        <v>16931</v>
      </c>
      <c r="N40" s="355">
        <f>M40/M$4</f>
        <v>35.569327731092436</v>
      </c>
      <c r="O40" s="300">
        <f>H40/(N40*30)</f>
        <v>51.970495237903521</v>
      </c>
      <c r="P40" s="300">
        <f>SUM(P10,P18,P19,P25,P31:P33,P37:P38)</f>
        <v>2848</v>
      </c>
      <c r="Q40" s="301">
        <f>L40/P40</f>
        <v>2.7542134831460676</v>
      </c>
      <c r="R40" s="299">
        <f>SUM(R10,R18,R19,R25,R31:R33,R37:R38)</f>
        <v>11382</v>
      </c>
      <c r="S40" s="300">
        <f>SUM(S10,S18,S19,S25,S31:S33,S37:S38)</f>
        <v>33488</v>
      </c>
      <c r="T40" s="355">
        <f>S40/S$4</f>
        <v>44.591211717709719</v>
      </c>
      <c r="U40" s="300">
        <f>I40/(T40*30)</f>
        <v>30.52493282740744</v>
      </c>
      <c r="V40" s="300">
        <f>SUM(V10,V18,V19,V25,V31:V33,V37:V38)</f>
        <v>4222</v>
      </c>
      <c r="W40" s="301">
        <f>R40/V40</f>
        <v>2.6958787304594978</v>
      </c>
      <c r="X40" s="299">
        <f>SUM(X10,X18,X19,X25,X31:X33,X37:X38)</f>
        <v>11778</v>
      </c>
      <c r="Y40" s="300">
        <f>SUM(Y10,Y18,Y19,Y25,Y31:Y33,Y37:Y38)</f>
        <v>35603</v>
      </c>
      <c r="Z40" s="355">
        <f>Y40/Y$4</f>
        <v>45.821106821106824</v>
      </c>
      <c r="AA40" s="300">
        <f>J40/(Z40*30)</f>
        <v>28.342505513225795</v>
      </c>
      <c r="AB40" s="300">
        <f>SUM(AB10,AB18,AB19,AB25,AB31:AB33,AB37:AB38)</f>
        <v>4356</v>
      </c>
      <c r="AC40" s="301">
        <f>X40/AB40</f>
        <v>2.7038567493112948</v>
      </c>
      <c r="AD40" s="299">
        <f>SUM(AD10,AD18,AD19,AD25,AD31:AD33,AD37:AD38)</f>
        <v>3538</v>
      </c>
      <c r="AE40" s="300">
        <f>SUM(AE10,AE18,AE19,AE25,AE31:AE33,AE37:AE38)</f>
        <v>16557</v>
      </c>
      <c r="AF40" s="355">
        <f>AE40/AE$4</f>
        <v>60.207272727272731</v>
      </c>
      <c r="AG40" s="300">
        <f>I40/(AF40*30)</f>
        <v>22.607629954299874</v>
      </c>
      <c r="AH40" s="300">
        <f>SUM(AH10,AH18,AH19,AH25,AH31:AH33,AH37:AH38)</f>
        <v>1374</v>
      </c>
      <c r="AI40" s="301">
        <f>AD40/AH40</f>
        <v>2.5749636098981079</v>
      </c>
      <c r="AJ40" s="299">
        <f>SUM(AJ10,AJ18,AJ19,AJ25,AJ31:AJ33,AJ37:AJ38)</f>
        <v>3934</v>
      </c>
      <c r="AK40" s="300">
        <f>SUM(AK10,AK18,AK19,AK25,AK31:AK33,AK37:AK38)</f>
        <v>18672</v>
      </c>
      <c r="AL40" s="355">
        <f>AK40/AK$4</f>
        <v>62.033222591362126</v>
      </c>
      <c r="AM40" s="300">
        <f>J40/(AL40*30)</f>
        <v>20.935313666586215</v>
      </c>
      <c r="AN40" s="300">
        <f>SUM(AN10,AN18,AN19,AN25,AN31:AN33,AN37:AN38)</f>
        <v>1508</v>
      </c>
      <c r="AO40" s="301">
        <f>AJ40/AN40</f>
        <v>2.6087533156498672</v>
      </c>
      <c r="AQ40" s="286">
        <v>30</v>
      </c>
      <c r="AR40" s="263" t="str">
        <f>$C40</f>
        <v>Total equipment losses (not 26, 29)</v>
      </c>
      <c r="AS40" s="299">
        <f>J40</f>
        <v>38960.549180979848</v>
      </c>
      <c r="AT40" s="405">
        <f>G40</f>
        <v>5.314451006338766</v>
      </c>
      <c r="AU40" s="300">
        <f t="shared" si="12"/>
        <v>11778</v>
      </c>
      <c r="AV40" s="300">
        <f t="shared" si="33"/>
        <v>35603</v>
      </c>
      <c r="AW40" s="355">
        <f>AV40/AV$4</f>
        <v>45.821106821106824</v>
      </c>
      <c r="AX40" s="300">
        <f>AS40/(AW40*30)</f>
        <v>28.342505513225795</v>
      </c>
      <c r="AY40" s="300">
        <f t="shared" si="21"/>
        <v>4356</v>
      </c>
      <c r="AZ40" s="301">
        <f>AU40/AY40</f>
        <v>2.7038567493112948</v>
      </c>
      <c r="BB40" s="286">
        <v>30</v>
      </c>
      <c r="BC40" s="263" t="str">
        <f>$C40</f>
        <v>Total equipment losses (not 26, 29)</v>
      </c>
      <c r="BD40" s="335">
        <f>J40</f>
        <v>38960.549180979848</v>
      </c>
      <c r="BE40" s="405">
        <f>G40</f>
        <v>5.314451006338766</v>
      </c>
      <c r="BF40" s="300">
        <f t="shared" ref="BF40" si="45">AJ40</f>
        <v>3934</v>
      </c>
      <c r="BG40" s="300">
        <f>AK40</f>
        <v>18672</v>
      </c>
      <c r="BH40" s="355">
        <f t="shared" ref="BH40" si="46">BG40/BG$4</f>
        <v>62.033222591362126</v>
      </c>
      <c r="BI40" s="300">
        <f>BD40/(BH40*30)</f>
        <v>20.935313666586215</v>
      </c>
      <c r="BJ40" s="300">
        <f t="shared" ref="BJ40" si="47">AN40</f>
        <v>1508</v>
      </c>
      <c r="BK40" s="409">
        <f t="shared" ref="BK40" si="48">BF40/BJ40</f>
        <v>2.6087533156498672</v>
      </c>
      <c r="BM40" s="286">
        <v>30</v>
      </c>
      <c r="BN40" s="263" t="str">
        <f>$C40</f>
        <v>Total equipment losses (not 26, 29)</v>
      </c>
      <c r="BO40" s="335">
        <f>J40</f>
        <v>38960.549180979848</v>
      </c>
      <c r="BP40" s="405">
        <f>G40</f>
        <v>5.314451006338766</v>
      </c>
      <c r="BQ40" s="352">
        <f>AW40</f>
        <v>45.821106821106824</v>
      </c>
      <c r="BR40" s="300">
        <f>$BO40/(BQ40*30)</f>
        <v>28.342505513225795</v>
      </c>
      <c r="BS40" s="342">
        <f t="shared" si="8"/>
        <v>2.7038567493112948</v>
      </c>
      <c r="BT40" s="352">
        <f>BH40</f>
        <v>62.033222591362126</v>
      </c>
      <c r="BU40" s="300">
        <f>$BO40/(BT40*30)</f>
        <v>20.935313666586215</v>
      </c>
      <c r="BV40" s="342">
        <f t="shared" si="9"/>
        <v>2.6087533156498672</v>
      </c>
    </row>
    <row r="41" spans="2:74" x14ac:dyDescent="0.35">
      <c r="B41" s="286">
        <v>31</v>
      </c>
      <c r="C41" s="290" t="s">
        <v>322</v>
      </c>
      <c r="D41" s="51"/>
      <c r="L41" s="99">
        <v>7059</v>
      </c>
      <c r="N41" s="311"/>
      <c r="O41" s="159"/>
      <c r="P41">
        <v>2383</v>
      </c>
      <c r="Q41" s="295">
        <f t="shared" si="1"/>
        <v>2.9622324800671422</v>
      </c>
      <c r="R41" s="159">
        <v>10463</v>
      </c>
      <c r="T41" s="311"/>
      <c r="U41" s="159"/>
      <c r="V41">
        <v>3707</v>
      </c>
      <c r="W41" s="295">
        <f t="shared" si="10"/>
        <v>2.8224979768006473</v>
      </c>
      <c r="X41" s="159">
        <v>10851</v>
      </c>
      <c r="Z41" s="311"/>
      <c r="AA41" s="159"/>
      <c r="AB41">
        <v>3830</v>
      </c>
      <c r="AC41" s="295">
        <f t="shared" ref="AC41:AC44" si="49">X41/AB41</f>
        <v>2.8331592689295038</v>
      </c>
      <c r="AD41" s="133">
        <f>R41-$L41</f>
        <v>3404</v>
      </c>
      <c r="AE41" s="133"/>
      <c r="AF41" s="133"/>
      <c r="AG41" s="159"/>
      <c r="AH41" s="133">
        <f>V41-$P41</f>
        <v>1324</v>
      </c>
      <c r="AI41" s="295">
        <f t="shared" si="40"/>
        <v>2.5709969788519635</v>
      </c>
      <c r="AJ41" s="133">
        <f>X41-$L41</f>
        <v>3792</v>
      </c>
      <c r="AK41" s="133"/>
      <c r="AL41" s="133"/>
      <c r="AM41" s="159"/>
      <c r="AN41" s="133">
        <f>AB41-$P41</f>
        <v>1447</v>
      </c>
      <c r="AO41" s="295">
        <f t="shared" ref="AO41:AO43" si="50">AJ41/AN41</f>
        <v>2.6205943331029715</v>
      </c>
      <c r="AQ41" s="286">
        <v>31</v>
      </c>
      <c r="AR41" s="290" t="s">
        <v>322</v>
      </c>
      <c r="AS41" s="51"/>
      <c r="AT41" s="123"/>
      <c r="AU41" s="159">
        <f t="shared" si="12"/>
        <v>10851</v>
      </c>
      <c r="AW41" s="311"/>
      <c r="AX41" s="311"/>
      <c r="AY41" s="159">
        <f t="shared" si="21"/>
        <v>3830</v>
      </c>
      <c r="AZ41" s="295">
        <f t="shared" ref="AZ41:AZ44" si="51">AU41/AY41</f>
        <v>2.8331592689295038</v>
      </c>
      <c r="BB41" s="286">
        <v>31</v>
      </c>
      <c r="BC41" s="290" t="s">
        <v>322</v>
      </c>
      <c r="BD41" s="123"/>
      <c r="BE41" s="123"/>
      <c r="BF41" s="159">
        <f>AJ41</f>
        <v>3792</v>
      </c>
      <c r="BG41" s="159"/>
      <c r="BH41" s="311"/>
      <c r="BI41" s="311"/>
      <c r="BJ41" s="159">
        <f t="shared" si="7"/>
        <v>1447</v>
      </c>
      <c r="BK41" s="295">
        <f t="shared" si="43"/>
        <v>2.6205943331029715</v>
      </c>
      <c r="BM41" s="286">
        <v>31</v>
      </c>
      <c r="BN41" s="290" t="s">
        <v>322</v>
      </c>
      <c r="BO41" s="123"/>
      <c r="BP41" s="123"/>
      <c r="BQ41" s="176"/>
      <c r="BR41" s="176"/>
      <c r="BS41" s="385">
        <f t="shared" si="8"/>
        <v>2.8331592689295038</v>
      </c>
      <c r="BT41" s="176"/>
      <c r="BU41" s="176"/>
      <c r="BV41" s="385">
        <f t="shared" si="9"/>
        <v>2.6205943331029715</v>
      </c>
    </row>
    <row r="42" spans="2:74" x14ac:dyDescent="0.35">
      <c r="B42" s="286">
        <v>32</v>
      </c>
      <c r="C42" s="290" t="s">
        <v>323</v>
      </c>
      <c r="D42" s="51"/>
      <c r="L42" s="99">
        <v>372</v>
      </c>
      <c r="N42" s="311"/>
      <c r="O42" s="159"/>
      <c r="P42">
        <v>232</v>
      </c>
      <c r="Q42" s="295">
        <f t="shared" si="1"/>
        <v>1.603448275862069</v>
      </c>
      <c r="R42" s="159">
        <v>677</v>
      </c>
      <c r="T42" s="311"/>
      <c r="U42" s="159"/>
      <c r="V42">
        <v>452</v>
      </c>
      <c r="W42" s="295">
        <f t="shared" si="10"/>
        <v>1.497787610619469</v>
      </c>
      <c r="X42" s="159">
        <v>698</v>
      </c>
      <c r="Z42" s="311"/>
      <c r="AA42" s="159"/>
      <c r="AB42">
        <v>474</v>
      </c>
      <c r="AC42" s="295">
        <f t="shared" si="49"/>
        <v>1.4725738396624473</v>
      </c>
      <c r="AD42" s="133">
        <f>R42-$L42</f>
        <v>305</v>
      </c>
      <c r="AE42" s="133"/>
      <c r="AF42" s="133"/>
      <c r="AG42" s="159"/>
      <c r="AH42" s="133">
        <f>V42-$P42</f>
        <v>220</v>
      </c>
      <c r="AI42" s="295">
        <f t="shared" si="40"/>
        <v>1.3863636363636365</v>
      </c>
      <c r="AJ42" s="133">
        <f>X42-$L42</f>
        <v>326</v>
      </c>
      <c r="AK42" s="133"/>
      <c r="AL42" s="133"/>
      <c r="AM42" s="159"/>
      <c r="AN42" s="133">
        <f>AB42-$P42</f>
        <v>242</v>
      </c>
      <c r="AO42" s="295">
        <f t="shared" si="50"/>
        <v>1.3471074380165289</v>
      </c>
      <c r="AQ42" s="286">
        <v>32</v>
      </c>
      <c r="AR42" s="290" t="s">
        <v>323</v>
      </c>
      <c r="AS42" s="51"/>
      <c r="AT42" s="123"/>
      <c r="AU42" s="159">
        <f t="shared" si="12"/>
        <v>698</v>
      </c>
      <c r="AW42" s="311"/>
      <c r="AX42" s="311"/>
      <c r="AY42" s="159">
        <f t="shared" ref="AY42:AY44" si="52">AB42</f>
        <v>474</v>
      </c>
      <c r="AZ42" s="295">
        <f t="shared" si="51"/>
        <v>1.4725738396624473</v>
      </c>
      <c r="BB42" s="286">
        <v>32</v>
      </c>
      <c r="BC42" s="290" t="s">
        <v>323</v>
      </c>
      <c r="BD42" s="123"/>
      <c r="BE42" s="123"/>
      <c r="BF42" s="159">
        <f>AJ42</f>
        <v>326</v>
      </c>
      <c r="BG42" s="159"/>
      <c r="BH42" s="311"/>
      <c r="BI42" s="311"/>
      <c r="BJ42" s="159">
        <f t="shared" si="7"/>
        <v>242</v>
      </c>
      <c r="BK42" s="295">
        <f t="shared" si="43"/>
        <v>1.3471074380165289</v>
      </c>
      <c r="BM42" s="286">
        <v>32</v>
      </c>
      <c r="BN42" s="290" t="s">
        <v>323</v>
      </c>
      <c r="BO42" s="123"/>
      <c r="BP42" s="123"/>
      <c r="BQ42" s="176"/>
      <c r="BR42" s="176"/>
      <c r="BS42" s="385">
        <f t="shared" si="8"/>
        <v>1.4725738396624473</v>
      </c>
      <c r="BT42" s="176"/>
      <c r="BU42" s="176"/>
      <c r="BV42" s="385">
        <f t="shared" si="9"/>
        <v>1.3471074380165289</v>
      </c>
    </row>
    <row r="43" spans="2:74" x14ac:dyDescent="0.35">
      <c r="B43" s="286">
        <v>33</v>
      </c>
      <c r="C43" s="290" t="s">
        <v>324</v>
      </c>
      <c r="D43" s="51"/>
      <c r="L43" s="99">
        <v>405</v>
      </c>
      <c r="N43" s="311"/>
      <c r="O43" s="159"/>
      <c r="P43">
        <v>126</v>
      </c>
      <c r="Q43" s="295">
        <f t="shared" si="1"/>
        <v>3.2142857142857144</v>
      </c>
      <c r="R43" s="159">
        <v>806</v>
      </c>
      <c r="T43" s="311"/>
      <c r="U43" s="159"/>
      <c r="V43">
        <v>212</v>
      </c>
      <c r="W43" s="295">
        <f t="shared" si="10"/>
        <v>3.8018867924528301</v>
      </c>
      <c r="X43" s="159">
        <v>853</v>
      </c>
      <c r="Z43" s="311"/>
      <c r="AA43" s="159"/>
      <c r="AB43">
        <v>223</v>
      </c>
      <c r="AC43" s="295">
        <f t="shared" si="49"/>
        <v>3.8251121076233185</v>
      </c>
      <c r="AD43" s="133">
        <f>R43-$L43</f>
        <v>401</v>
      </c>
      <c r="AE43" s="133"/>
      <c r="AF43" s="133"/>
      <c r="AG43" s="159"/>
      <c r="AH43" s="133">
        <f>V43-$P43</f>
        <v>86</v>
      </c>
      <c r="AI43" s="295">
        <f t="shared" si="40"/>
        <v>4.6627906976744189</v>
      </c>
      <c r="AJ43" s="133">
        <f>X43-$L43</f>
        <v>448</v>
      </c>
      <c r="AK43" s="133"/>
      <c r="AL43" s="133"/>
      <c r="AM43" s="159"/>
      <c r="AN43" s="133">
        <f>AB43-$P43</f>
        <v>97</v>
      </c>
      <c r="AO43" s="295">
        <f t="shared" si="50"/>
        <v>4.6185567010309274</v>
      </c>
      <c r="AQ43" s="286">
        <v>33</v>
      </c>
      <c r="AR43" s="290" t="s">
        <v>324</v>
      </c>
      <c r="AS43" s="51"/>
      <c r="AT43" s="123"/>
      <c r="AU43" s="159">
        <f t="shared" si="12"/>
        <v>853</v>
      </c>
      <c r="AW43" s="311"/>
      <c r="AX43" s="311"/>
      <c r="AY43" s="159">
        <f t="shared" si="52"/>
        <v>223</v>
      </c>
      <c r="AZ43" s="295">
        <f t="shared" si="51"/>
        <v>3.8251121076233185</v>
      </c>
      <c r="BB43" s="286">
        <v>33</v>
      </c>
      <c r="BC43" s="290" t="s">
        <v>324</v>
      </c>
      <c r="BD43" s="123"/>
      <c r="BE43" s="123"/>
      <c r="BF43" s="159">
        <f>AJ43</f>
        <v>448</v>
      </c>
      <c r="BG43" s="159"/>
      <c r="BH43" s="311"/>
      <c r="BI43" s="311"/>
      <c r="BJ43" s="159">
        <f t="shared" si="7"/>
        <v>97</v>
      </c>
      <c r="BK43" s="295">
        <f t="shared" si="43"/>
        <v>4.6185567010309274</v>
      </c>
      <c r="BM43" s="286">
        <v>33</v>
      </c>
      <c r="BN43" s="290" t="s">
        <v>324</v>
      </c>
      <c r="BO43" s="123"/>
      <c r="BP43" s="123"/>
      <c r="BQ43" s="176"/>
      <c r="BR43" s="176"/>
      <c r="BS43" s="385">
        <f t="shared" si="8"/>
        <v>3.8251121076233185</v>
      </c>
      <c r="BT43" s="176"/>
      <c r="BU43" s="176"/>
      <c r="BV43" s="385">
        <f t="shared" si="9"/>
        <v>4.6185567010309274</v>
      </c>
    </row>
    <row r="44" spans="2:74" x14ac:dyDescent="0.35">
      <c r="B44" s="286">
        <v>34</v>
      </c>
      <c r="C44" s="290" t="s">
        <v>292</v>
      </c>
      <c r="D44" s="51"/>
      <c r="L44" s="99">
        <v>2822</v>
      </c>
      <c r="N44" s="311"/>
      <c r="O44" s="159"/>
      <c r="P44">
        <v>906</v>
      </c>
      <c r="Q44" s="295">
        <f t="shared" si="1"/>
        <v>3.1147902869757176</v>
      </c>
      <c r="R44" s="159">
        <v>2938</v>
      </c>
      <c r="T44" s="311"/>
      <c r="U44" s="159"/>
      <c r="V44">
        <v>992</v>
      </c>
      <c r="W44" s="295">
        <f t="shared" si="10"/>
        <v>2.961693548387097</v>
      </c>
      <c r="X44" s="159">
        <v>2934</v>
      </c>
      <c r="Z44" s="311"/>
      <c r="AA44" s="159"/>
      <c r="AB44">
        <v>1007</v>
      </c>
      <c r="AC44" s="295">
        <f t="shared" si="49"/>
        <v>2.9136047666335649</v>
      </c>
      <c r="AD44" s="133">
        <f>R44-$L44</f>
        <v>116</v>
      </c>
      <c r="AE44" s="133"/>
      <c r="AF44" s="133"/>
      <c r="AG44" s="159"/>
      <c r="AH44" s="133">
        <f>V44-$P44</f>
        <v>86</v>
      </c>
      <c r="AI44" s="295">
        <f>AD44/AH44</f>
        <v>1.3488372093023255</v>
      </c>
      <c r="AJ44" s="133">
        <f>X44-$L44</f>
        <v>112</v>
      </c>
      <c r="AK44" s="133"/>
      <c r="AL44" s="133"/>
      <c r="AM44" s="159"/>
      <c r="AN44" s="133">
        <f>AB44-$P44</f>
        <v>101</v>
      </c>
      <c r="AO44" s="295">
        <f>AJ44/AN44</f>
        <v>1.108910891089109</v>
      </c>
      <c r="AQ44" s="286">
        <v>34</v>
      </c>
      <c r="AR44" s="290" t="s">
        <v>292</v>
      </c>
      <c r="AS44" s="51"/>
      <c r="AT44" s="123"/>
      <c r="AU44" s="159">
        <f t="shared" si="12"/>
        <v>2934</v>
      </c>
      <c r="AW44" s="311"/>
      <c r="AX44" s="311"/>
      <c r="AY44" s="159">
        <f t="shared" si="52"/>
        <v>1007</v>
      </c>
      <c r="AZ44" s="295">
        <f t="shared" si="51"/>
        <v>2.9136047666335649</v>
      </c>
      <c r="BB44" s="286">
        <v>34</v>
      </c>
      <c r="BC44" s="290" t="s">
        <v>292</v>
      </c>
      <c r="BD44" s="123"/>
      <c r="BE44" s="123"/>
      <c r="BF44" s="159">
        <f>AJ44</f>
        <v>112</v>
      </c>
      <c r="BG44" s="159"/>
      <c r="BH44" s="311"/>
      <c r="BI44" s="311"/>
      <c r="BJ44" s="159">
        <f t="shared" si="7"/>
        <v>101</v>
      </c>
      <c r="BK44" s="295">
        <f t="shared" si="43"/>
        <v>1.108910891089109</v>
      </c>
      <c r="BM44" s="286">
        <v>34</v>
      </c>
      <c r="BN44" s="290" t="s">
        <v>292</v>
      </c>
      <c r="BO44" s="123"/>
      <c r="BP44" s="123"/>
      <c r="BQ44" s="176"/>
      <c r="BR44" s="176"/>
      <c r="BS44" s="385">
        <f t="shared" si="8"/>
        <v>2.9136047666335649</v>
      </c>
      <c r="BT44" s="176"/>
      <c r="BU44" s="176"/>
      <c r="BV44" s="385">
        <f t="shared" si="9"/>
        <v>1.108910891089109</v>
      </c>
    </row>
    <row r="45" spans="2:74" x14ac:dyDescent="0.35">
      <c r="B45" s="286">
        <v>35</v>
      </c>
      <c r="C45" s="263" t="s">
        <v>367</v>
      </c>
      <c r="D45" s="302"/>
      <c r="E45" s="303"/>
      <c r="F45" s="303"/>
      <c r="G45" s="411">
        <f>(30000*12)/365</f>
        <v>986.30136986301375</v>
      </c>
      <c r="H45" s="304">
        <f>J45</f>
        <v>24582000</v>
      </c>
      <c r="I45" s="304">
        <f>J45</f>
        <v>24582000</v>
      </c>
      <c r="J45" s="304">
        <f>PopGDP!D10*1000000*0.17</f>
        <v>24582000</v>
      </c>
      <c r="K45" s="303"/>
      <c r="L45" s="302"/>
      <c r="M45" s="304">
        <v>217910</v>
      </c>
      <c r="N45" s="355">
        <f t="shared" ref="N45:N46" si="53">M45/M$4</f>
        <v>457.79411764705884</v>
      </c>
      <c r="O45" s="300">
        <f>H45/(N45*30)</f>
        <v>1789.8875682621265</v>
      </c>
      <c r="P45" s="304">
        <f>M45/Q40</f>
        <v>79118.776134625179</v>
      </c>
      <c r="Q45" s="301">
        <f>M45/P45</f>
        <v>2.7542134831460676</v>
      </c>
      <c r="R45" s="303"/>
      <c r="S45" s="304">
        <v>429580</v>
      </c>
      <c r="T45" s="355">
        <f t="shared" ref="T45:T46" si="54">S45/S$4</f>
        <v>572.01065246338214</v>
      </c>
      <c r="U45" s="300">
        <f>I45/(T45*30)</f>
        <v>1432.4908049722987</v>
      </c>
      <c r="V45" s="304">
        <f>S45/W40</f>
        <v>159346.93024073099</v>
      </c>
      <c r="W45" s="301">
        <f>S45/V45</f>
        <v>2.6958787304594978</v>
      </c>
      <c r="X45" s="303"/>
      <c r="Y45" s="304">
        <v>450890</v>
      </c>
      <c r="Z45" s="355">
        <f>Y45/Y$4</f>
        <v>580.29601029601031</v>
      </c>
      <c r="AA45" s="300">
        <f>J45/(Z45*30)</f>
        <v>1412.0379693495086</v>
      </c>
      <c r="AB45" s="304">
        <f>Y45/AC40</f>
        <v>166758.09475292917</v>
      </c>
      <c r="AC45" s="301">
        <f>Y45/AB45</f>
        <v>2.7038567493112948</v>
      </c>
      <c r="AD45" s="303"/>
      <c r="AE45" s="300">
        <f>S45-$M45</f>
        <v>211670</v>
      </c>
      <c r="AF45" s="352">
        <f t="shared" ref="AF45:AF46" si="55">AE45/AE$4</f>
        <v>769.70909090909095</v>
      </c>
      <c r="AG45" s="300">
        <f>I45/(AF45*30)</f>
        <v>1064.5580384560874</v>
      </c>
      <c r="AH45" s="304">
        <f>AE45/AI40</f>
        <v>82203.103448275855</v>
      </c>
      <c r="AI45" s="301">
        <f>AE45/AH45</f>
        <v>2.5749636098981079</v>
      </c>
      <c r="AJ45" s="303"/>
      <c r="AK45" s="300">
        <f>Y45-$M45</f>
        <v>232980</v>
      </c>
      <c r="AL45" s="352">
        <f t="shared" ref="AL45:AL46" si="56">AK45/AK$4</f>
        <v>774.01993355481727</v>
      </c>
      <c r="AM45" s="300">
        <f>J45/(AL45*30)</f>
        <v>1058.6290668726929</v>
      </c>
      <c r="AN45" s="304">
        <f>AK45/AO40</f>
        <v>89307.025927808849</v>
      </c>
      <c r="AO45" s="301">
        <f>AK45/AN45</f>
        <v>2.6087533156498672</v>
      </c>
      <c r="AQ45" s="286">
        <v>35</v>
      </c>
      <c r="AR45" s="263" t="str">
        <f>$C45</f>
        <v>Killed personnel unconfirmed</v>
      </c>
      <c r="AS45" s="414">
        <f>J45</f>
        <v>24582000</v>
      </c>
      <c r="AT45" s="412">
        <f>G45</f>
        <v>986.30136986301375</v>
      </c>
      <c r="AU45" s="303"/>
      <c r="AV45" s="300">
        <f t="shared" ref="AV45" si="57">Y45</f>
        <v>450890</v>
      </c>
      <c r="AW45" s="355">
        <f>AV45/AV$4</f>
        <v>580.29601029601031</v>
      </c>
      <c r="AX45" s="300">
        <f>AS45/(AW45*30)</f>
        <v>1412.0379693495086</v>
      </c>
      <c r="AY45" s="304">
        <f>AV45/AZ40</f>
        <v>166758.09475292917</v>
      </c>
      <c r="AZ45" s="301">
        <f>AV45/AY45</f>
        <v>2.7038567493112948</v>
      </c>
      <c r="BB45" s="286">
        <v>35</v>
      </c>
      <c r="BC45" s="263" t="str">
        <f>$C45</f>
        <v>Killed personnel unconfirmed</v>
      </c>
      <c r="BD45" s="412">
        <f>J45</f>
        <v>24582000</v>
      </c>
      <c r="BE45" s="415">
        <f>G45</f>
        <v>986.30136986301375</v>
      </c>
      <c r="BF45" s="303"/>
      <c r="BG45" s="300">
        <f>AK45</f>
        <v>232980</v>
      </c>
      <c r="BH45" s="355">
        <f>BG45/BG$4</f>
        <v>774.01993355481727</v>
      </c>
      <c r="BI45" s="300">
        <f>BD45/(BH45*30)</f>
        <v>1058.6290668726929</v>
      </c>
      <c r="BJ45" s="304">
        <f>BG45/BK40</f>
        <v>89307.025927808849</v>
      </c>
      <c r="BK45" s="301">
        <f>BG45/BJ45</f>
        <v>2.6087533156498672</v>
      </c>
      <c r="BM45" s="286">
        <v>35</v>
      </c>
      <c r="BN45" s="263" t="str">
        <f>$C45</f>
        <v>Killed personnel unconfirmed</v>
      </c>
      <c r="BO45" s="412">
        <f>J45</f>
        <v>24582000</v>
      </c>
      <c r="BP45" s="415">
        <f>G45</f>
        <v>986.30136986301375</v>
      </c>
      <c r="BQ45" s="352">
        <f>AW45</f>
        <v>580.29601029601031</v>
      </c>
      <c r="BR45" s="300">
        <f>$BO45/(BQ45*30)</f>
        <v>1412.0379693495086</v>
      </c>
      <c r="BS45" s="342">
        <f t="shared" si="8"/>
        <v>2.7038567493112948</v>
      </c>
      <c r="BT45" s="352">
        <f>BH45</f>
        <v>774.01993355481727</v>
      </c>
      <c r="BU45" s="300">
        <f>$BO45/(BT45*30)</f>
        <v>1058.6290668726929</v>
      </c>
      <c r="BV45" s="342">
        <f t="shared" si="9"/>
        <v>2.6087533156498672</v>
      </c>
    </row>
    <row r="46" spans="2:74" ht="15" thickBot="1" x14ac:dyDescent="0.4">
      <c r="B46" s="286">
        <v>36</v>
      </c>
      <c r="C46" s="276" t="s">
        <v>325</v>
      </c>
      <c r="D46" s="305"/>
      <c r="E46" s="306"/>
      <c r="F46" s="306"/>
      <c r="G46" s="306"/>
      <c r="H46" s="306"/>
      <c r="I46" s="306"/>
      <c r="J46" s="306"/>
      <c r="K46" s="306"/>
      <c r="L46" s="305"/>
      <c r="M46" s="307">
        <f>M45*3</f>
        <v>653730</v>
      </c>
      <c r="N46" s="356">
        <f t="shared" si="53"/>
        <v>1373.3823529411766</v>
      </c>
      <c r="O46" s="309"/>
      <c r="P46" s="307">
        <f>P45*3</f>
        <v>237356.32840387552</v>
      </c>
      <c r="Q46" s="308">
        <f>M46/P46</f>
        <v>2.7542134831460681</v>
      </c>
      <c r="R46" s="306"/>
      <c r="S46" s="307">
        <f>S45*3</f>
        <v>1288740</v>
      </c>
      <c r="T46" s="356">
        <f t="shared" si="54"/>
        <v>1716.0319573901465</v>
      </c>
      <c r="U46" s="309"/>
      <c r="V46" s="307">
        <f>V45*3</f>
        <v>478040.79072219296</v>
      </c>
      <c r="W46" s="308">
        <f>S46/V46</f>
        <v>2.6958787304594978</v>
      </c>
      <c r="X46" s="306"/>
      <c r="Y46" s="307">
        <f>Y45*3</f>
        <v>1352670</v>
      </c>
      <c r="Z46" s="356">
        <f t="shared" ref="Z46" si="58">Y46/Y$4</f>
        <v>1740.8880308880309</v>
      </c>
      <c r="AA46" s="356"/>
      <c r="AB46" s="307">
        <f>AB45*3</f>
        <v>500274.28425878752</v>
      </c>
      <c r="AC46" s="308">
        <f>Y46/AB46</f>
        <v>2.7038567493112948</v>
      </c>
      <c r="AD46" s="306"/>
      <c r="AE46" s="307">
        <f>AE45*3</f>
        <v>635010</v>
      </c>
      <c r="AF46" s="353">
        <f t="shared" si="55"/>
        <v>2309.1272727272726</v>
      </c>
      <c r="AG46" s="353"/>
      <c r="AH46" s="309">
        <f>AH45*3</f>
        <v>246609.31034482757</v>
      </c>
      <c r="AI46" s="308">
        <f>AE46/AH46</f>
        <v>2.5749636098981079</v>
      </c>
      <c r="AJ46" s="306"/>
      <c r="AK46" s="307">
        <f>AK45*3</f>
        <v>698940</v>
      </c>
      <c r="AL46" s="353">
        <f t="shared" si="56"/>
        <v>2322.0598006644518</v>
      </c>
      <c r="AM46" s="353"/>
      <c r="AN46" s="309">
        <f>AN45*3</f>
        <v>267921.07778342656</v>
      </c>
      <c r="AO46" s="308">
        <f>AK46/AN46</f>
        <v>2.6087533156498672</v>
      </c>
      <c r="AQ46" s="286">
        <v>36</v>
      </c>
      <c r="AR46" s="276" t="s">
        <v>325</v>
      </c>
      <c r="AS46" s="413"/>
      <c r="AT46" s="336"/>
      <c r="AU46" s="306"/>
      <c r="AV46" s="307">
        <f>AV45*3</f>
        <v>1352670</v>
      </c>
      <c r="AW46" s="356">
        <f t="shared" ref="AW46" si="59">AV46/AV$4</f>
        <v>1740.8880308880309</v>
      </c>
      <c r="AX46" s="356"/>
      <c r="AY46" s="307">
        <f>AY45*3</f>
        <v>500274.28425878752</v>
      </c>
      <c r="AZ46" s="308">
        <f>AV46/AY46</f>
        <v>2.7038567493112948</v>
      </c>
      <c r="BB46" s="286">
        <v>36</v>
      </c>
      <c r="BC46" s="276" t="s">
        <v>325</v>
      </c>
      <c r="BD46" s="336"/>
      <c r="BE46" s="336"/>
      <c r="BF46" s="306"/>
      <c r="BG46" s="307">
        <f>BG45*3</f>
        <v>698940</v>
      </c>
      <c r="BH46" s="356">
        <f t="shared" ref="BH46" si="60">BG46/BG$4</f>
        <v>2322.0598006644518</v>
      </c>
      <c r="BI46" s="356"/>
      <c r="BJ46" s="309">
        <f>BJ45*3</f>
        <v>267921.07778342656</v>
      </c>
      <c r="BK46" s="308">
        <f>BG46/BJ46</f>
        <v>2.6087533156498672</v>
      </c>
      <c r="BM46" s="286">
        <v>36</v>
      </c>
      <c r="BN46" s="276" t="s">
        <v>325</v>
      </c>
      <c r="BO46" s="336"/>
      <c r="BP46" s="403"/>
      <c r="BQ46" s="353">
        <f>AW46</f>
        <v>1740.8880308880309</v>
      </c>
      <c r="BR46" s="353"/>
      <c r="BS46" s="343">
        <f t="shared" si="8"/>
        <v>2.7038567493112948</v>
      </c>
      <c r="BT46" s="353">
        <f>BH46</f>
        <v>2322.0598006644518</v>
      </c>
      <c r="BU46" s="353"/>
      <c r="BV46" s="343">
        <f t="shared" si="9"/>
        <v>2.6087533156498672</v>
      </c>
    </row>
    <row r="47" spans="2:74" ht="15" thickTop="1" x14ac:dyDescent="0.35">
      <c r="B47" s="6" t="s">
        <v>326</v>
      </c>
      <c r="C47" s="310"/>
      <c r="D47" s="310"/>
      <c r="E47" s="310"/>
      <c r="F47" s="310"/>
      <c r="G47" s="310"/>
      <c r="H47" s="310"/>
      <c r="I47" s="310"/>
      <c r="J47" s="310"/>
      <c r="K47" s="310"/>
      <c r="AQ47" s="327" t="s">
        <v>326</v>
      </c>
      <c r="AR47" s="310"/>
      <c r="AS47" s="310"/>
      <c r="AT47" s="310"/>
      <c r="AU47" s="310"/>
      <c r="AV47" s="310"/>
      <c r="AW47" s="310"/>
      <c r="AX47" s="310"/>
      <c r="AY47" s="310"/>
      <c r="AZ47" s="310"/>
      <c r="BB47" s="327" t="s">
        <v>326</v>
      </c>
      <c r="BC47" s="310"/>
      <c r="BD47" s="310"/>
      <c r="BE47" s="310"/>
      <c r="BF47" s="310"/>
      <c r="BG47" s="310"/>
      <c r="BH47" s="310"/>
      <c r="BI47" s="310"/>
      <c r="BJ47" s="310"/>
      <c r="BK47" s="310"/>
      <c r="BM47" s="327" t="s">
        <v>326</v>
      </c>
      <c r="BN47" s="310"/>
      <c r="BO47" s="310"/>
      <c r="BP47" s="310"/>
      <c r="BQ47" s="310"/>
      <c r="BR47" s="310"/>
      <c r="BS47" s="310"/>
      <c r="BT47" s="310"/>
      <c r="BU47" s="310"/>
      <c r="BV47" s="310"/>
    </row>
    <row r="49" spans="2:66" x14ac:dyDescent="0.35">
      <c r="C49" t="s">
        <v>327</v>
      </c>
      <c r="K49" s="159"/>
      <c r="L49" s="159">
        <f>SUM(L41:L44)-L36</f>
        <v>10412</v>
      </c>
      <c r="P49" s="159">
        <f>SUM(P41:P44)-P36</f>
        <v>3503</v>
      </c>
      <c r="Q49" s="311">
        <f>L49/P49</f>
        <v>2.972309449043677</v>
      </c>
      <c r="R49" s="159">
        <f>SUM(R41:R44)-R36</f>
        <v>14533</v>
      </c>
      <c r="V49" s="159">
        <f>SUM(V41:V44)-V36</f>
        <v>5065</v>
      </c>
      <c r="W49" s="311">
        <f>R49/V49</f>
        <v>2.8692991115498518</v>
      </c>
      <c r="X49" s="159">
        <f>SUM(X41:X44)-X36</f>
        <v>14980</v>
      </c>
      <c r="AB49" s="159">
        <f>SUM(AB41:AB44)-AB36</f>
        <v>5217</v>
      </c>
      <c r="AC49" s="311">
        <f>X49/AB49</f>
        <v>2.8713820203181903</v>
      </c>
      <c r="AD49" s="159">
        <f>SUM(AD41:AD44)-AD36</f>
        <v>4121</v>
      </c>
      <c r="AH49" s="159">
        <f>SUM(AH41:AH44)-AH36</f>
        <v>1562</v>
      </c>
      <c r="AI49" s="311">
        <f>AD49/AH49</f>
        <v>2.6382842509603073</v>
      </c>
      <c r="AJ49" s="159">
        <f>SUM(AJ41:AJ44)-AJ36</f>
        <v>4568</v>
      </c>
      <c r="AN49" s="159">
        <f>SUM(AN41:AN44)-AN36</f>
        <v>1714</v>
      </c>
      <c r="AO49" s="311">
        <f>AJ49/AN49</f>
        <v>2.6651108518086346</v>
      </c>
      <c r="AR49" t="s">
        <v>327</v>
      </c>
      <c r="BC49" t="s">
        <v>327</v>
      </c>
      <c r="BN49" t="s">
        <v>327</v>
      </c>
    </row>
    <row r="50" spans="2:66" x14ac:dyDescent="0.35">
      <c r="C50" t="s">
        <v>328</v>
      </c>
      <c r="F50">
        <f>DATEDIF($D$9,H$9,"M")</f>
        <v>15</v>
      </c>
      <c r="H50">
        <f>DATEDIF($D$9,I$9,"M")</f>
        <v>24</v>
      </c>
      <c r="L50" t="s">
        <v>329</v>
      </c>
      <c r="P50" t="s">
        <v>329</v>
      </c>
      <c r="R50" t="s">
        <v>329</v>
      </c>
      <c r="V50" t="s">
        <v>329</v>
      </c>
      <c r="X50" t="s">
        <v>329</v>
      </c>
      <c r="AB50" t="s">
        <v>329</v>
      </c>
      <c r="AD50" t="s">
        <v>329</v>
      </c>
      <c r="AH50" t="s">
        <v>329</v>
      </c>
      <c r="AJ50" t="s">
        <v>329</v>
      </c>
      <c r="AN50" t="s">
        <v>329</v>
      </c>
      <c r="AR50" t="s">
        <v>328</v>
      </c>
      <c r="BC50" t="s">
        <v>328</v>
      </c>
      <c r="BN50" t="s">
        <v>328</v>
      </c>
    </row>
    <row r="51" spans="2:66" x14ac:dyDescent="0.35">
      <c r="R51" s="96">
        <f>(R49-$L49)/$L49</f>
        <v>0.39579331540530155</v>
      </c>
      <c r="V51" s="96">
        <f>(V49-P49)/P49</f>
        <v>0.4459035112760491</v>
      </c>
      <c r="X51" s="96">
        <f>(X49-$L49)/$L49</f>
        <v>0.43872454859777182</v>
      </c>
      <c r="AB51" s="96">
        <f>(AB49-V49)/V49</f>
        <v>3.0009871668311944E-2</v>
      </c>
    </row>
    <row r="52" spans="2:66" x14ac:dyDescent="0.35">
      <c r="R52" s="159">
        <f>R49-L49</f>
        <v>4121</v>
      </c>
      <c r="V52" s="159">
        <f>V49-P49</f>
        <v>1562</v>
      </c>
      <c r="W52">
        <f>R52/V52</f>
        <v>2.6382842509603073</v>
      </c>
      <c r="X52" s="159">
        <f>X49-R49</f>
        <v>447</v>
      </c>
      <c r="AB52" s="159">
        <f>AB49-V49</f>
        <v>152</v>
      </c>
      <c r="AC52">
        <f>X52/AB52</f>
        <v>2.9407894736842106</v>
      </c>
    </row>
    <row r="54" spans="2:66" ht="19" thickBot="1" x14ac:dyDescent="0.5">
      <c r="B54" s="312" t="s">
        <v>432</v>
      </c>
      <c r="AQ54" s="312"/>
      <c r="BB54" s="312"/>
      <c r="BM54" s="312"/>
    </row>
    <row r="55" spans="2:66" ht="15.5" thickTop="1" thickBot="1" x14ac:dyDescent="0.4">
      <c r="B55" s="5"/>
      <c r="C55" s="19"/>
      <c r="D55" s="19"/>
      <c r="E55" s="19"/>
      <c r="F55" s="19"/>
      <c r="G55" s="19"/>
      <c r="H55" s="19"/>
      <c r="I55" s="19"/>
      <c r="J55" s="19"/>
      <c r="K55" s="19"/>
      <c r="L55" s="6" t="str">
        <f>L6</f>
        <v>Losses from Feb. 24, 2022 to Jun. 15, 2023</v>
      </c>
      <c r="M55" s="19"/>
      <c r="N55" s="19"/>
      <c r="O55" s="19"/>
      <c r="P55" s="19"/>
      <c r="Q55" s="19"/>
      <c r="R55" s="313" t="str">
        <f>R6</f>
        <v>Losses from Feb. 24, 2022 to Mar. 16, 2024</v>
      </c>
      <c r="S55" s="19"/>
      <c r="T55" s="19"/>
      <c r="U55" s="19"/>
      <c r="V55" s="19"/>
      <c r="W55" s="19"/>
      <c r="X55" s="313" t="str">
        <f>X6</f>
        <v>Losses from Feb. 24, 2022 to Apr. 11, 2024</v>
      </c>
      <c r="Y55" s="19"/>
      <c r="Z55" s="19"/>
      <c r="AA55" s="19"/>
      <c r="AB55" s="19"/>
      <c r="AC55" s="19"/>
      <c r="AD55" s="250" t="s">
        <v>278</v>
      </c>
      <c r="AE55" s="251"/>
      <c r="AF55" s="251"/>
      <c r="AG55" s="251"/>
      <c r="AH55" s="251"/>
      <c r="AI55" s="252"/>
      <c r="AJ55" s="250" t="s">
        <v>278</v>
      </c>
      <c r="AK55" s="251"/>
      <c r="AL55" s="251"/>
      <c r="AM55" s="251"/>
      <c r="AN55" s="251"/>
      <c r="AO55" s="252"/>
    </row>
    <row r="56" spans="2:66" ht="15" thickTop="1" x14ac:dyDescent="0.35">
      <c r="B56" s="314" t="s">
        <v>274</v>
      </c>
      <c r="C56" s="254" t="s">
        <v>275</v>
      </c>
      <c r="D56" s="315" t="str">
        <f t="shared" ref="D56:W58" si="61">D7</f>
        <v>Russian active</v>
      </c>
      <c r="E56" s="254" t="str">
        <f t="shared" si="61"/>
        <v>Russian active &amp;</v>
      </c>
      <c r="F56" s="254" t="str">
        <f t="shared" ref="F56:I56" si="62">F7</f>
        <v>Russian new</v>
      </c>
      <c r="G56" s="254" t="str">
        <f t="shared" ref="G56" si="63">G7</f>
        <v>Russian new</v>
      </c>
      <c r="H56" s="254" t="str">
        <f t="shared" si="62"/>
        <v>Russian active &amp;</v>
      </c>
      <c r="I56" s="254" t="str">
        <f t="shared" si="62"/>
        <v>Russian active &amp;</v>
      </c>
      <c r="J56" s="254" t="str">
        <f t="shared" ref="J56" si="64">J7</f>
        <v>Russian active &amp;</v>
      </c>
      <c r="K56" s="254" t="str">
        <f t="shared" si="61"/>
        <v>Ukraine active &amp;</v>
      </c>
      <c r="L56" s="254" t="str">
        <f t="shared" si="61"/>
        <v>Russian</v>
      </c>
      <c r="M56" s="254" t="str">
        <f t="shared" si="61"/>
        <v>Russian</v>
      </c>
      <c r="N56" s="254" t="str">
        <f t="shared" ref="N56:O56" si="65">N7</f>
        <v>Russian avg.</v>
      </c>
      <c r="O56" s="254" t="str">
        <f t="shared" si="65"/>
        <v>Months left</v>
      </c>
      <c r="P56" s="254" t="str">
        <f t="shared" si="61"/>
        <v>Ukraine</v>
      </c>
      <c r="Q56" s="255" t="str">
        <f t="shared" si="61"/>
        <v>Kill ratios</v>
      </c>
      <c r="R56" s="254" t="str">
        <f t="shared" si="61"/>
        <v>Russian</v>
      </c>
      <c r="S56" s="254" t="str">
        <f t="shared" si="61"/>
        <v>Russian</v>
      </c>
      <c r="T56" s="254" t="str">
        <f t="shared" ref="T56:U56" si="66">T7</f>
        <v>Russian avg.</v>
      </c>
      <c r="U56" s="254" t="str">
        <f t="shared" si="66"/>
        <v>Months left</v>
      </c>
      <c r="V56" s="254" t="str">
        <f t="shared" si="61"/>
        <v>Ukraine</v>
      </c>
      <c r="W56" s="255" t="str">
        <f t="shared" si="61"/>
        <v>Kill ratios</v>
      </c>
      <c r="X56" s="254" t="str">
        <f t="shared" ref="X56:Y56" si="67">X7</f>
        <v>Russian</v>
      </c>
      <c r="Y56" s="254" t="str">
        <f t="shared" si="67"/>
        <v>Russian</v>
      </c>
      <c r="Z56" s="254" t="str">
        <f t="shared" ref="Z56:AA56" si="68">Z7</f>
        <v>Russian avg.</v>
      </c>
      <c r="AA56" s="254" t="str">
        <f t="shared" si="68"/>
        <v>Months left</v>
      </c>
      <c r="AB56" s="254" t="str">
        <f t="shared" ref="AB56:AC56" si="69">AB7</f>
        <v>Ukraine</v>
      </c>
      <c r="AC56" s="255" t="str">
        <f t="shared" si="69"/>
        <v>Kill ratios</v>
      </c>
      <c r="AD56" s="259" t="str">
        <f>$L56</f>
        <v>Russian</v>
      </c>
      <c r="AE56" s="260" t="str">
        <f>$M56</f>
        <v>Russian</v>
      </c>
      <c r="AF56" s="260" t="str">
        <f>$N56</f>
        <v>Russian avg.</v>
      </c>
      <c r="AG56" s="260"/>
      <c r="AH56" s="260" t="str">
        <f>$P56</f>
        <v>Ukraine</v>
      </c>
      <c r="AI56" s="261" t="str">
        <f>$Q56</f>
        <v>Kill ratios</v>
      </c>
      <c r="AJ56" s="259" t="str">
        <f>$L56</f>
        <v>Russian</v>
      </c>
      <c r="AK56" s="260" t="str">
        <f>$M56</f>
        <v>Russian</v>
      </c>
      <c r="AL56" s="260" t="str">
        <f>$N56</f>
        <v>Russian avg.</v>
      </c>
      <c r="AM56" s="260"/>
      <c r="AN56" s="260" t="str">
        <f>$P56</f>
        <v>Ukraine</v>
      </c>
      <c r="AO56" s="261" t="str">
        <f>$Q56</f>
        <v>Kill ratios</v>
      </c>
      <c r="AQ56" s="329"/>
      <c r="AR56" s="3"/>
      <c r="BB56" s="329"/>
      <c r="BC56" s="3"/>
      <c r="BM56" s="329"/>
      <c r="BN56" s="3"/>
    </row>
    <row r="57" spans="2:66" x14ac:dyDescent="0.35">
      <c r="B57" s="316"/>
      <c r="C57" s="267"/>
      <c r="D57" s="317" t="str">
        <f t="shared" si="61"/>
        <v xml:space="preserve">stock on </v>
      </c>
      <c r="E57" s="267" t="str">
        <f t="shared" si="61"/>
        <v xml:space="preserve">passive stock on </v>
      </c>
      <c r="F57" s="267" t="str">
        <f t="shared" ref="F57:I57" si="70">F8</f>
        <v>production</v>
      </c>
      <c r="G57" s="267" t="str">
        <f t="shared" ref="G57" si="71">G8</f>
        <v>production</v>
      </c>
      <c r="H57" s="267" t="str">
        <f t="shared" si="70"/>
        <v xml:space="preserve">passive stock on </v>
      </c>
      <c r="I57" s="267" t="str">
        <f t="shared" si="70"/>
        <v xml:space="preserve">passive stock on </v>
      </c>
      <c r="J57" s="267" t="str">
        <f t="shared" ref="J57" si="72">J8</f>
        <v xml:space="preserve">passive stock on </v>
      </c>
      <c r="K57" s="267" t="str">
        <f t="shared" si="61"/>
        <v xml:space="preserve">passive stock on </v>
      </c>
      <c r="L57" s="267" t="str">
        <f t="shared" si="61"/>
        <v xml:space="preserve">losses </v>
      </c>
      <c r="M57" s="267" t="str">
        <f t="shared" si="61"/>
        <v>losses</v>
      </c>
      <c r="N57" s="267" t="str">
        <f t="shared" ref="N57:O57" si="73">N8</f>
        <v>losses unco.</v>
      </c>
      <c r="O57" s="267" t="str">
        <f t="shared" si="73"/>
        <v xml:space="preserve">to depletion </v>
      </c>
      <c r="P57" s="267" t="str">
        <f t="shared" si="61"/>
        <v xml:space="preserve">losses </v>
      </c>
      <c r="Q57" s="268" t="str">
        <f t="shared" si="61"/>
        <v>RUS/UKR</v>
      </c>
      <c r="R57" s="267" t="str">
        <f t="shared" si="61"/>
        <v xml:space="preserve">losses </v>
      </c>
      <c r="S57" s="267" t="str">
        <f t="shared" si="61"/>
        <v>losses</v>
      </c>
      <c r="T57" s="267" t="str">
        <f t="shared" ref="T57:U57" si="74">T8</f>
        <v>losses unco.</v>
      </c>
      <c r="U57" s="267" t="str">
        <f t="shared" si="74"/>
        <v xml:space="preserve">to depletion </v>
      </c>
      <c r="V57" s="267" t="str">
        <f t="shared" si="61"/>
        <v xml:space="preserve">losses </v>
      </c>
      <c r="W57" s="268" t="str">
        <f t="shared" si="61"/>
        <v>RUS/UKR</v>
      </c>
      <c r="X57" s="267" t="str">
        <f t="shared" ref="X57:Y57" si="75">X8</f>
        <v xml:space="preserve">losses </v>
      </c>
      <c r="Y57" s="267" t="str">
        <f t="shared" si="75"/>
        <v>losses</v>
      </c>
      <c r="Z57" s="267" t="str">
        <f t="shared" ref="Z57:AA57" si="76">Z8</f>
        <v>losses unco.</v>
      </c>
      <c r="AA57" s="267" t="str">
        <f t="shared" si="76"/>
        <v xml:space="preserve">to depletion </v>
      </c>
      <c r="AB57" s="267" t="str">
        <f t="shared" ref="AB57:AC57" si="77">AB8</f>
        <v xml:space="preserve">losses </v>
      </c>
      <c r="AC57" s="268" t="str">
        <f t="shared" si="77"/>
        <v>RUS/UKR</v>
      </c>
      <c r="AD57" s="272" t="str">
        <f>$L57</f>
        <v xml:space="preserve">losses </v>
      </c>
      <c r="AE57" s="273" t="str">
        <f>$M57</f>
        <v>losses</v>
      </c>
      <c r="AF57" s="273" t="str">
        <f>$N57</f>
        <v>losses unco.</v>
      </c>
      <c r="AG57" s="273"/>
      <c r="AH57" s="273" t="str">
        <f>$P57</f>
        <v xml:space="preserve">losses </v>
      </c>
      <c r="AI57" s="274" t="str">
        <f>$Q57</f>
        <v>RUS/UKR</v>
      </c>
      <c r="AJ57" s="272" t="str">
        <f>$L57</f>
        <v xml:space="preserve">losses </v>
      </c>
      <c r="AK57" s="273" t="str">
        <f>$M57</f>
        <v>losses</v>
      </c>
      <c r="AL57" s="273" t="str">
        <f>$N57</f>
        <v>losses unco.</v>
      </c>
      <c r="AM57" s="273"/>
      <c r="AN57" s="273" t="str">
        <f>$P57</f>
        <v xml:space="preserve">losses </v>
      </c>
      <c r="AO57" s="274" t="str">
        <f>$Q57</f>
        <v>RUS/UKR</v>
      </c>
      <c r="AQ57" s="329"/>
      <c r="AR57" s="3"/>
      <c r="BB57" s="329"/>
      <c r="BC57" s="3"/>
      <c r="BM57" s="329"/>
      <c r="BN57" s="3"/>
    </row>
    <row r="58" spans="2:66" ht="15" thickBot="1" x14ac:dyDescent="0.4">
      <c r="B58" s="318"/>
      <c r="C58" s="278"/>
      <c r="D58" s="406">
        <f t="shared" si="61"/>
        <v>44616</v>
      </c>
      <c r="E58" s="407">
        <f t="shared" si="61"/>
        <v>44616</v>
      </c>
      <c r="F58" s="278" t="str">
        <f t="shared" ref="F58:I58" si="78">F9</f>
        <v>annually 2023</v>
      </c>
      <c r="G58" s="278" t="str">
        <f t="shared" ref="G58" si="79">G9</f>
        <v>daily in 2023</v>
      </c>
      <c r="H58" s="407">
        <f t="shared" si="78"/>
        <v>45092</v>
      </c>
      <c r="I58" s="407">
        <f t="shared" si="78"/>
        <v>45367</v>
      </c>
      <c r="J58" s="407">
        <f t="shared" ref="J58:K58" si="80">J9</f>
        <v>45393</v>
      </c>
      <c r="K58" s="407">
        <f t="shared" si="80"/>
        <v>44616</v>
      </c>
      <c r="L58" s="278" t="str">
        <f t="shared" si="61"/>
        <v>confirmed</v>
      </c>
      <c r="M58" s="278" t="str">
        <f t="shared" si="61"/>
        <v>unconfi.</v>
      </c>
      <c r="N58" s="278" t="str">
        <f t="shared" ref="N58:O58" si="81">N9</f>
        <v>per day</v>
      </c>
      <c r="O58" s="278" t="str">
        <f t="shared" si="81"/>
        <v>of all stocks</v>
      </c>
      <c r="P58" s="278" t="str">
        <f t="shared" si="61"/>
        <v>confirmed</v>
      </c>
      <c r="Q58" s="279" t="str">
        <f t="shared" si="61"/>
        <v>confirmed</v>
      </c>
      <c r="R58" s="278" t="str">
        <f t="shared" si="61"/>
        <v>confirmed</v>
      </c>
      <c r="S58" s="278" t="str">
        <f t="shared" si="61"/>
        <v>unconfi.</v>
      </c>
      <c r="T58" s="278" t="str">
        <f t="shared" ref="T58:U58" si="82">T9</f>
        <v>per day</v>
      </c>
      <c r="U58" s="278" t="str">
        <f t="shared" si="82"/>
        <v>of all stocks</v>
      </c>
      <c r="V58" s="278" t="str">
        <f t="shared" si="61"/>
        <v>confirmed</v>
      </c>
      <c r="W58" s="279" t="str">
        <f t="shared" si="61"/>
        <v>confirmed</v>
      </c>
      <c r="X58" s="278" t="str">
        <f t="shared" ref="X58:Y58" si="83">X9</f>
        <v>confirmed</v>
      </c>
      <c r="Y58" s="278" t="str">
        <f t="shared" si="83"/>
        <v>unconfi.</v>
      </c>
      <c r="Z58" s="278" t="str">
        <f t="shared" ref="Z58:AA58" si="84">Z9</f>
        <v>per day</v>
      </c>
      <c r="AA58" s="278" t="str">
        <f t="shared" si="84"/>
        <v>of all stocks</v>
      </c>
      <c r="AB58" s="278" t="str">
        <f t="shared" ref="AB58:AC58" si="85">AB9</f>
        <v>confirmed</v>
      </c>
      <c r="AC58" s="279" t="str">
        <f t="shared" si="85"/>
        <v>confirmed</v>
      </c>
      <c r="AD58" s="283" t="str">
        <f>$L58</f>
        <v>confirmed</v>
      </c>
      <c r="AE58" s="284" t="str">
        <f>$M58</f>
        <v>unconfi.</v>
      </c>
      <c r="AF58" s="284" t="str">
        <f>$N58</f>
        <v>per day</v>
      </c>
      <c r="AG58" s="284"/>
      <c r="AH58" s="284" t="str">
        <f>$P58</f>
        <v>confirmed</v>
      </c>
      <c r="AI58" s="285" t="str">
        <f>$Q58</f>
        <v>confirmed</v>
      </c>
      <c r="AJ58" s="283" t="str">
        <f>$L58</f>
        <v>confirmed</v>
      </c>
      <c r="AK58" s="284" t="str">
        <f>$M58</f>
        <v>unconfi.</v>
      </c>
      <c r="AL58" s="284" t="str">
        <f>$N58</f>
        <v>per day</v>
      </c>
      <c r="AM58" s="284"/>
      <c r="AN58" s="284" t="str">
        <f>$P58</f>
        <v>confirmed</v>
      </c>
      <c r="AO58" s="285" t="str">
        <f>$Q58</f>
        <v>confirmed</v>
      </c>
      <c r="AQ58" s="329"/>
      <c r="AR58" s="3"/>
      <c r="BB58" s="329"/>
      <c r="BC58" s="3"/>
      <c r="BM58" s="329"/>
      <c r="BN58" s="3"/>
    </row>
    <row r="59" spans="2:66" ht="15" thickTop="1" x14ac:dyDescent="0.35">
      <c r="B59" s="262">
        <v>1</v>
      </c>
      <c r="C59" s="263" t="str">
        <f>C10</f>
        <v>Tanks</v>
      </c>
      <c r="D59" s="319" t="s">
        <v>330</v>
      </c>
      <c r="E59" s="4" t="s">
        <v>331</v>
      </c>
      <c r="F59" t="s">
        <v>348</v>
      </c>
      <c r="G59" t="s">
        <v>36</v>
      </c>
      <c r="H59" t="s">
        <v>36</v>
      </c>
      <c r="I59" t="s">
        <v>36</v>
      </c>
      <c r="J59" t="s">
        <v>36</v>
      </c>
      <c r="K59" s="320" t="s">
        <v>332</v>
      </c>
      <c r="L59" t="s">
        <v>333</v>
      </c>
      <c r="M59" s="4" t="s">
        <v>334</v>
      </c>
      <c r="O59" t="s">
        <v>36</v>
      </c>
      <c r="P59" t="s">
        <v>335</v>
      </c>
      <c r="Q59" s="289" t="s">
        <v>36</v>
      </c>
      <c r="R59" s="20" t="s">
        <v>333</v>
      </c>
      <c r="S59" t="s">
        <v>331</v>
      </c>
      <c r="T59" t="s">
        <v>36</v>
      </c>
      <c r="U59" t="s">
        <v>36</v>
      </c>
      <c r="V59" s="20" t="s">
        <v>335</v>
      </c>
      <c r="W59" s="289" t="s">
        <v>36</v>
      </c>
      <c r="X59" s="20" t="s">
        <v>333</v>
      </c>
      <c r="Y59" s="4" t="s">
        <v>424</v>
      </c>
      <c r="AB59" s="20" t="s">
        <v>335</v>
      </c>
      <c r="AC59" s="289" t="s">
        <v>36</v>
      </c>
      <c r="AD59" s="292" t="s">
        <v>36</v>
      </c>
      <c r="AE59" s="292" t="s">
        <v>36</v>
      </c>
      <c r="AF59" s="292"/>
      <c r="AG59" s="292"/>
      <c r="AH59" s="292" t="s">
        <v>36</v>
      </c>
      <c r="AI59" s="321" t="s">
        <v>36</v>
      </c>
      <c r="AJ59" s="292" t="s">
        <v>36</v>
      </c>
      <c r="AK59" s="292" t="s">
        <v>36</v>
      </c>
      <c r="AL59" s="292"/>
      <c r="AM59" s="292"/>
      <c r="AN59" s="292" t="s">
        <v>36</v>
      </c>
      <c r="AO59" s="321" t="s">
        <v>36</v>
      </c>
      <c r="AQ59" s="329"/>
      <c r="AR59" s="3"/>
      <c r="BB59" s="329"/>
      <c r="BC59" s="3"/>
      <c r="BM59" s="329"/>
      <c r="BN59" s="3"/>
    </row>
    <row r="60" spans="2:66" x14ac:dyDescent="0.35">
      <c r="B60" s="262">
        <v>1.2</v>
      </c>
      <c r="C60" s="290" t="str">
        <f t="shared" ref="C60:C95" si="86">C11</f>
        <v>of which captured</v>
      </c>
      <c r="D60" s="319"/>
      <c r="E60" s="320"/>
      <c r="F60" s="320"/>
      <c r="G60" s="320"/>
      <c r="H60" s="320"/>
      <c r="I60" s="320"/>
      <c r="J60" s="320"/>
      <c r="K60" s="322" t="s">
        <v>35</v>
      </c>
      <c r="L60" s="319" t="s">
        <v>333</v>
      </c>
      <c r="M60" t="s">
        <v>35</v>
      </c>
      <c r="P60" s="320" t="s">
        <v>335</v>
      </c>
      <c r="Q60" s="289" t="s">
        <v>36</v>
      </c>
      <c r="R60" s="319" t="s">
        <v>333</v>
      </c>
      <c r="S60" t="s">
        <v>35</v>
      </c>
      <c r="V60" s="320" t="s">
        <v>335</v>
      </c>
      <c r="W60" s="289" t="s">
        <v>36</v>
      </c>
      <c r="X60" s="319" t="s">
        <v>333</v>
      </c>
      <c r="Y60" t="s">
        <v>35</v>
      </c>
      <c r="AB60" s="320" t="s">
        <v>335</v>
      </c>
      <c r="AC60" s="289" t="s">
        <v>36</v>
      </c>
      <c r="AD60" s="292" t="s">
        <v>36</v>
      </c>
      <c r="AE60" s="292" t="s">
        <v>36</v>
      </c>
      <c r="AF60" s="292"/>
      <c r="AG60" s="292"/>
      <c r="AH60" s="292" t="s">
        <v>36</v>
      </c>
      <c r="AI60" s="321" t="s">
        <v>36</v>
      </c>
      <c r="AJ60" s="292" t="s">
        <v>36</v>
      </c>
      <c r="AK60" s="292" t="s">
        <v>36</v>
      </c>
      <c r="AL60" s="292"/>
      <c r="AM60" s="292"/>
      <c r="AN60" s="292" t="s">
        <v>36</v>
      </c>
      <c r="AO60" s="321" t="s">
        <v>36</v>
      </c>
      <c r="AQ60" s="329"/>
      <c r="BB60" s="329"/>
      <c r="BM60" s="329"/>
    </row>
    <row r="61" spans="2:66" x14ac:dyDescent="0.35">
      <c r="B61" s="262">
        <v>2</v>
      </c>
      <c r="C61" s="263" t="str">
        <f t="shared" si="86"/>
        <v>Armored fighting vehicles</v>
      </c>
      <c r="D61" s="99"/>
      <c r="E61" s="159"/>
      <c r="F61" s="159"/>
      <c r="G61" s="159"/>
      <c r="H61" s="159"/>
      <c r="I61" s="159"/>
      <c r="J61" s="159"/>
      <c r="K61" s="159" t="s">
        <v>35</v>
      </c>
      <c r="L61" s="319" t="s">
        <v>333</v>
      </c>
      <c r="M61" t="s">
        <v>35</v>
      </c>
      <c r="P61" s="320" t="s">
        <v>335</v>
      </c>
      <c r="Q61" s="289" t="s">
        <v>36</v>
      </c>
      <c r="R61" s="319" t="s">
        <v>333</v>
      </c>
      <c r="S61" t="s">
        <v>35</v>
      </c>
      <c r="V61" s="320" t="s">
        <v>335</v>
      </c>
      <c r="W61" s="289" t="s">
        <v>36</v>
      </c>
      <c r="X61" s="319" t="s">
        <v>333</v>
      </c>
      <c r="Y61" t="s">
        <v>35</v>
      </c>
      <c r="AB61" s="320" t="s">
        <v>335</v>
      </c>
      <c r="AC61" s="289" t="s">
        <v>36</v>
      </c>
      <c r="AD61" s="292" t="s">
        <v>36</v>
      </c>
      <c r="AE61" s="292" t="s">
        <v>36</v>
      </c>
      <c r="AF61" s="292"/>
      <c r="AG61" s="292"/>
      <c r="AH61" s="292" t="s">
        <v>36</v>
      </c>
      <c r="AI61" s="321" t="s">
        <v>36</v>
      </c>
      <c r="AJ61" s="292" t="s">
        <v>36</v>
      </c>
      <c r="AK61" s="292" t="s">
        <v>36</v>
      </c>
      <c r="AL61" s="292"/>
      <c r="AM61" s="292"/>
      <c r="AN61" s="292" t="s">
        <v>36</v>
      </c>
      <c r="AO61" s="321" t="s">
        <v>36</v>
      </c>
      <c r="AQ61" s="329"/>
      <c r="AR61" s="3"/>
      <c r="BB61" s="329"/>
      <c r="BC61" s="3"/>
      <c r="BM61" s="329"/>
      <c r="BN61" s="3"/>
    </row>
    <row r="62" spans="2:66" x14ac:dyDescent="0.35">
      <c r="B62" s="262">
        <v>3</v>
      </c>
      <c r="C62" s="263" t="str">
        <f t="shared" si="86"/>
        <v>Infantry fighting vehicles</v>
      </c>
      <c r="D62" s="99"/>
      <c r="E62" s="159"/>
      <c r="F62" s="159"/>
      <c r="G62" s="159"/>
      <c r="H62" s="159"/>
      <c r="I62" s="159"/>
      <c r="J62" s="159"/>
      <c r="K62" s="159" t="s">
        <v>35</v>
      </c>
      <c r="L62" s="319" t="s">
        <v>333</v>
      </c>
      <c r="M62" t="s">
        <v>35</v>
      </c>
      <c r="P62" s="320" t="s">
        <v>335</v>
      </c>
      <c r="Q62" s="289" t="s">
        <v>36</v>
      </c>
      <c r="R62" s="319" t="s">
        <v>333</v>
      </c>
      <c r="S62" t="s">
        <v>35</v>
      </c>
      <c r="V62" s="320" t="s">
        <v>335</v>
      </c>
      <c r="W62" s="289" t="s">
        <v>36</v>
      </c>
      <c r="X62" s="319" t="s">
        <v>333</v>
      </c>
      <c r="Y62" t="s">
        <v>35</v>
      </c>
      <c r="AB62" s="320" t="s">
        <v>335</v>
      </c>
      <c r="AC62" s="289" t="s">
        <v>36</v>
      </c>
      <c r="AD62" s="292" t="s">
        <v>36</v>
      </c>
      <c r="AE62" s="292" t="s">
        <v>36</v>
      </c>
      <c r="AF62" s="292"/>
      <c r="AG62" s="292"/>
      <c r="AH62" s="292" t="s">
        <v>36</v>
      </c>
      <c r="AI62" s="321" t="s">
        <v>36</v>
      </c>
      <c r="AJ62" s="292" t="s">
        <v>36</v>
      </c>
      <c r="AK62" s="292" t="s">
        <v>36</v>
      </c>
      <c r="AL62" s="292"/>
      <c r="AM62" s="292"/>
      <c r="AN62" s="292" t="s">
        <v>36</v>
      </c>
      <c r="AO62" s="321" t="s">
        <v>36</v>
      </c>
      <c r="AQ62" s="329"/>
      <c r="AR62" s="3"/>
      <c r="BB62" s="329"/>
      <c r="BC62" s="3"/>
      <c r="BM62" s="329"/>
      <c r="BN62" s="3"/>
    </row>
    <row r="63" spans="2:66" x14ac:dyDescent="0.35">
      <c r="B63" s="262">
        <v>4</v>
      </c>
      <c r="C63" s="263" t="str">
        <f t="shared" si="86"/>
        <v>Armored personnel carriers</v>
      </c>
      <c r="D63" s="99"/>
      <c r="E63" s="159"/>
      <c r="F63" s="159"/>
      <c r="G63" s="159"/>
      <c r="H63" s="159"/>
      <c r="I63" s="159"/>
      <c r="J63" s="159"/>
      <c r="K63" s="159" t="s">
        <v>35</v>
      </c>
      <c r="L63" s="319" t="s">
        <v>333</v>
      </c>
      <c r="M63" t="s">
        <v>35</v>
      </c>
      <c r="P63" s="320" t="s">
        <v>335</v>
      </c>
      <c r="Q63" s="289" t="s">
        <v>36</v>
      </c>
      <c r="R63" s="319" t="s">
        <v>333</v>
      </c>
      <c r="S63" t="s">
        <v>35</v>
      </c>
      <c r="V63" s="320" t="s">
        <v>335</v>
      </c>
      <c r="W63" s="289" t="s">
        <v>36</v>
      </c>
      <c r="X63" s="319" t="s">
        <v>333</v>
      </c>
      <c r="Y63" t="s">
        <v>35</v>
      </c>
      <c r="AB63" s="320" t="s">
        <v>335</v>
      </c>
      <c r="AC63" s="289" t="s">
        <v>36</v>
      </c>
      <c r="AD63" s="292" t="s">
        <v>36</v>
      </c>
      <c r="AE63" s="292" t="s">
        <v>36</v>
      </c>
      <c r="AF63" s="292"/>
      <c r="AG63" s="292"/>
      <c r="AH63" s="292" t="s">
        <v>36</v>
      </c>
      <c r="AI63" s="321" t="s">
        <v>36</v>
      </c>
      <c r="AJ63" s="292" t="s">
        <v>36</v>
      </c>
      <c r="AK63" s="292" t="s">
        <v>36</v>
      </c>
      <c r="AL63" s="292"/>
      <c r="AM63" s="292"/>
      <c r="AN63" s="292" t="s">
        <v>36</v>
      </c>
      <c r="AO63" s="321" t="s">
        <v>36</v>
      </c>
      <c r="AQ63" s="329"/>
      <c r="AR63" s="3"/>
      <c r="BB63" s="329"/>
      <c r="BC63" s="3"/>
      <c r="BM63" s="329"/>
      <c r="BN63" s="3"/>
    </row>
    <row r="64" spans="2:66" x14ac:dyDescent="0.35">
      <c r="B64" s="262">
        <v>5</v>
      </c>
      <c r="C64" s="263" t="str">
        <f t="shared" si="86"/>
        <v>Other APCs (MRAPs)</v>
      </c>
      <c r="D64" s="99"/>
      <c r="E64" s="159"/>
      <c r="F64" s="159"/>
      <c r="G64" s="159"/>
      <c r="H64" s="159"/>
      <c r="I64" s="159"/>
      <c r="J64" s="159"/>
      <c r="K64" s="159" t="s">
        <v>35</v>
      </c>
      <c r="L64" s="319" t="s">
        <v>333</v>
      </c>
      <c r="M64" t="s">
        <v>35</v>
      </c>
      <c r="P64" s="320" t="s">
        <v>335</v>
      </c>
      <c r="Q64" s="289" t="s">
        <v>36</v>
      </c>
      <c r="R64" s="319" t="s">
        <v>333</v>
      </c>
      <c r="S64" t="s">
        <v>35</v>
      </c>
      <c r="V64" s="320" t="s">
        <v>335</v>
      </c>
      <c r="W64" s="289" t="s">
        <v>36</v>
      </c>
      <c r="X64" s="319" t="s">
        <v>333</v>
      </c>
      <c r="Y64" t="s">
        <v>35</v>
      </c>
      <c r="AB64" s="320" t="s">
        <v>335</v>
      </c>
      <c r="AC64" s="289" t="s">
        <v>36</v>
      </c>
      <c r="AD64" s="292" t="s">
        <v>36</v>
      </c>
      <c r="AE64" s="292" t="s">
        <v>36</v>
      </c>
      <c r="AF64" s="292"/>
      <c r="AG64" s="292"/>
      <c r="AH64" s="292" t="s">
        <v>36</v>
      </c>
      <c r="AI64" s="321" t="s">
        <v>36</v>
      </c>
      <c r="AJ64" s="292" t="s">
        <v>36</v>
      </c>
      <c r="AK64" s="292" t="s">
        <v>36</v>
      </c>
      <c r="AL64" s="292"/>
      <c r="AM64" s="292"/>
      <c r="AN64" s="292" t="s">
        <v>36</v>
      </c>
      <c r="AO64" s="321" t="s">
        <v>36</v>
      </c>
      <c r="AQ64" s="329"/>
      <c r="AR64" s="3"/>
      <c r="BB64" s="329"/>
      <c r="BC64" s="3"/>
      <c r="BM64" s="329"/>
      <c r="BN64" s="3"/>
    </row>
    <row r="65" spans="2:66" x14ac:dyDescent="0.35">
      <c r="B65" s="262">
        <v>6</v>
      </c>
      <c r="C65" s="263" t="str">
        <f t="shared" si="86"/>
        <v>Infantry mobility vehicles</v>
      </c>
      <c r="D65" s="99"/>
      <c r="E65" s="159"/>
      <c r="F65" s="159"/>
      <c r="G65" s="159"/>
      <c r="H65" s="159"/>
      <c r="I65" s="159"/>
      <c r="J65" s="159"/>
      <c r="K65" s="159" t="s">
        <v>35</v>
      </c>
      <c r="L65" s="319" t="s">
        <v>333</v>
      </c>
      <c r="M65" t="s">
        <v>35</v>
      </c>
      <c r="P65" s="320" t="s">
        <v>335</v>
      </c>
      <c r="Q65" s="289" t="s">
        <v>36</v>
      </c>
      <c r="R65" s="319" t="s">
        <v>333</v>
      </c>
      <c r="S65" t="s">
        <v>35</v>
      </c>
      <c r="V65" s="320" t="s">
        <v>335</v>
      </c>
      <c r="W65" s="289" t="s">
        <v>36</v>
      </c>
      <c r="X65" s="319" t="s">
        <v>333</v>
      </c>
      <c r="Y65" t="s">
        <v>35</v>
      </c>
      <c r="AB65" s="320" t="s">
        <v>335</v>
      </c>
      <c r="AC65" s="289" t="s">
        <v>36</v>
      </c>
      <c r="AD65" s="292" t="s">
        <v>36</v>
      </c>
      <c r="AE65" s="292" t="s">
        <v>36</v>
      </c>
      <c r="AF65" s="292"/>
      <c r="AG65" s="292"/>
      <c r="AH65" s="292" t="s">
        <v>36</v>
      </c>
      <c r="AI65" s="321" t="s">
        <v>36</v>
      </c>
      <c r="AJ65" s="292" t="s">
        <v>36</v>
      </c>
      <c r="AK65" s="292" t="s">
        <v>36</v>
      </c>
      <c r="AL65" s="292"/>
      <c r="AM65" s="292"/>
      <c r="AN65" s="292" t="s">
        <v>36</v>
      </c>
      <c r="AO65" s="321" t="s">
        <v>36</v>
      </c>
      <c r="AQ65" s="329"/>
      <c r="AR65" s="3"/>
      <c r="BB65" s="329"/>
      <c r="BC65" s="3"/>
      <c r="BM65" s="329"/>
      <c r="BN65" s="3"/>
    </row>
    <row r="66" spans="2:66" x14ac:dyDescent="0.35">
      <c r="B66" s="262">
        <v>7</v>
      </c>
      <c r="C66" s="263" t="str">
        <f t="shared" si="86"/>
        <v>Command and com vehicles</v>
      </c>
      <c r="D66" s="99"/>
      <c r="E66" s="159"/>
      <c r="F66" s="159"/>
      <c r="G66" s="159"/>
      <c r="H66" s="159"/>
      <c r="I66" s="159"/>
      <c r="J66" s="159"/>
      <c r="K66" s="159" t="s">
        <v>35</v>
      </c>
      <c r="L66" s="319" t="s">
        <v>333</v>
      </c>
      <c r="M66" t="s">
        <v>35</v>
      </c>
      <c r="P66" s="320" t="s">
        <v>335</v>
      </c>
      <c r="Q66" s="289" t="s">
        <v>36</v>
      </c>
      <c r="R66" s="319" t="s">
        <v>333</v>
      </c>
      <c r="S66" t="s">
        <v>35</v>
      </c>
      <c r="V66" s="320" t="s">
        <v>335</v>
      </c>
      <c r="W66" s="289" t="s">
        <v>36</v>
      </c>
      <c r="X66" s="319" t="s">
        <v>333</v>
      </c>
      <c r="Y66" t="s">
        <v>35</v>
      </c>
      <c r="AB66" s="320" t="s">
        <v>335</v>
      </c>
      <c r="AC66" s="289" t="s">
        <v>36</v>
      </c>
      <c r="AD66" s="292" t="s">
        <v>36</v>
      </c>
      <c r="AE66" s="292" t="s">
        <v>36</v>
      </c>
      <c r="AF66" s="292"/>
      <c r="AG66" s="292"/>
      <c r="AH66" s="292" t="s">
        <v>36</v>
      </c>
      <c r="AI66" s="321" t="s">
        <v>36</v>
      </c>
      <c r="AJ66" s="292" t="s">
        <v>36</v>
      </c>
      <c r="AK66" s="292" t="s">
        <v>36</v>
      </c>
      <c r="AL66" s="292"/>
      <c r="AM66" s="292"/>
      <c r="AN66" s="292" t="s">
        <v>36</v>
      </c>
      <c r="AO66" s="321" t="s">
        <v>36</v>
      </c>
      <c r="AQ66" s="329"/>
      <c r="AR66" s="3"/>
      <c r="BB66" s="329"/>
      <c r="BC66" s="3"/>
      <c r="BM66" s="329"/>
      <c r="BN66" s="3"/>
    </row>
    <row r="67" spans="2:66" x14ac:dyDescent="0.35">
      <c r="B67" s="262">
        <v>8</v>
      </c>
      <c r="C67" s="263" t="str">
        <f t="shared" si="86"/>
        <v>Total armored vehicles (2 to 7)</v>
      </c>
      <c r="D67" s="319" t="s">
        <v>330</v>
      </c>
      <c r="E67" t="s">
        <v>331</v>
      </c>
      <c r="F67" t="s">
        <v>351</v>
      </c>
      <c r="G67" t="s">
        <v>36</v>
      </c>
      <c r="H67" t="s">
        <v>36</v>
      </c>
      <c r="I67" t="s">
        <v>36</v>
      </c>
      <c r="J67" t="s">
        <v>36</v>
      </c>
      <c r="K67" s="292" t="s">
        <v>35</v>
      </c>
      <c r="L67" s="323" t="s">
        <v>36</v>
      </c>
      <c r="M67" t="s">
        <v>334</v>
      </c>
      <c r="P67" s="324" t="s">
        <v>36</v>
      </c>
      <c r="Q67" s="289" t="s">
        <v>36</v>
      </c>
      <c r="R67" s="323" t="s">
        <v>36</v>
      </c>
      <c r="S67" s="97" t="s">
        <v>331</v>
      </c>
      <c r="T67" t="s">
        <v>36</v>
      </c>
      <c r="U67" t="s">
        <v>36</v>
      </c>
      <c r="V67" s="324" t="s">
        <v>36</v>
      </c>
      <c r="W67" s="289" t="s">
        <v>36</v>
      </c>
      <c r="X67" s="323" t="s">
        <v>36</v>
      </c>
      <c r="Y67" t="s">
        <v>424</v>
      </c>
      <c r="Z67" s="97"/>
      <c r="AA67" s="97"/>
      <c r="AB67" s="324" t="s">
        <v>36</v>
      </c>
      <c r="AC67" s="289" t="s">
        <v>36</v>
      </c>
      <c r="AD67" s="292" t="s">
        <v>36</v>
      </c>
      <c r="AE67" s="292" t="s">
        <v>36</v>
      </c>
      <c r="AF67" s="292"/>
      <c r="AG67" s="292"/>
      <c r="AH67" s="292" t="s">
        <v>36</v>
      </c>
      <c r="AI67" s="321" t="s">
        <v>36</v>
      </c>
      <c r="AJ67" s="292" t="s">
        <v>36</v>
      </c>
      <c r="AK67" s="292" t="s">
        <v>36</v>
      </c>
      <c r="AL67" s="292"/>
      <c r="AM67" s="292"/>
      <c r="AN67" s="292" t="s">
        <v>36</v>
      </c>
      <c r="AO67" s="321" t="s">
        <v>36</v>
      </c>
      <c r="AQ67" s="329"/>
      <c r="AR67" s="3"/>
      <c r="BB67" s="329"/>
      <c r="BC67" s="3"/>
      <c r="BM67" s="329"/>
      <c r="BN67" s="3"/>
    </row>
    <row r="68" spans="2:66" x14ac:dyDescent="0.35">
      <c r="B68" s="262">
        <v>9</v>
      </c>
      <c r="C68" s="263" t="str">
        <f t="shared" si="86"/>
        <v>Engineering vehicles special equipm.</v>
      </c>
      <c r="D68" s="291"/>
      <c r="E68" s="292"/>
      <c r="F68" s="292" t="s">
        <v>431</v>
      </c>
      <c r="G68" t="s">
        <v>36</v>
      </c>
      <c r="H68" s="292" t="s">
        <v>431</v>
      </c>
      <c r="I68" s="292" t="s">
        <v>431</v>
      </c>
      <c r="J68" s="292" t="s">
        <v>431</v>
      </c>
      <c r="K68" s="292" t="s">
        <v>35</v>
      </c>
      <c r="L68" s="319" t="s">
        <v>333</v>
      </c>
      <c r="M68" s="97" t="s">
        <v>334</v>
      </c>
      <c r="N68" s="97"/>
      <c r="O68" s="97"/>
      <c r="P68" s="320" t="s">
        <v>335</v>
      </c>
      <c r="Q68" s="289" t="s">
        <v>36</v>
      </c>
      <c r="R68" s="319" t="s">
        <v>333</v>
      </c>
      <c r="S68" s="97" t="s">
        <v>331</v>
      </c>
      <c r="T68" t="s">
        <v>36</v>
      </c>
      <c r="U68" t="s">
        <v>36</v>
      </c>
      <c r="V68" s="320" t="s">
        <v>335</v>
      </c>
      <c r="W68" s="289" t="s">
        <v>36</v>
      </c>
      <c r="X68" s="319" t="s">
        <v>333</v>
      </c>
      <c r="Y68" t="s">
        <v>424</v>
      </c>
      <c r="Z68" s="97"/>
      <c r="AA68" s="97"/>
      <c r="AB68" s="320" t="s">
        <v>335</v>
      </c>
      <c r="AC68" s="289" t="s">
        <v>36</v>
      </c>
      <c r="AD68" s="292" t="s">
        <v>36</v>
      </c>
      <c r="AE68" s="292" t="s">
        <v>36</v>
      </c>
      <c r="AF68" s="292"/>
      <c r="AG68" s="292"/>
      <c r="AH68" s="292" t="s">
        <v>36</v>
      </c>
      <c r="AI68" s="321" t="s">
        <v>36</v>
      </c>
      <c r="AJ68" s="292" t="s">
        <v>36</v>
      </c>
      <c r="AK68" s="292" t="s">
        <v>36</v>
      </c>
      <c r="AL68" s="292"/>
      <c r="AM68" s="292"/>
      <c r="AN68" s="292" t="s">
        <v>36</v>
      </c>
      <c r="AO68" s="321" t="s">
        <v>36</v>
      </c>
      <c r="AQ68" s="329"/>
      <c r="AR68" s="3"/>
      <c r="BB68" s="329"/>
      <c r="BC68" s="3"/>
      <c r="BM68" s="329"/>
      <c r="BN68" s="3"/>
    </row>
    <row r="69" spans="2:66" x14ac:dyDescent="0.35">
      <c r="B69" s="262">
        <v>10</v>
      </c>
      <c r="C69" s="263" t="str">
        <f t="shared" si="86"/>
        <v>Anti-tank vehicles</v>
      </c>
      <c r="D69" s="99"/>
      <c r="E69" s="159"/>
      <c r="F69" s="159"/>
      <c r="G69" s="159"/>
      <c r="H69" s="159"/>
      <c r="I69" s="159"/>
      <c r="J69" s="159"/>
      <c r="K69" s="159" t="s">
        <v>35</v>
      </c>
      <c r="L69" s="319" t="s">
        <v>333</v>
      </c>
      <c r="M69" t="s">
        <v>35</v>
      </c>
      <c r="P69" s="320" t="s">
        <v>335</v>
      </c>
      <c r="Q69" s="289" t="s">
        <v>36</v>
      </c>
      <c r="R69" s="319" t="s">
        <v>333</v>
      </c>
      <c r="S69" t="s">
        <v>35</v>
      </c>
      <c r="V69" s="320" t="s">
        <v>335</v>
      </c>
      <c r="W69" s="289" t="s">
        <v>36</v>
      </c>
      <c r="X69" s="319" t="s">
        <v>333</v>
      </c>
      <c r="Y69" t="s">
        <v>35</v>
      </c>
      <c r="AB69" s="320" t="s">
        <v>335</v>
      </c>
      <c r="AC69" s="289" t="s">
        <v>36</v>
      </c>
      <c r="AD69" s="292" t="s">
        <v>36</v>
      </c>
      <c r="AE69" s="292" t="s">
        <v>36</v>
      </c>
      <c r="AF69" s="292"/>
      <c r="AG69" s="292"/>
      <c r="AH69" s="292" t="s">
        <v>36</v>
      </c>
      <c r="AI69" s="321" t="s">
        <v>36</v>
      </c>
      <c r="AJ69" s="292" t="s">
        <v>36</v>
      </c>
      <c r="AK69" s="292" t="s">
        <v>36</v>
      </c>
      <c r="AL69" s="292"/>
      <c r="AM69" s="292"/>
      <c r="AN69" s="292" t="s">
        <v>36</v>
      </c>
      <c r="AO69" s="321" t="s">
        <v>36</v>
      </c>
      <c r="AQ69" s="329"/>
      <c r="AR69" s="3"/>
      <c r="BB69" s="329"/>
      <c r="BC69" s="3"/>
      <c r="BM69" s="329"/>
      <c r="BN69" s="3"/>
    </row>
    <row r="70" spans="2:66" x14ac:dyDescent="0.35">
      <c r="B70" s="262">
        <v>11</v>
      </c>
      <c r="C70" s="263" t="str">
        <f t="shared" si="86"/>
        <v>Artillery support vehicles</v>
      </c>
      <c r="D70" s="99"/>
      <c r="E70" s="159"/>
      <c r="F70" s="159"/>
      <c r="G70" s="159"/>
      <c r="H70" s="159"/>
      <c r="I70" s="159"/>
      <c r="J70" s="159"/>
      <c r="K70" s="159" t="s">
        <v>35</v>
      </c>
      <c r="L70" s="319" t="s">
        <v>333</v>
      </c>
      <c r="M70" t="s">
        <v>35</v>
      </c>
      <c r="P70" s="320" t="s">
        <v>335</v>
      </c>
      <c r="Q70" s="289" t="s">
        <v>36</v>
      </c>
      <c r="R70" s="319" t="s">
        <v>333</v>
      </c>
      <c r="S70" t="s">
        <v>35</v>
      </c>
      <c r="V70" s="320" t="s">
        <v>335</v>
      </c>
      <c r="W70" s="289" t="s">
        <v>36</v>
      </c>
      <c r="X70" s="319" t="s">
        <v>333</v>
      </c>
      <c r="Y70" t="s">
        <v>35</v>
      </c>
      <c r="AB70" s="320" t="s">
        <v>335</v>
      </c>
      <c r="AC70" s="289" t="s">
        <v>36</v>
      </c>
      <c r="AD70" s="292" t="s">
        <v>36</v>
      </c>
      <c r="AE70" s="292" t="s">
        <v>36</v>
      </c>
      <c r="AF70" s="292"/>
      <c r="AG70" s="292"/>
      <c r="AH70" s="292" t="s">
        <v>36</v>
      </c>
      <c r="AI70" s="321" t="s">
        <v>36</v>
      </c>
      <c r="AJ70" s="292" t="s">
        <v>36</v>
      </c>
      <c r="AK70" s="292" t="s">
        <v>36</v>
      </c>
      <c r="AL70" s="292"/>
      <c r="AM70" s="292"/>
      <c r="AN70" s="292" t="s">
        <v>36</v>
      </c>
      <c r="AO70" s="321" t="s">
        <v>36</v>
      </c>
      <c r="AQ70" s="329"/>
      <c r="AR70" s="3"/>
      <c r="BB70" s="329"/>
      <c r="BC70" s="3"/>
      <c r="BM70" s="329"/>
      <c r="BN70" s="3"/>
    </row>
    <row r="71" spans="2:66" x14ac:dyDescent="0.35">
      <c r="B71" s="262">
        <v>12</v>
      </c>
      <c r="C71" s="263" t="str">
        <f t="shared" si="86"/>
        <v>Towed artillery</v>
      </c>
      <c r="D71" s="99"/>
      <c r="E71" s="159"/>
      <c r="F71" s="159"/>
      <c r="G71" s="159"/>
      <c r="H71" s="159"/>
      <c r="I71" s="159"/>
      <c r="J71" s="159"/>
      <c r="K71" s="159" t="s">
        <v>35</v>
      </c>
      <c r="L71" s="319" t="s">
        <v>333</v>
      </c>
      <c r="M71" t="s">
        <v>35</v>
      </c>
      <c r="P71" s="320" t="s">
        <v>335</v>
      </c>
      <c r="Q71" s="289" t="s">
        <v>36</v>
      </c>
      <c r="R71" s="319" t="s">
        <v>333</v>
      </c>
      <c r="S71" t="s">
        <v>35</v>
      </c>
      <c r="V71" s="320" t="s">
        <v>335</v>
      </c>
      <c r="W71" s="289" t="s">
        <v>36</v>
      </c>
      <c r="X71" s="319" t="s">
        <v>333</v>
      </c>
      <c r="Y71" t="s">
        <v>35</v>
      </c>
      <c r="AB71" s="320" t="s">
        <v>335</v>
      </c>
      <c r="AC71" s="289" t="s">
        <v>36</v>
      </c>
      <c r="AD71" s="292" t="s">
        <v>36</v>
      </c>
      <c r="AE71" s="292" t="s">
        <v>36</v>
      </c>
      <c r="AF71" s="292"/>
      <c r="AG71" s="292"/>
      <c r="AH71" s="292" t="s">
        <v>36</v>
      </c>
      <c r="AI71" s="321" t="s">
        <v>36</v>
      </c>
      <c r="AJ71" s="292" t="s">
        <v>36</v>
      </c>
      <c r="AK71" s="292" t="s">
        <v>36</v>
      </c>
      <c r="AL71" s="292"/>
      <c r="AM71" s="292"/>
      <c r="AN71" s="292" t="s">
        <v>36</v>
      </c>
      <c r="AO71" s="321" t="s">
        <v>36</v>
      </c>
      <c r="AQ71" s="329"/>
      <c r="AR71" s="3"/>
      <c r="BB71" s="329"/>
      <c r="BC71" s="3"/>
      <c r="BM71" s="329"/>
      <c r="BN71" s="3"/>
    </row>
    <row r="72" spans="2:66" x14ac:dyDescent="0.35">
      <c r="B72" s="262">
        <v>13</v>
      </c>
      <c r="C72" s="263" t="str">
        <f t="shared" si="86"/>
        <v>Self propelled artillery</v>
      </c>
      <c r="D72" s="99"/>
      <c r="E72" s="159"/>
      <c r="F72" s="159"/>
      <c r="G72" s="159"/>
      <c r="H72" s="159"/>
      <c r="I72" s="159"/>
      <c r="J72" s="159"/>
      <c r="K72" s="159" t="s">
        <v>35</v>
      </c>
      <c r="L72" s="319" t="s">
        <v>333</v>
      </c>
      <c r="M72" t="s">
        <v>35</v>
      </c>
      <c r="P72" s="320" t="s">
        <v>335</v>
      </c>
      <c r="Q72" s="289" t="s">
        <v>36</v>
      </c>
      <c r="R72" s="319" t="s">
        <v>333</v>
      </c>
      <c r="S72" t="s">
        <v>35</v>
      </c>
      <c r="V72" s="320" t="s">
        <v>335</v>
      </c>
      <c r="W72" s="289" t="s">
        <v>36</v>
      </c>
      <c r="X72" s="319" t="s">
        <v>333</v>
      </c>
      <c r="Y72" t="s">
        <v>35</v>
      </c>
      <c r="AB72" s="320" t="s">
        <v>335</v>
      </c>
      <c r="AC72" s="289" t="s">
        <v>36</v>
      </c>
      <c r="AD72" s="292" t="s">
        <v>36</v>
      </c>
      <c r="AE72" s="292" t="s">
        <v>36</v>
      </c>
      <c r="AF72" s="292"/>
      <c r="AG72" s="292"/>
      <c r="AH72" s="292" t="s">
        <v>36</v>
      </c>
      <c r="AI72" s="321" t="s">
        <v>36</v>
      </c>
      <c r="AJ72" s="292" t="s">
        <v>36</v>
      </c>
      <c r="AK72" s="292" t="s">
        <v>36</v>
      </c>
      <c r="AL72" s="292"/>
      <c r="AM72" s="292"/>
      <c r="AN72" s="292" t="s">
        <v>36</v>
      </c>
      <c r="AO72" s="321" t="s">
        <v>36</v>
      </c>
      <c r="AQ72" s="329"/>
      <c r="AR72" s="3"/>
      <c r="BB72" s="329"/>
      <c r="BC72" s="3"/>
      <c r="BM72" s="329"/>
      <c r="BN72" s="3"/>
    </row>
    <row r="73" spans="2:66" x14ac:dyDescent="0.35">
      <c r="B73" s="262">
        <v>14</v>
      </c>
      <c r="C73" s="263" t="str">
        <f t="shared" si="86"/>
        <v>Multiple rocket launchers</v>
      </c>
      <c r="D73" s="99"/>
      <c r="E73" s="159"/>
      <c r="F73" s="159"/>
      <c r="G73" s="159"/>
      <c r="H73" s="159"/>
      <c r="I73" s="159"/>
      <c r="J73" s="159"/>
      <c r="K73" s="159" t="s">
        <v>35</v>
      </c>
      <c r="L73" s="319" t="s">
        <v>333</v>
      </c>
      <c r="M73" t="s">
        <v>35</v>
      </c>
      <c r="P73" s="320" t="s">
        <v>335</v>
      </c>
      <c r="Q73" s="289" t="s">
        <v>36</v>
      </c>
      <c r="R73" s="319" t="s">
        <v>333</v>
      </c>
      <c r="S73" t="s">
        <v>35</v>
      </c>
      <c r="V73" s="320" t="s">
        <v>335</v>
      </c>
      <c r="W73" s="289" t="s">
        <v>36</v>
      </c>
      <c r="X73" s="319" t="s">
        <v>333</v>
      </c>
      <c r="Y73" t="s">
        <v>35</v>
      </c>
      <c r="AB73" s="320" t="s">
        <v>335</v>
      </c>
      <c r="AC73" s="289" t="s">
        <v>36</v>
      </c>
      <c r="AD73" s="292" t="s">
        <v>36</v>
      </c>
      <c r="AE73" s="292" t="s">
        <v>36</v>
      </c>
      <c r="AF73" s="292"/>
      <c r="AG73" s="292"/>
      <c r="AH73" s="292" t="s">
        <v>36</v>
      </c>
      <c r="AI73" s="321" t="s">
        <v>36</v>
      </c>
      <c r="AJ73" s="292" t="s">
        <v>36</v>
      </c>
      <c r="AK73" s="292" t="s">
        <v>36</v>
      </c>
      <c r="AL73" s="292"/>
      <c r="AM73" s="292"/>
      <c r="AN73" s="292" t="s">
        <v>36</v>
      </c>
      <c r="AO73" s="321" t="s">
        <v>36</v>
      </c>
      <c r="AQ73" s="329"/>
      <c r="AR73" s="3"/>
      <c r="BB73" s="329"/>
      <c r="BC73" s="3"/>
      <c r="BM73" s="329"/>
      <c r="BN73" s="3"/>
    </row>
    <row r="74" spans="2:66" x14ac:dyDescent="0.35">
      <c r="B74" s="262">
        <v>15</v>
      </c>
      <c r="C74" s="263" t="str">
        <f t="shared" si="86"/>
        <v>Total artillery (10 to 14)</v>
      </c>
      <c r="D74" s="319" t="s">
        <v>330</v>
      </c>
      <c r="E74" s="97" t="s">
        <v>331</v>
      </c>
      <c r="F74" s="347" t="s">
        <v>349</v>
      </c>
      <c r="G74" t="s">
        <v>36</v>
      </c>
      <c r="H74" t="s">
        <v>36</v>
      </c>
      <c r="I74" t="s">
        <v>36</v>
      </c>
      <c r="J74" t="s">
        <v>36</v>
      </c>
      <c r="K74" s="292" t="s">
        <v>35</v>
      </c>
      <c r="L74" s="323" t="s">
        <v>36</v>
      </c>
      <c r="M74" t="s">
        <v>334</v>
      </c>
      <c r="P74" s="324" t="s">
        <v>36</v>
      </c>
      <c r="Q74" s="289" t="s">
        <v>36</v>
      </c>
      <c r="R74" s="323" t="s">
        <v>36</v>
      </c>
      <c r="S74" t="s">
        <v>331</v>
      </c>
      <c r="V74" s="324" t="s">
        <v>36</v>
      </c>
      <c r="W74" s="289" t="s">
        <v>36</v>
      </c>
      <c r="X74" s="323" t="s">
        <v>36</v>
      </c>
      <c r="Y74" t="s">
        <v>424</v>
      </c>
      <c r="AB74" s="324" t="s">
        <v>36</v>
      </c>
      <c r="AC74" s="289" t="s">
        <v>36</v>
      </c>
      <c r="AD74" s="292" t="s">
        <v>36</v>
      </c>
      <c r="AE74" s="292" t="s">
        <v>36</v>
      </c>
      <c r="AF74" s="292"/>
      <c r="AG74" s="292"/>
      <c r="AH74" s="292" t="s">
        <v>36</v>
      </c>
      <c r="AI74" s="321" t="s">
        <v>36</v>
      </c>
      <c r="AJ74" s="292" t="s">
        <v>36</v>
      </c>
      <c r="AK74" s="292" t="s">
        <v>36</v>
      </c>
      <c r="AL74" s="292"/>
      <c r="AM74" s="292"/>
      <c r="AN74" s="292" t="s">
        <v>36</v>
      </c>
      <c r="AO74" s="321" t="s">
        <v>36</v>
      </c>
      <c r="AQ74" s="329"/>
      <c r="AR74" s="3"/>
      <c r="BB74" s="329"/>
      <c r="BC74" s="3"/>
      <c r="BM74" s="329"/>
      <c r="BN74" s="3"/>
    </row>
    <row r="75" spans="2:66" x14ac:dyDescent="0.35">
      <c r="B75" s="262">
        <v>16</v>
      </c>
      <c r="C75" s="263" t="str">
        <f t="shared" si="86"/>
        <v>Anti-aircraft guns</v>
      </c>
      <c r="D75" s="99"/>
      <c r="E75" s="159"/>
      <c r="F75" s="159"/>
      <c r="G75" s="159"/>
      <c r="H75" s="159"/>
      <c r="I75" s="159"/>
      <c r="J75" s="159"/>
      <c r="K75" s="159" t="s">
        <v>35</v>
      </c>
      <c r="L75" s="319" t="s">
        <v>333</v>
      </c>
      <c r="M75" t="s">
        <v>35</v>
      </c>
      <c r="P75" s="320" t="s">
        <v>335</v>
      </c>
      <c r="Q75" s="289" t="s">
        <v>36</v>
      </c>
      <c r="R75" s="319" t="s">
        <v>333</v>
      </c>
      <c r="S75" t="s">
        <v>35</v>
      </c>
      <c r="V75" s="320" t="s">
        <v>335</v>
      </c>
      <c r="W75" s="289" t="s">
        <v>36</v>
      </c>
      <c r="X75" s="319" t="s">
        <v>333</v>
      </c>
      <c r="Y75" t="s">
        <v>35</v>
      </c>
      <c r="AB75" s="320" t="s">
        <v>335</v>
      </c>
      <c r="AC75" s="289" t="s">
        <v>36</v>
      </c>
      <c r="AD75" s="292" t="s">
        <v>36</v>
      </c>
      <c r="AE75" s="292" t="s">
        <v>36</v>
      </c>
      <c r="AF75" s="292"/>
      <c r="AG75" s="292"/>
      <c r="AH75" s="292" t="s">
        <v>36</v>
      </c>
      <c r="AI75" s="321" t="s">
        <v>36</v>
      </c>
      <c r="AJ75" s="292" t="s">
        <v>36</v>
      </c>
      <c r="AK75" s="292" t="s">
        <v>36</v>
      </c>
      <c r="AL75" s="292"/>
      <c r="AM75" s="292"/>
      <c r="AN75" s="292" t="s">
        <v>36</v>
      </c>
      <c r="AO75" s="321" t="s">
        <v>36</v>
      </c>
      <c r="AQ75" s="329"/>
      <c r="AR75" s="3"/>
      <c r="BB75" s="329"/>
      <c r="BC75" s="3"/>
      <c r="BM75" s="329"/>
      <c r="BN75" s="3"/>
    </row>
    <row r="76" spans="2:66" x14ac:dyDescent="0.35">
      <c r="B76" s="262">
        <v>17</v>
      </c>
      <c r="C76" s="263" t="str">
        <f t="shared" si="86"/>
        <v>Self propelled anti-aircraft guns</v>
      </c>
      <c r="D76" s="99"/>
      <c r="E76" s="159"/>
      <c r="F76" s="159"/>
      <c r="G76" s="159"/>
      <c r="H76" s="159"/>
      <c r="I76" s="159"/>
      <c r="J76" s="159"/>
      <c r="K76" s="159" t="s">
        <v>35</v>
      </c>
      <c r="L76" s="319" t="s">
        <v>333</v>
      </c>
      <c r="M76" t="s">
        <v>35</v>
      </c>
      <c r="P76" s="320" t="s">
        <v>335</v>
      </c>
      <c r="Q76" s="289" t="s">
        <v>36</v>
      </c>
      <c r="R76" s="319" t="s">
        <v>333</v>
      </c>
      <c r="S76" t="s">
        <v>35</v>
      </c>
      <c r="V76" s="320" t="s">
        <v>335</v>
      </c>
      <c r="W76" s="289" t="s">
        <v>36</v>
      </c>
      <c r="X76" s="319" t="s">
        <v>333</v>
      </c>
      <c r="Y76" t="s">
        <v>35</v>
      </c>
      <c r="AB76" s="320" t="s">
        <v>335</v>
      </c>
      <c r="AC76" s="289" t="s">
        <v>36</v>
      </c>
      <c r="AD76" s="292" t="s">
        <v>36</v>
      </c>
      <c r="AE76" s="292" t="s">
        <v>36</v>
      </c>
      <c r="AF76" s="292"/>
      <c r="AG76" s="292"/>
      <c r="AH76" s="292" t="s">
        <v>36</v>
      </c>
      <c r="AI76" s="321" t="s">
        <v>36</v>
      </c>
      <c r="AJ76" s="292" t="s">
        <v>36</v>
      </c>
      <c r="AK76" s="292" t="s">
        <v>36</v>
      </c>
      <c r="AL76" s="292"/>
      <c r="AM76" s="292"/>
      <c r="AN76" s="292" t="s">
        <v>36</v>
      </c>
      <c r="AO76" s="321" t="s">
        <v>36</v>
      </c>
      <c r="AQ76" s="329"/>
      <c r="AR76" s="3"/>
      <c r="BB76" s="329"/>
      <c r="BC76" s="3"/>
      <c r="BM76" s="329"/>
      <c r="BN76" s="3"/>
    </row>
    <row r="77" spans="2:66" x14ac:dyDescent="0.35">
      <c r="B77" s="262">
        <v>18</v>
      </c>
      <c r="C77" s="263" t="str">
        <f t="shared" si="86"/>
        <v>Surface-To-Air Missile Systems</v>
      </c>
      <c r="D77" s="99"/>
      <c r="E77" s="159"/>
      <c r="F77" s="159"/>
      <c r="G77" s="159"/>
      <c r="H77" s="159"/>
      <c r="I77" s="159"/>
      <c r="J77" s="159"/>
      <c r="K77" s="159" t="s">
        <v>35</v>
      </c>
      <c r="L77" s="319" t="s">
        <v>333</v>
      </c>
      <c r="M77" t="s">
        <v>35</v>
      </c>
      <c r="P77" s="320" t="s">
        <v>335</v>
      </c>
      <c r="Q77" s="289" t="s">
        <v>36</v>
      </c>
      <c r="R77" s="319" t="s">
        <v>333</v>
      </c>
      <c r="S77" t="s">
        <v>35</v>
      </c>
      <c r="V77" s="320" t="s">
        <v>335</v>
      </c>
      <c r="W77" s="289" t="s">
        <v>36</v>
      </c>
      <c r="X77" s="319" t="s">
        <v>333</v>
      </c>
      <c r="Y77" t="s">
        <v>35</v>
      </c>
      <c r="AB77" s="320" t="s">
        <v>335</v>
      </c>
      <c r="AC77" s="289" t="s">
        <v>36</v>
      </c>
      <c r="AD77" s="292" t="s">
        <v>36</v>
      </c>
      <c r="AE77" s="292" t="s">
        <v>36</v>
      </c>
      <c r="AF77" s="292"/>
      <c r="AG77" s="292"/>
      <c r="AH77" s="292" t="s">
        <v>36</v>
      </c>
      <c r="AI77" s="321" t="s">
        <v>36</v>
      </c>
      <c r="AJ77" s="292" t="s">
        <v>36</v>
      </c>
      <c r="AK77" s="292" t="s">
        <v>36</v>
      </c>
      <c r="AL77" s="292"/>
      <c r="AM77" s="292"/>
      <c r="AN77" s="292" t="s">
        <v>36</v>
      </c>
      <c r="AO77" s="321" t="s">
        <v>36</v>
      </c>
      <c r="AQ77" s="329"/>
      <c r="AR77" s="3"/>
      <c r="BB77" s="329"/>
      <c r="BC77" s="3"/>
      <c r="BM77" s="329"/>
      <c r="BN77" s="3"/>
    </row>
    <row r="78" spans="2:66" x14ac:dyDescent="0.35">
      <c r="B78" s="262">
        <v>19</v>
      </c>
      <c r="C78" s="263" t="str">
        <f t="shared" si="86"/>
        <v>Radars</v>
      </c>
      <c r="D78" s="99"/>
      <c r="E78" s="159"/>
      <c r="F78" s="159"/>
      <c r="G78" s="159"/>
      <c r="H78" s="159"/>
      <c r="I78" s="159"/>
      <c r="J78" s="159"/>
      <c r="K78" s="159" t="s">
        <v>35</v>
      </c>
      <c r="L78" s="319" t="s">
        <v>333</v>
      </c>
      <c r="M78" t="s">
        <v>35</v>
      </c>
      <c r="P78" s="320" t="s">
        <v>335</v>
      </c>
      <c r="Q78" s="289" t="s">
        <v>36</v>
      </c>
      <c r="R78" s="319" t="s">
        <v>333</v>
      </c>
      <c r="S78" t="s">
        <v>35</v>
      </c>
      <c r="V78" s="320" t="s">
        <v>335</v>
      </c>
      <c r="W78" s="289" t="s">
        <v>36</v>
      </c>
      <c r="X78" s="319" t="s">
        <v>333</v>
      </c>
      <c r="Y78" t="s">
        <v>35</v>
      </c>
      <c r="AB78" s="320" t="s">
        <v>335</v>
      </c>
      <c r="AC78" s="289" t="s">
        <v>36</v>
      </c>
      <c r="AD78" s="292" t="s">
        <v>36</v>
      </c>
      <c r="AE78" s="292" t="s">
        <v>36</v>
      </c>
      <c r="AF78" s="292"/>
      <c r="AG78" s="292"/>
      <c r="AH78" s="292" t="s">
        <v>36</v>
      </c>
      <c r="AI78" s="321" t="s">
        <v>36</v>
      </c>
      <c r="AJ78" s="292" t="s">
        <v>36</v>
      </c>
      <c r="AK78" s="292" t="s">
        <v>36</v>
      </c>
      <c r="AL78" s="292"/>
      <c r="AM78" s="292"/>
      <c r="AN78" s="292" t="s">
        <v>36</v>
      </c>
      <c r="AO78" s="321" t="s">
        <v>36</v>
      </c>
      <c r="AQ78" s="329"/>
      <c r="AR78" s="3"/>
      <c r="BB78" s="329"/>
      <c r="BC78" s="3"/>
      <c r="BM78" s="329"/>
      <c r="BN78" s="3"/>
    </row>
    <row r="79" spans="2:66" x14ac:dyDescent="0.35">
      <c r="B79" s="262">
        <v>20</v>
      </c>
      <c r="C79" s="263" t="str">
        <f t="shared" si="86"/>
        <v>Jammers and deception systems</v>
      </c>
      <c r="D79" s="99"/>
      <c r="E79" s="159"/>
      <c r="F79" s="159"/>
      <c r="G79" s="159"/>
      <c r="H79" s="159"/>
      <c r="I79" s="159"/>
      <c r="J79" s="159"/>
      <c r="K79" s="159" t="s">
        <v>35</v>
      </c>
      <c r="L79" s="319" t="s">
        <v>333</v>
      </c>
      <c r="M79" t="s">
        <v>35</v>
      </c>
      <c r="P79" s="320" t="s">
        <v>335</v>
      </c>
      <c r="Q79" s="289" t="s">
        <v>36</v>
      </c>
      <c r="R79" s="319" t="s">
        <v>333</v>
      </c>
      <c r="S79" t="s">
        <v>35</v>
      </c>
      <c r="V79" s="320" t="s">
        <v>335</v>
      </c>
      <c r="W79" s="289" t="s">
        <v>36</v>
      </c>
      <c r="X79" s="319" t="s">
        <v>333</v>
      </c>
      <c r="Y79" t="s">
        <v>35</v>
      </c>
      <c r="AB79" s="320" t="s">
        <v>335</v>
      </c>
      <c r="AC79" s="289" t="s">
        <v>36</v>
      </c>
      <c r="AD79" s="292" t="s">
        <v>36</v>
      </c>
      <c r="AE79" s="292" t="s">
        <v>36</v>
      </c>
      <c r="AF79" s="292"/>
      <c r="AG79" s="292"/>
      <c r="AH79" s="292" t="s">
        <v>36</v>
      </c>
      <c r="AI79" s="321" t="s">
        <v>36</v>
      </c>
      <c r="AJ79" s="292" t="s">
        <v>36</v>
      </c>
      <c r="AK79" s="292" t="s">
        <v>36</v>
      </c>
      <c r="AL79" s="292"/>
      <c r="AM79" s="292"/>
      <c r="AN79" s="292" t="s">
        <v>36</v>
      </c>
      <c r="AO79" s="321" t="s">
        <v>36</v>
      </c>
      <c r="AQ79" s="329"/>
      <c r="AR79" s="3"/>
      <c r="BB79" s="329"/>
      <c r="BC79" s="3"/>
      <c r="BM79" s="329"/>
      <c r="BN79" s="3"/>
    </row>
    <row r="80" spans="2:66" x14ac:dyDescent="0.35">
      <c r="B80" s="262">
        <v>21</v>
      </c>
      <c r="C80" s="263" t="str">
        <f t="shared" si="86"/>
        <v>Total anti-aircraft (16 to 20)</v>
      </c>
      <c r="D80" s="287"/>
      <c r="E80" s="97" t="s">
        <v>331</v>
      </c>
      <c r="F80" s="347" t="s">
        <v>354</v>
      </c>
      <c r="G80" t="s">
        <v>36</v>
      </c>
      <c r="H80" t="s">
        <v>36</v>
      </c>
      <c r="I80" t="s">
        <v>36</v>
      </c>
      <c r="J80" t="s">
        <v>36</v>
      </c>
      <c r="K80" s="159" t="s">
        <v>35</v>
      </c>
      <c r="L80" s="323" t="s">
        <v>36</v>
      </c>
      <c r="M80" s="97" t="s">
        <v>334</v>
      </c>
      <c r="N80" s="97"/>
      <c r="O80" s="97"/>
      <c r="P80" s="324" t="s">
        <v>36</v>
      </c>
      <c r="Q80" s="289" t="s">
        <v>36</v>
      </c>
      <c r="R80" s="323" t="s">
        <v>36</v>
      </c>
      <c r="S80" t="s">
        <v>331</v>
      </c>
      <c r="V80" s="324" t="s">
        <v>36</v>
      </c>
      <c r="W80" s="289" t="s">
        <v>36</v>
      </c>
      <c r="X80" s="323" t="s">
        <v>36</v>
      </c>
      <c r="Y80" t="s">
        <v>424</v>
      </c>
      <c r="AB80" s="324" t="s">
        <v>36</v>
      </c>
      <c r="AC80" s="289" t="s">
        <v>36</v>
      </c>
      <c r="AD80" s="292" t="s">
        <v>36</v>
      </c>
      <c r="AE80" s="292" t="s">
        <v>36</v>
      </c>
      <c r="AF80" s="292"/>
      <c r="AG80" s="292"/>
      <c r="AH80" s="292" t="s">
        <v>36</v>
      </c>
      <c r="AI80" s="321" t="s">
        <v>36</v>
      </c>
      <c r="AJ80" s="292" t="s">
        <v>36</v>
      </c>
      <c r="AK80" s="292" t="s">
        <v>36</v>
      </c>
      <c r="AL80" s="292"/>
      <c r="AM80" s="292"/>
      <c r="AN80" s="292" t="s">
        <v>36</v>
      </c>
      <c r="AO80" s="321" t="s">
        <v>36</v>
      </c>
      <c r="AQ80" s="329"/>
      <c r="AR80" s="3"/>
      <c r="BB80" s="329"/>
      <c r="BC80" s="3"/>
      <c r="BM80" s="329"/>
      <c r="BN80" s="3"/>
    </row>
    <row r="81" spans="2:66" x14ac:dyDescent="0.35">
      <c r="B81" s="262">
        <v>22</v>
      </c>
      <c r="C81" s="263" t="str">
        <f t="shared" si="86"/>
        <v>Aircraft</v>
      </c>
      <c r="D81" s="319" t="s">
        <v>330</v>
      </c>
      <c r="E81" s="97" t="s">
        <v>331</v>
      </c>
      <c r="F81" s="347" t="s">
        <v>350</v>
      </c>
      <c r="G81" t="s">
        <v>36</v>
      </c>
      <c r="H81" t="s">
        <v>36</v>
      </c>
      <c r="I81" t="s">
        <v>36</v>
      </c>
      <c r="J81" t="s">
        <v>36</v>
      </c>
      <c r="K81" s="159" t="s">
        <v>352</v>
      </c>
      <c r="L81" s="319" t="s">
        <v>333</v>
      </c>
      <c r="M81" s="97" t="s">
        <v>334</v>
      </c>
      <c r="N81" s="97"/>
      <c r="O81" s="97"/>
      <c r="P81" s="320" t="s">
        <v>335</v>
      </c>
      <c r="Q81" s="289" t="s">
        <v>36</v>
      </c>
      <c r="R81" s="319" t="s">
        <v>333</v>
      </c>
      <c r="S81" t="s">
        <v>331</v>
      </c>
      <c r="V81" s="320" t="s">
        <v>335</v>
      </c>
      <c r="W81" s="289" t="s">
        <v>36</v>
      </c>
      <c r="X81" s="319" t="s">
        <v>333</v>
      </c>
      <c r="Y81" t="s">
        <v>424</v>
      </c>
      <c r="AB81" s="320" t="s">
        <v>335</v>
      </c>
      <c r="AC81" s="289" t="s">
        <v>36</v>
      </c>
      <c r="AD81" s="292" t="s">
        <v>36</v>
      </c>
      <c r="AE81" s="292" t="s">
        <v>36</v>
      </c>
      <c r="AF81" s="292"/>
      <c r="AG81" s="292"/>
      <c r="AH81" s="292" t="s">
        <v>36</v>
      </c>
      <c r="AI81" s="321" t="s">
        <v>36</v>
      </c>
      <c r="AJ81" s="292" t="s">
        <v>36</v>
      </c>
      <c r="AK81" s="292" t="s">
        <v>36</v>
      </c>
      <c r="AL81" s="292"/>
      <c r="AM81" s="292"/>
      <c r="AN81" s="292" t="s">
        <v>36</v>
      </c>
      <c r="AO81" s="321" t="s">
        <v>36</v>
      </c>
      <c r="AQ81" s="329"/>
      <c r="AR81" s="3"/>
      <c r="BB81" s="329"/>
      <c r="BC81" s="3"/>
      <c r="BM81" s="329"/>
      <c r="BN81" s="3"/>
    </row>
    <row r="82" spans="2:66" x14ac:dyDescent="0.35">
      <c r="B82" s="262">
        <v>23</v>
      </c>
      <c r="C82" s="263" t="str">
        <f t="shared" si="86"/>
        <v>Helicopters</v>
      </c>
      <c r="D82" s="319" t="s">
        <v>330</v>
      </c>
      <c r="E82" s="97" t="s">
        <v>331</v>
      </c>
      <c r="F82" s="347" t="s">
        <v>353</v>
      </c>
      <c r="G82" t="s">
        <v>36</v>
      </c>
      <c r="H82" t="s">
        <v>36</v>
      </c>
      <c r="I82" t="s">
        <v>36</v>
      </c>
      <c r="J82" t="s">
        <v>36</v>
      </c>
      <c r="K82" s="159" t="s">
        <v>35</v>
      </c>
      <c r="L82" s="319" t="s">
        <v>333</v>
      </c>
      <c r="M82" s="97" t="s">
        <v>334</v>
      </c>
      <c r="N82" s="97"/>
      <c r="O82" s="97"/>
      <c r="P82" s="320" t="s">
        <v>335</v>
      </c>
      <c r="Q82" s="289" t="s">
        <v>36</v>
      </c>
      <c r="R82" s="319" t="s">
        <v>333</v>
      </c>
      <c r="S82" t="s">
        <v>331</v>
      </c>
      <c r="V82" s="320" t="s">
        <v>335</v>
      </c>
      <c r="W82" s="289" t="s">
        <v>36</v>
      </c>
      <c r="X82" s="319" t="s">
        <v>333</v>
      </c>
      <c r="Y82" t="s">
        <v>424</v>
      </c>
      <c r="AB82" s="320" t="s">
        <v>335</v>
      </c>
      <c r="AC82" s="289" t="s">
        <v>36</v>
      </c>
      <c r="AD82" s="292" t="s">
        <v>36</v>
      </c>
      <c r="AE82" s="292" t="s">
        <v>36</v>
      </c>
      <c r="AF82" s="292"/>
      <c r="AG82" s="292"/>
      <c r="AH82" s="292" t="s">
        <v>36</v>
      </c>
      <c r="AI82" s="321" t="s">
        <v>36</v>
      </c>
      <c r="AJ82" s="292" t="s">
        <v>36</v>
      </c>
      <c r="AK82" s="292" t="s">
        <v>36</v>
      </c>
      <c r="AL82" s="292"/>
      <c r="AM82" s="292"/>
      <c r="AN82" s="292" t="s">
        <v>36</v>
      </c>
      <c r="AO82" s="321" t="s">
        <v>36</v>
      </c>
      <c r="AQ82" s="329"/>
      <c r="AR82" s="3"/>
      <c r="BB82" s="329"/>
      <c r="BC82" s="3"/>
      <c r="BM82" s="329"/>
      <c r="BN82" s="3"/>
    </row>
    <row r="83" spans="2:66" x14ac:dyDescent="0.35">
      <c r="B83" s="262">
        <v>24</v>
      </c>
      <c r="C83" s="263" t="str">
        <f t="shared" si="86"/>
        <v>Combat Unmanned Aerial Vehicles</v>
      </c>
      <c r="D83" s="99"/>
      <c r="E83" s="159"/>
      <c r="F83" s="159"/>
      <c r="G83" s="159"/>
      <c r="H83" s="159"/>
      <c r="I83" s="159"/>
      <c r="J83" s="159"/>
      <c r="K83" s="159" t="s">
        <v>35</v>
      </c>
      <c r="L83" s="319" t="s">
        <v>333</v>
      </c>
      <c r="M83" t="s">
        <v>35</v>
      </c>
      <c r="P83" s="320" t="s">
        <v>335</v>
      </c>
      <c r="Q83" s="289" t="s">
        <v>36</v>
      </c>
      <c r="R83" s="319" t="s">
        <v>333</v>
      </c>
      <c r="S83" t="s">
        <v>35</v>
      </c>
      <c r="V83" s="320" t="s">
        <v>335</v>
      </c>
      <c r="W83" s="289" t="s">
        <v>36</v>
      </c>
      <c r="X83" s="319" t="s">
        <v>333</v>
      </c>
      <c r="Y83" t="s">
        <v>35</v>
      </c>
      <c r="AB83" s="320" t="s">
        <v>335</v>
      </c>
      <c r="AC83" s="289" t="s">
        <v>36</v>
      </c>
      <c r="AD83" s="292" t="s">
        <v>36</v>
      </c>
      <c r="AE83" s="292" t="s">
        <v>36</v>
      </c>
      <c r="AF83" s="292"/>
      <c r="AG83" s="292"/>
      <c r="AH83" s="292" t="s">
        <v>36</v>
      </c>
      <c r="AI83" s="321" t="s">
        <v>36</v>
      </c>
      <c r="AJ83" s="292" t="s">
        <v>36</v>
      </c>
      <c r="AK83" s="292" t="s">
        <v>36</v>
      </c>
      <c r="AL83" s="292"/>
      <c r="AM83" s="292"/>
      <c r="AN83" s="292" t="s">
        <v>36</v>
      </c>
      <c r="AO83" s="321" t="s">
        <v>36</v>
      </c>
      <c r="AQ83" s="329"/>
      <c r="AR83" s="3"/>
      <c r="BB83" s="329"/>
      <c r="BC83" s="3"/>
      <c r="BM83" s="329"/>
      <c r="BN83" s="3"/>
    </row>
    <row r="84" spans="2:66" x14ac:dyDescent="0.35">
      <c r="B84" s="262">
        <v>25</v>
      </c>
      <c r="C84" s="263" t="str">
        <f t="shared" si="86"/>
        <v>Reconnaissance UAVs</v>
      </c>
      <c r="D84" s="99"/>
      <c r="E84" s="159"/>
      <c r="F84" s="159"/>
      <c r="G84" s="159"/>
      <c r="H84" s="159"/>
      <c r="I84" s="159"/>
      <c r="J84" s="159"/>
      <c r="K84" s="159" t="s">
        <v>35</v>
      </c>
      <c r="L84" s="319" t="s">
        <v>333</v>
      </c>
      <c r="M84" t="s">
        <v>35</v>
      </c>
      <c r="P84" s="320" t="s">
        <v>335</v>
      </c>
      <c r="Q84" s="289" t="s">
        <v>36</v>
      </c>
      <c r="R84" s="319" t="s">
        <v>333</v>
      </c>
      <c r="S84" t="s">
        <v>35</v>
      </c>
      <c r="V84" s="320" t="s">
        <v>335</v>
      </c>
      <c r="W84" s="289" t="s">
        <v>36</v>
      </c>
      <c r="X84" s="319" t="s">
        <v>333</v>
      </c>
      <c r="Y84" t="s">
        <v>35</v>
      </c>
      <c r="AB84" s="320" t="s">
        <v>335</v>
      </c>
      <c r="AC84" s="289" t="s">
        <v>36</v>
      </c>
      <c r="AD84" s="292" t="s">
        <v>36</v>
      </c>
      <c r="AE84" s="292" t="s">
        <v>36</v>
      </c>
      <c r="AF84" s="292"/>
      <c r="AG84" s="292"/>
      <c r="AH84" s="292" t="s">
        <v>36</v>
      </c>
      <c r="AI84" s="321" t="s">
        <v>36</v>
      </c>
      <c r="AJ84" s="292" t="s">
        <v>36</v>
      </c>
      <c r="AK84" s="292" t="s">
        <v>36</v>
      </c>
      <c r="AL84" s="292"/>
      <c r="AM84" s="292"/>
      <c r="AN84" s="292" t="s">
        <v>36</v>
      </c>
      <c r="AO84" s="321" t="s">
        <v>36</v>
      </c>
      <c r="AQ84" s="329"/>
      <c r="AR84" s="3"/>
      <c r="BB84" s="329"/>
      <c r="BC84" s="3"/>
      <c r="BM84" s="329"/>
      <c r="BN84" s="3"/>
    </row>
    <row r="85" spans="2:66" x14ac:dyDescent="0.35">
      <c r="B85" s="262">
        <v>26</v>
      </c>
      <c r="C85" s="263" t="str">
        <f t="shared" si="86"/>
        <v>Total UAVs (24 to 25)</v>
      </c>
      <c r="D85" s="287"/>
      <c r="E85" s="288"/>
      <c r="F85" s="288"/>
      <c r="G85" s="288"/>
      <c r="H85" s="288"/>
      <c r="I85" s="288"/>
      <c r="J85" s="288"/>
      <c r="K85" s="159" t="s">
        <v>35</v>
      </c>
      <c r="L85" s="323" t="s">
        <v>36</v>
      </c>
      <c r="M85" s="97" t="s">
        <v>334</v>
      </c>
      <c r="N85" s="97"/>
      <c r="O85" s="97"/>
      <c r="P85" s="324" t="s">
        <v>36</v>
      </c>
      <c r="Q85" s="289" t="s">
        <v>36</v>
      </c>
      <c r="R85" s="323" t="s">
        <v>36</v>
      </c>
      <c r="S85" t="s">
        <v>331</v>
      </c>
      <c r="V85" s="324" t="s">
        <v>36</v>
      </c>
      <c r="W85" s="289" t="s">
        <v>36</v>
      </c>
      <c r="X85" s="323" t="s">
        <v>36</v>
      </c>
      <c r="Y85" t="s">
        <v>424</v>
      </c>
      <c r="AB85" s="324" t="s">
        <v>36</v>
      </c>
      <c r="AC85" s="289" t="s">
        <v>36</v>
      </c>
      <c r="AD85" s="292" t="s">
        <v>36</v>
      </c>
      <c r="AE85" s="292" t="s">
        <v>36</v>
      </c>
      <c r="AF85" s="292"/>
      <c r="AG85" s="292"/>
      <c r="AH85" s="292" t="s">
        <v>36</v>
      </c>
      <c r="AI85" s="321" t="s">
        <v>36</v>
      </c>
      <c r="AJ85" s="292" t="s">
        <v>36</v>
      </c>
      <c r="AK85" s="292" t="s">
        <v>36</v>
      </c>
      <c r="AL85" s="292"/>
      <c r="AM85" s="292"/>
      <c r="AN85" s="292" t="s">
        <v>36</v>
      </c>
      <c r="AO85" s="321" t="s">
        <v>36</v>
      </c>
      <c r="AQ85" s="329"/>
      <c r="AR85" s="3"/>
      <c r="BB85" s="329"/>
      <c r="BC85" s="3"/>
      <c r="BM85" s="329"/>
      <c r="BN85" s="3"/>
    </row>
    <row r="86" spans="2:66" x14ac:dyDescent="0.35">
      <c r="B86" s="262">
        <v>27</v>
      </c>
      <c r="C86" s="263" t="str">
        <f t="shared" si="86"/>
        <v>Naval ships, Black Sea only</v>
      </c>
      <c r="D86" s="319" t="s">
        <v>330</v>
      </c>
      <c r="E86" s="97" t="s">
        <v>331</v>
      </c>
      <c r="F86" s="97"/>
      <c r="G86" t="s">
        <v>36</v>
      </c>
      <c r="H86" t="s">
        <v>36</v>
      </c>
      <c r="I86" t="s">
        <v>36</v>
      </c>
      <c r="J86" t="s">
        <v>36</v>
      </c>
      <c r="K86" s="159" t="s">
        <v>35</v>
      </c>
      <c r="L86" s="319" t="s">
        <v>333</v>
      </c>
      <c r="M86" s="97" t="s">
        <v>334</v>
      </c>
      <c r="N86" s="97"/>
      <c r="O86" s="97"/>
      <c r="P86" s="320" t="s">
        <v>335</v>
      </c>
      <c r="Q86" s="289" t="s">
        <v>36</v>
      </c>
      <c r="R86" s="319" t="s">
        <v>333</v>
      </c>
      <c r="S86" t="s">
        <v>331</v>
      </c>
      <c r="V86" s="320" t="s">
        <v>335</v>
      </c>
      <c r="W86" s="289" t="s">
        <v>36</v>
      </c>
      <c r="X86" s="319" t="s">
        <v>333</v>
      </c>
      <c r="Y86" t="s">
        <v>424</v>
      </c>
      <c r="AB86" s="320" t="s">
        <v>335</v>
      </c>
      <c r="AC86" s="289" t="s">
        <v>36</v>
      </c>
      <c r="AD86" s="292" t="s">
        <v>36</v>
      </c>
      <c r="AE86" s="292" t="s">
        <v>36</v>
      </c>
      <c r="AF86" s="292"/>
      <c r="AG86" s="292"/>
      <c r="AH86" s="292" t="s">
        <v>36</v>
      </c>
      <c r="AI86" s="321" t="s">
        <v>36</v>
      </c>
      <c r="AJ86" s="292" t="s">
        <v>36</v>
      </c>
      <c r="AK86" s="292" t="s">
        <v>36</v>
      </c>
      <c r="AL86" s="292"/>
      <c r="AM86" s="292"/>
      <c r="AN86" s="292" t="s">
        <v>36</v>
      </c>
      <c r="AO86" s="321" t="s">
        <v>36</v>
      </c>
      <c r="AQ86" s="329"/>
      <c r="AR86" s="3"/>
      <c r="BB86" s="329"/>
      <c r="BC86" s="3"/>
      <c r="BM86" s="329"/>
      <c r="BN86" s="3"/>
    </row>
    <row r="87" spans="2:66" x14ac:dyDescent="0.35">
      <c r="B87" s="262">
        <v>28</v>
      </c>
      <c r="C87" s="263" t="str">
        <f t="shared" si="86"/>
        <v>Submarines, Black Sea only</v>
      </c>
      <c r="D87" s="319"/>
      <c r="E87" s="97" t="s">
        <v>331</v>
      </c>
      <c r="F87" s="97"/>
      <c r="G87" t="s">
        <v>36</v>
      </c>
      <c r="H87" t="s">
        <v>36</v>
      </c>
      <c r="I87" t="s">
        <v>36</v>
      </c>
      <c r="J87" t="s">
        <v>36</v>
      </c>
      <c r="K87" s="159" t="s">
        <v>35</v>
      </c>
      <c r="L87" s="319"/>
      <c r="M87" s="97" t="s">
        <v>334</v>
      </c>
      <c r="N87" s="97"/>
      <c r="O87" s="97"/>
      <c r="P87" s="320"/>
      <c r="Q87" s="289" t="s">
        <v>35</v>
      </c>
      <c r="R87" s="319"/>
      <c r="S87" t="s">
        <v>331</v>
      </c>
      <c r="V87" s="320"/>
      <c r="W87" s="289" t="s">
        <v>35</v>
      </c>
      <c r="X87" s="319"/>
      <c r="Y87" t="s">
        <v>424</v>
      </c>
      <c r="AB87" s="320"/>
      <c r="AC87" s="289" t="s">
        <v>35</v>
      </c>
      <c r="AD87" s="292" t="s">
        <v>36</v>
      </c>
      <c r="AE87" s="292" t="s">
        <v>36</v>
      </c>
      <c r="AF87" s="292"/>
      <c r="AG87" s="292"/>
      <c r="AH87" s="292" t="s">
        <v>36</v>
      </c>
      <c r="AI87" s="321" t="s">
        <v>36</v>
      </c>
      <c r="AJ87" s="292" t="s">
        <v>36</v>
      </c>
      <c r="AK87" s="292" t="s">
        <v>36</v>
      </c>
      <c r="AL87" s="292"/>
      <c r="AM87" s="292"/>
      <c r="AN87" s="292" t="s">
        <v>36</v>
      </c>
      <c r="AO87" s="321" t="s">
        <v>36</v>
      </c>
      <c r="AQ87" s="329"/>
      <c r="AR87" s="3"/>
      <c r="BB87" s="329"/>
      <c r="BC87" s="3"/>
      <c r="BM87" s="329"/>
      <c r="BN87" s="3"/>
    </row>
    <row r="88" spans="2:66" x14ac:dyDescent="0.35">
      <c r="B88" s="262">
        <v>29</v>
      </c>
      <c r="C88" s="263" t="str">
        <f t="shared" si="86"/>
        <v>Trucks, Vehicles and Jeeps</v>
      </c>
      <c r="D88" s="287"/>
      <c r="E88" s="288"/>
      <c r="F88" s="288"/>
      <c r="H88" s="288"/>
      <c r="I88" s="288"/>
      <c r="J88" s="288"/>
      <c r="K88" s="159" t="s">
        <v>35</v>
      </c>
      <c r="L88" s="319" t="s">
        <v>333</v>
      </c>
      <c r="M88" s="97" t="s">
        <v>334</v>
      </c>
      <c r="N88" s="97"/>
      <c r="O88" s="97"/>
      <c r="P88" s="320" t="s">
        <v>335</v>
      </c>
      <c r="Q88" s="289" t="s">
        <v>36</v>
      </c>
      <c r="R88" s="319" t="s">
        <v>333</v>
      </c>
      <c r="S88" s="97" t="s">
        <v>331</v>
      </c>
      <c r="T88" s="97"/>
      <c r="U88" s="97"/>
      <c r="V88" s="320" t="s">
        <v>335</v>
      </c>
      <c r="W88" s="289" t="s">
        <v>36</v>
      </c>
      <c r="X88" s="319" t="s">
        <v>333</v>
      </c>
      <c r="Y88" s="402" t="s">
        <v>424</v>
      </c>
      <c r="Z88" s="97"/>
      <c r="AA88" s="97"/>
      <c r="AB88" s="320" t="s">
        <v>335</v>
      </c>
      <c r="AC88" s="289" t="s">
        <v>36</v>
      </c>
      <c r="AD88" s="292" t="s">
        <v>36</v>
      </c>
      <c r="AE88" s="292" t="s">
        <v>36</v>
      </c>
      <c r="AF88" s="292"/>
      <c r="AG88" s="292"/>
      <c r="AH88" s="292" t="s">
        <v>36</v>
      </c>
      <c r="AI88" s="321" t="s">
        <v>36</v>
      </c>
      <c r="AJ88" s="292" t="s">
        <v>36</v>
      </c>
      <c r="AK88" s="292" t="s">
        <v>36</v>
      </c>
      <c r="AL88" s="292"/>
      <c r="AM88" s="292"/>
      <c r="AN88" s="292" t="s">
        <v>36</v>
      </c>
      <c r="AO88" s="321" t="s">
        <v>36</v>
      </c>
      <c r="AQ88" s="329"/>
      <c r="AR88" s="3"/>
      <c r="BB88" s="329"/>
      <c r="BC88" s="3"/>
      <c r="BM88" s="329"/>
      <c r="BN88" s="3"/>
    </row>
    <row r="89" spans="2:66" x14ac:dyDescent="0.35">
      <c r="B89" s="262">
        <v>30</v>
      </c>
      <c r="C89" s="263" t="str">
        <f t="shared" si="86"/>
        <v>Total equipment losses (not 26, 29)</v>
      </c>
      <c r="D89" s="299"/>
      <c r="E89" s="300"/>
      <c r="F89" s="300"/>
      <c r="G89" s="300" t="s">
        <v>36</v>
      </c>
      <c r="H89" s="300" t="s">
        <v>36</v>
      </c>
      <c r="I89" s="300" t="s">
        <v>36</v>
      </c>
      <c r="J89" s="300" t="s">
        <v>36</v>
      </c>
      <c r="K89" s="159" t="s">
        <v>35</v>
      </c>
      <c r="L89" s="287" t="s">
        <v>36</v>
      </c>
      <c r="M89" s="288" t="s">
        <v>36</v>
      </c>
      <c r="N89" s="288"/>
      <c r="O89" s="288"/>
      <c r="P89" s="288" t="s">
        <v>36</v>
      </c>
      <c r="Q89" s="289" t="s">
        <v>36</v>
      </c>
      <c r="R89" s="287" t="s">
        <v>36</v>
      </c>
      <c r="S89" s="288" t="s">
        <v>36</v>
      </c>
      <c r="T89" s="288"/>
      <c r="U89" s="288"/>
      <c r="V89" s="288" t="s">
        <v>36</v>
      </c>
      <c r="W89" s="289" t="s">
        <v>36</v>
      </c>
      <c r="X89" s="287" t="s">
        <v>36</v>
      </c>
      <c r="Y89" s="288" t="s">
        <v>36</v>
      </c>
      <c r="Z89" s="288"/>
      <c r="AA89" s="288"/>
      <c r="AB89" s="288" t="s">
        <v>36</v>
      </c>
      <c r="AC89" s="289" t="s">
        <v>36</v>
      </c>
      <c r="AD89" s="292" t="s">
        <v>36</v>
      </c>
      <c r="AE89" s="292" t="s">
        <v>36</v>
      </c>
      <c r="AF89" s="292"/>
      <c r="AG89" s="292"/>
      <c r="AH89" s="292" t="s">
        <v>36</v>
      </c>
      <c r="AI89" s="321" t="s">
        <v>36</v>
      </c>
      <c r="AJ89" s="292" t="s">
        <v>36</v>
      </c>
      <c r="AK89" s="292" t="s">
        <v>36</v>
      </c>
      <c r="AL89" s="292"/>
      <c r="AM89" s="292"/>
      <c r="AN89" s="292" t="s">
        <v>36</v>
      </c>
      <c r="AO89" s="321" t="s">
        <v>36</v>
      </c>
      <c r="AQ89" s="329"/>
      <c r="AR89" s="3"/>
      <c r="BB89" s="329"/>
      <c r="BC89" s="3"/>
      <c r="BM89" s="329"/>
      <c r="BN89" s="3"/>
    </row>
    <row r="90" spans="2:66" x14ac:dyDescent="0.35">
      <c r="B90" s="262">
        <v>31</v>
      </c>
      <c r="C90" s="263" t="str">
        <f t="shared" si="86"/>
        <v>of which destroyed</v>
      </c>
      <c r="D90" s="51"/>
      <c r="K90" s="159" t="s">
        <v>35</v>
      </c>
      <c r="L90" s="319" t="s">
        <v>333</v>
      </c>
      <c r="M90" t="s">
        <v>35</v>
      </c>
      <c r="P90" s="320" t="s">
        <v>335</v>
      </c>
      <c r="Q90" s="289" t="s">
        <v>36</v>
      </c>
      <c r="R90" s="319" t="s">
        <v>333</v>
      </c>
      <c r="S90" t="s">
        <v>35</v>
      </c>
      <c r="V90" s="320" t="s">
        <v>335</v>
      </c>
      <c r="W90" s="289" t="s">
        <v>36</v>
      </c>
      <c r="X90" s="319" t="s">
        <v>333</v>
      </c>
      <c r="Y90" t="s">
        <v>35</v>
      </c>
      <c r="AB90" s="320" t="s">
        <v>335</v>
      </c>
      <c r="AC90" s="289" t="s">
        <v>36</v>
      </c>
      <c r="AD90" s="292" t="s">
        <v>36</v>
      </c>
      <c r="AE90" s="292" t="s">
        <v>36</v>
      </c>
      <c r="AF90" s="292"/>
      <c r="AG90" s="292"/>
      <c r="AH90" s="292" t="s">
        <v>36</v>
      </c>
      <c r="AI90" s="321" t="s">
        <v>36</v>
      </c>
      <c r="AJ90" s="292" t="s">
        <v>36</v>
      </c>
      <c r="AK90" s="292" t="s">
        <v>36</v>
      </c>
      <c r="AL90" s="292"/>
      <c r="AM90" s="292"/>
      <c r="AN90" s="292" t="s">
        <v>36</v>
      </c>
      <c r="AO90" s="321" t="s">
        <v>36</v>
      </c>
      <c r="AQ90" s="329"/>
      <c r="AR90" s="3"/>
      <c r="BB90" s="329"/>
      <c r="BC90" s="3"/>
      <c r="BM90" s="329"/>
      <c r="BN90" s="3"/>
    </row>
    <row r="91" spans="2:66" x14ac:dyDescent="0.35">
      <c r="B91" s="262">
        <v>32</v>
      </c>
      <c r="C91" s="263" t="str">
        <f t="shared" si="86"/>
        <v>of which damaged</v>
      </c>
      <c r="D91" s="51"/>
      <c r="K91" s="159" t="s">
        <v>35</v>
      </c>
      <c r="L91" s="319" t="s">
        <v>333</v>
      </c>
      <c r="M91" t="s">
        <v>35</v>
      </c>
      <c r="P91" s="320" t="s">
        <v>335</v>
      </c>
      <c r="Q91" s="289" t="s">
        <v>36</v>
      </c>
      <c r="R91" s="319" t="s">
        <v>333</v>
      </c>
      <c r="S91" t="s">
        <v>35</v>
      </c>
      <c r="V91" s="320" t="s">
        <v>335</v>
      </c>
      <c r="W91" s="289" t="s">
        <v>36</v>
      </c>
      <c r="X91" s="319" t="s">
        <v>333</v>
      </c>
      <c r="Y91" t="s">
        <v>35</v>
      </c>
      <c r="AB91" s="320" t="s">
        <v>335</v>
      </c>
      <c r="AC91" s="289" t="s">
        <v>36</v>
      </c>
      <c r="AD91" s="292" t="s">
        <v>36</v>
      </c>
      <c r="AE91" s="292" t="s">
        <v>36</v>
      </c>
      <c r="AF91" s="292"/>
      <c r="AG91" s="292"/>
      <c r="AH91" s="292" t="s">
        <v>36</v>
      </c>
      <c r="AI91" s="321" t="s">
        <v>36</v>
      </c>
      <c r="AJ91" s="292" t="s">
        <v>36</v>
      </c>
      <c r="AK91" s="292" t="s">
        <v>36</v>
      </c>
      <c r="AL91" s="292"/>
      <c r="AM91" s="292"/>
      <c r="AN91" s="292" t="s">
        <v>36</v>
      </c>
      <c r="AO91" s="321" t="s">
        <v>36</v>
      </c>
      <c r="AQ91" s="329"/>
      <c r="AR91" s="3"/>
      <c r="BB91" s="329"/>
      <c r="BC91" s="3"/>
      <c r="BM91" s="329"/>
      <c r="BN91" s="3"/>
    </row>
    <row r="92" spans="2:66" x14ac:dyDescent="0.35">
      <c r="B92" s="262">
        <v>33</v>
      </c>
      <c r="C92" s="263" t="str">
        <f t="shared" si="86"/>
        <v xml:space="preserve">of which abandoned </v>
      </c>
      <c r="D92" s="51"/>
      <c r="K92" s="159" t="s">
        <v>35</v>
      </c>
      <c r="L92" s="319" t="s">
        <v>333</v>
      </c>
      <c r="M92" t="s">
        <v>35</v>
      </c>
      <c r="P92" s="320" t="s">
        <v>335</v>
      </c>
      <c r="Q92" s="289" t="s">
        <v>36</v>
      </c>
      <c r="R92" s="319" t="s">
        <v>333</v>
      </c>
      <c r="S92" t="s">
        <v>35</v>
      </c>
      <c r="V92" s="320" t="s">
        <v>335</v>
      </c>
      <c r="W92" s="289" t="s">
        <v>36</v>
      </c>
      <c r="X92" s="319" t="s">
        <v>333</v>
      </c>
      <c r="Y92" t="s">
        <v>35</v>
      </c>
      <c r="AB92" s="320" t="s">
        <v>335</v>
      </c>
      <c r="AC92" s="289" t="s">
        <v>36</v>
      </c>
      <c r="AD92" s="292" t="s">
        <v>36</v>
      </c>
      <c r="AE92" s="292" t="s">
        <v>36</v>
      </c>
      <c r="AF92" s="292"/>
      <c r="AG92" s="292"/>
      <c r="AH92" s="292" t="s">
        <v>36</v>
      </c>
      <c r="AI92" s="321" t="s">
        <v>36</v>
      </c>
      <c r="AJ92" s="292" t="s">
        <v>36</v>
      </c>
      <c r="AK92" s="292" t="s">
        <v>36</v>
      </c>
      <c r="AL92" s="292"/>
      <c r="AM92" s="292"/>
      <c r="AN92" s="292" t="s">
        <v>36</v>
      </c>
      <c r="AO92" s="321" t="s">
        <v>36</v>
      </c>
      <c r="AQ92" s="329"/>
      <c r="AR92" s="3"/>
      <c r="BB92" s="329"/>
      <c r="BC92" s="3"/>
      <c r="BM92" s="329"/>
      <c r="BN92" s="3"/>
    </row>
    <row r="93" spans="2:66" x14ac:dyDescent="0.35">
      <c r="B93" s="262">
        <v>34</v>
      </c>
      <c r="C93" s="263" t="str">
        <f t="shared" si="86"/>
        <v>of which captured</v>
      </c>
      <c r="D93" s="51"/>
      <c r="K93" s="159" t="s">
        <v>35</v>
      </c>
      <c r="L93" s="319" t="s">
        <v>333</v>
      </c>
      <c r="M93" t="s">
        <v>35</v>
      </c>
      <c r="P93" s="320" t="s">
        <v>335</v>
      </c>
      <c r="Q93" s="289" t="s">
        <v>36</v>
      </c>
      <c r="R93" s="319" t="s">
        <v>333</v>
      </c>
      <c r="S93" t="s">
        <v>35</v>
      </c>
      <c r="V93" s="320" t="s">
        <v>335</v>
      </c>
      <c r="W93" s="289" t="s">
        <v>36</v>
      </c>
      <c r="X93" s="319" t="s">
        <v>333</v>
      </c>
      <c r="Y93" t="s">
        <v>35</v>
      </c>
      <c r="AB93" s="320" t="s">
        <v>335</v>
      </c>
      <c r="AC93" s="289" t="s">
        <v>36</v>
      </c>
      <c r="AD93" s="292" t="s">
        <v>36</v>
      </c>
      <c r="AE93" s="292" t="s">
        <v>36</v>
      </c>
      <c r="AF93" s="292"/>
      <c r="AG93" s="292"/>
      <c r="AH93" s="292" t="s">
        <v>36</v>
      </c>
      <c r="AI93" s="321" t="s">
        <v>36</v>
      </c>
      <c r="AJ93" s="292" t="s">
        <v>36</v>
      </c>
      <c r="AK93" s="292" t="s">
        <v>36</v>
      </c>
      <c r="AL93" s="292"/>
      <c r="AM93" s="292"/>
      <c r="AN93" s="292" t="s">
        <v>36</v>
      </c>
      <c r="AO93" s="321" t="s">
        <v>36</v>
      </c>
      <c r="AQ93" s="329"/>
      <c r="AR93" s="3"/>
      <c r="BB93" s="329"/>
      <c r="BC93" s="3"/>
      <c r="BM93" s="329"/>
      <c r="BN93" s="3"/>
    </row>
    <row r="94" spans="2:66" x14ac:dyDescent="0.35">
      <c r="B94" s="262">
        <v>35</v>
      </c>
      <c r="C94" s="263" t="str">
        <f t="shared" si="86"/>
        <v>Killed personnel unconfirmed</v>
      </c>
      <c r="D94" s="302"/>
      <c r="E94" s="303"/>
      <c r="F94" s="303"/>
      <c r="G94" s="410" t="s">
        <v>429</v>
      </c>
      <c r="H94" s="303" t="s">
        <v>35</v>
      </c>
      <c r="I94" s="303"/>
      <c r="J94" s="303" t="s">
        <v>433</v>
      </c>
      <c r="K94" s="159" t="s">
        <v>35</v>
      </c>
      <c r="L94" s="51"/>
      <c r="M94" t="s">
        <v>334</v>
      </c>
      <c r="P94" s="304" t="s">
        <v>36</v>
      </c>
      <c r="Q94" s="301" t="s">
        <v>36</v>
      </c>
      <c r="R94" s="51"/>
      <c r="S94" s="97" t="s">
        <v>331</v>
      </c>
      <c r="T94" s="97"/>
      <c r="U94" s="97"/>
      <c r="V94" s="304" t="s">
        <v>36</v>
      </c>
      <c r="W94" s="301" t="s">
        <v>36</v>
      </c>
      <c r="X94" s="51"/>
      <c r="Y94" s="402" t="s">
        <v>424</v>
      </c>
      <c r="Z94" s="97"/>
      <c r="AA94" s="97"/>
      <c r="AB94" s="304" t="s">
        <v>36</v>
      </c>
      <c r="AC94" s="301" t="s">
        <v>36</v>
      </c>
      <c r="AD94" s="292" t="s">
        <v>36</v>
      </c>
      <c r="AE94" s="292" t="s">
        <v>36</v>
      </c>
      <c r="AF94" s="292"/>
      <c r="AG94" s="292"/>
      <c r="AH94" s="292" t="s">
        <v>36</v>
      </c>
      <c r="AI94" s="321" t="s">
        <v>36</v>
      </c>
      <c r="AJ94" s="292" t="s">
        <v>36</v>
      </c>
      <c r="AK94" s="292" t="s">
        <v>36</v>
      </c>
      <c r="AL94" s="292"/>
      <c r="AM94" s="292"/>
      <c r="AN94" s="292" t="s">
        <v>36</v>
      </c>
      <c r="AO94" s="321" t="s">
        <v>36</v>
      </c>
      <c r="AQ94" s="329"/>
      <c r="AR94" s="3"/>
      <c r="BB94" s="329"/>
      <c r="BC94" s="3"/>
      <c r="BM94" s="329"/>
      <c r="BN94" s="3"/>
    </row>
    <row r="95" spans="2:66" ht="15" thickBot="1" x14ac:dyDescent="0.4">
      <c r="B95" s="275">
        <v>36</v>
      </c>
      <c r="C95" s="276" t="str">
        <f t="shared" si="86"/>
        <v>Wounded personnel 3*killed</v>
      </c>
      <c r="D95" s="305"/>
      <c r="E95" s="306"/>
      <c r="F95" s="306"/>
      <c r="G95" s="306"/>
      <c r="H95" s="306"/>
      <c r="I95" s="306"/>
      <c r="J95" s="306"/>
      <c r="K95" s="306" t="s">
        <v>35</v>
      </c>
      <c r="L95" s="17"/>
      <c r="M95" s="307" t="s">
        <v>36</v>
      </c>
      <c r="N95" s="307"/>
      <c r="O95" s="307"/>
      <c r="P95" s="307" t="s">
        <v>36</v>
      </c>
      <c r="Q95" s="308" t="s">
        <v>36</v>
      </c>
      <c r="R95" s="17"/>
      <c r="S95" s="307" t="s">
        <v>36</v>
      </c>
      <c r="T95" s="307"/>
      <c r="U95" s="307"/>
      <c r="V95" s="307" t="s">
        <v>36</v>
      </c>
      <c r="W95" s="308" t="s">
        <v>36</v>
      </c>
      <c r="X95" s="17"/>
      <c r="Y95" s="307" t="s">
        <v>36</v>
      </c>
      <c r="Z95" s="307"/>
      <c r="AA95" s="307"/>
      <c r="AB95" s="307" t="s">
        <v>36</v>
      </c>
      <c r="AC95" s="308" t="s">
        <v>36</v>
      </c>
      <c r="AD95" s="325" t="s">
        <v>36</v>
      </c>
      <c r="AE95" s="325" t="s">
        <v>36</v>
      </c>
      <c r="AF95" s="325"/>
      <c r="AG95" s="325"/>
      <c r="AH95" s="325" t="s">
        <v>36</v>
      </c>
      <c r="AI95" s="326" t="s">
        <v>36</v>
      </c>
      <c r="AJ95" s="325" t="s">
        <v>36</v>
      </c>
      <c r="AK95" s="325" t="s">
        <v>36</v>
      </c>
      <c r="AL95" s="325"/>
      <c r="AM95" s="325"/>
      <c r="AN95" s="325" t="s">
        <v>36</v>
      </c>
      <c r="AO95" s="326" t="s">
        <v>36</v>
      </c>
      <c r="AQ95" s="329"/>
      <c r="AR95" s="3"/>
      <c r="BB95" s="329"/>
      <c r="BC95" s="3"/>
      <c r="BM95" s="329"/>
      <c r="BN95" s="3"/>
    </row>
    <row r="96" spans="2:66" ht="15" thickTop="1" x14ac:dyDescent="0.35"/>
  </sheetData>
  <phoneticPr fontId="8" type="noConversion"/>
  <hyperlinks>
    <hyperlink ref="K59" r:id="rId1" xr:uid="{B9B57CCE-2875-4768-8156-0089A234DCFB}"/>
    <hyperlink ref="M68" r:id="rId2" xr:uid="{E87F7286-546C-4F38-AA24-63ACFA46EFCC}"/>
    <hyperlink ref="M81" r:id="rId3" xr:uid="{575A91C1-C1D9-4118-B983-F6182EF1FF6D}"/>
    <hyperlink ref="M85" r:id="rId4" xr:uid="{D68CBC53-6D33-4144-A8CA-6261BED34E38}"/>
    <hyperlink ref="M88" r:id="rId5" xr:uid="{E19A5AF1-371C-4ABE-B513-7ED6880ECEC4}"/>
    <hyperlink ref="D59" r:id="rId6" xr:uid="{ACA723BF-D62E-4825-97D0-DF32401F02E2}"/>
    <hyperlink ref="D67" r:id="rId7" xr:uid="{28A63A6A-7F72-4635-81FD-A8F646AFBC56}"/>
    <hyperlink ref="D74" r:id="rId8" xr:uid="{408303E7-B8AE-46EB-9564-74ADDDA1ABA7}"/>
    <hyperlink ref="D81" r:id="rId9" xr:uid="{69AF64A2-50E7-43B1-851E-207D2CC3C952}"/>
    <hyperlink ref="D82" r:id="rId10" xr:uid="{3C60B25A-D847-4657-832E-D1036425D18C}"/>
    <hyperlink ref="D86" r:id="rId11" xr:uid="{79A726DB-03DB-48FB-816E-C90BBC908610}"/>
    <hyperlink ref="M82" r:id="rId12" xr:uid="{3417522B-219E-4E63-B807-5BC3B27F389E}"/>
    <hyperlink ref="M86" r:id="rId13" xr:uid="{7114F660-726E-4DE4-B4BB-2808D5D48A06}"/>
    <hyperlink ref="M87" r:id="rId14" xr:uid="{6CF916A4-753C-41CB-9E37-2247BA77F0F4}"/>
    <hyperlink ref="E74" r:id="rId15" xr:uid="{4E67DC99-F10A-4A79-8D1B-FBD5D8CBFDD4}"/>
    <hyperlink ref="E80" r:id="rId16" xr:uid="{FF2420AA-C512-4924-88F4-9B6B1E41370D}"/>
    <hyperlink ref="E81" r:id="rId17" xr:uid="{CE901201-C4E0-446D-ABC7-BB4D60F6E3AC}"/>
    <hyperlink ref="E82" r:id="rId18" xr:uid="{3B7A51D9-2DD3-477C-903B-AC4CA6F01009}"/>
    <hyperlink ref="E86" r:id="rId19" xr:uid="{5091066F-9D08-4C57-8552-FEB82F562437}"/>
    <hyperlink ref="E87" r:id="rId20" xr:uid="{A6166CF9-FAEF-460C-98EF-D63E0A6E8C45}"/>
    <hyperlink ref="L61" r:id="rId21" xr:uid="{0E328F2E-0B77-4FCB-91C4-B4A75FE2F068}"/>
    <hyperlink ref="L60" r:id="rId22" xr:uid="{7064D59A-F8CA-4F21-87E9-9A982A7FC417}"/>
    <hyperlink ref="P60" r:id="rId23" xr:uid="{56AF8D65-BDC2-47AA-998B-FE252EC2A7C2}"/>
    <hyperlink ref="M80" r:id="rId24" xr:uid="{8D949DA2-970E-426D-970A-BDE0B100E5D6}"/>
    <hyperlink ref="R61" r:id="rId25" xr:uid="{D5E5672B-B4C8-407A-8107-77BCB8D612C9}"/>
    <hyperlink ref="R60" r:id="rId26" xr:uid="{8ABA3F06-7CA6-470B-8E8C-EFE0B686C8BA}"/>
    <hyperlink ref="S88" r:id="rId27" xr:uid="{277CCF04-6C43-42F3-B5CD-50906A0D6E6D}"/>
    <hyperlink ref="S94" r:id="rId28" xr:uid="{60DBA349-9CED-4D72-B963-ECABA91D8E8D}"/>
    <hyperlink ref="V60" r:id="rId29" xr:uid="{A6E0D4EE-01F7-408B-9145-947250FD67E3}"/>
    <hyperlink ref="R59" r:id="rId30" xr:uid="{22AD3E53-A5F9-4A2D-B364-574D3B665D1B}"/>
    <hyperlink ref="V59" r:id="rId31" xr:uid="{FF992564-50AC-4FFD-B9F5-DFB1366A42F7}"/>
    <hyperlink ref="S67" r:id="rId32" xr:uid="{DCD8087D-63DD-455A-8846-6018FE73CC2B}"/>
    <hyperlink ref="X61" r:id="rId33" xr:uid="{4CAFE875-096A-427C-AED4-DF0E205C215E}"/>
    <hyperlink ref="X60" r:id="rId34" xr:uid="{B4DE287F-4197-4327-8757-8548E8A149E4}"/>
    <hyperlink ref="AB60" r:id="rId35" xr:uid="{D3107472-294E-4BAA-8517-A223F95791D4}"/>
    <hyperlink ref="X59" r:id="rId36" xr:uid="{244EA625-B8DF-4F85-8E1D-E241549BCCCB}"/>
    <hyperlink ref="AB59" r:id="rId37" xr:uid="{91F6FABA-8EAA-42E3-9C81-C05C2126BF79}"/>
    <hyperlink ref="Y88" r:id="rId38" xr:uid="{E53E3F2A-55AF-4E2D-9438-ACB6C2E33B6A}"/>
    <hyperlink ref="Y94" r:id="rId39" xr:uid="{5B1ECAD8-3755-4829-A66C-69BC16F9AD02}"/>
    <hyperlink ref="E59" r:id="rId40" xr:uid="{F63E8BA6-A0B4-42A3-856E-215B624C3620}"/>
    <hyperlink ref="M59" r:id="rId41" xr:uid="{648FF766-4C48-4C6A-9EE6-C64F81C8B0B5}"/>
    <hyperlink ref="Y59" r:id="rId42" xr:uid="{D9B15782-87B0-472C-9E06-F21A8927458F}"/>
    <hyperlink ref="G94" r:id="rId43" xr:uid="{5AB5F265-A1DC-4495-A071-980A3726D356}"/>
  </hyperlinks>
  <pageMargins left="0.7" right="0.7" top="0.75" bottom="0.75" header="0.3" footer="0.3"/>
  <pageSetup paperSize="9" orientation="portrait" verticalDpi="0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5862-BC4C-4569-B4A3-798024085564}">
  <dimension ref="A1:H14"/>
  <sheetViews>
    <sheetView workbookViewId="0">
      <selection activeCell="C8" sqref="C8:H12"/>
    </sheetView>
  </sheetViews>
  <sheetFormatPr defaultRowHeight="14.5" x14ac:dyDescent="0.35"/>
  <cols>
    <col min="3" max="3" width="14.36328125" customWidth="1"/>
    <col min="4" max="8" width="8.81640625" customWidth="1"/>
  </cols>
  <sheetData>
    <row r="1" spans="1:8" ht="28.5" x14ac:dyDescent="0.65">
      <c r="A1" s="1" t="str">
        <f>UkrWar_KillRatios!A1</f>
        <v>Ukraine War - Kill ratios for airplanes, helicopters, UAVs and anti-aircraft #51/75</v>
      </c>
    </row>
    <row r="3" spans="1:8" ht="15.5" x14ac:dyDescent="0.35">
      <c r="A3" s="241" t="s">
        <v>273</v>
      </c>
    </row>
    <row r="4" spans="1:8" ht="15.5" x14ac:dyDescent="0.35">
      <c r="A4" s="241"/>
    </row>
    <row r="8" spans="1:8" ht="21.5" thickBot="1" x14ac:dyDescent="0.55000000000000004">
      <c r="C8" s="242" t="s">
        <v>344</v>
      </c>
      <c r="D8" s="310"/>
      <c r="E8" s="310"/>
      <c r="F8" s="310"/>
      <c r="G8" s="310"/>
      <c r="H8" s="310"/>
    </row>
    <row r="9" spans="1:8" ht="15" thickTop="1" x14ac:dyDescent="0.35">
      <c r="C9" s="315" t="s">
        <v>337</v>
      </c>
      <c r="D9" s="254" t="s">
        <v>338</v>
      </c>
      <c r="E9" s="254" t="s">
        <v>283</v>
      </c>
      <c r="F9" s="254" t="s">
        <v>339</v>
      </c>
      <c r="G9" s="254" t="s">
        <v>7</v>
      </c>
      <c r="H9" s="255" t="s">
        <v>340</v>
      </c>
    </row>
    <row r="10" spans="1:8" x14ac:dyDescent="0.35">
      <c r="C10" s="51" t="s">
        <v>341</v>
      </c>
      <c r="D10" s="159">
        <f>UkrAid24Jan2022To15Jan2024!H27</f>
        <v>144.6</v>
      </c>
      <c r="E10" s="159">
        <f>UkrAid24Jan2022To15Jan2024!H28</f>
        <v>35</v>
      </c>
      <c r="F10" s="383">
        <f>D10/E10</f>
        <v>4.1314285714285717</v>
      </c>
      <c r="G10">
        <f>UkrAid24Jan2022To15Jan2024!H9</f>
        <v>335</v>
      </c>
      <c r="H10" s="171">
        <f>UkrAid24Jan2022To15Jan2024!H8</f>
        <v>448.4</v>
      </c>
    </row>
    <row r="11" spans="1:8" ht="15" thickBot="1" x14ac:dyDescent="0.4">
      <c r="C11" s="17" t="s">
        <v>342</v>
      </c>
      <c r="D11" s="160">
        <f>UkrAid24Jan2022To15Jan2024!G27</f>
        <v>2240</v>
      </c>
      <c r="E11" s="160">
        <f>UkrAid24Jan2022To15Jan2024!G28</f>
        <v>161</v>
      </c>
      <c r="F11" s="416">
        <f>D11/E11</f>
        <v>13.913043478260869</v>
      </c>
      <c r="G11" s="160">
        <f>UkrAid24Jan2022To15Jan2024!G9</f>
        <v>25440</v>
      </c>
      <c r="H11" s="169">
        <f>UkrAid24Jan2022To15Jan2024!G8</f>
        <v>19350</v>
      </c>
    </row>
    <row r="12" spans="1:8" ht="15" thickTop="1" x14ac:dyDescent="0.35">
      <c r="C12" s="373" t="s">
        <v>363</v>
      </c>
      <c r="D12" s="19"/>
      <c r="E12" s="49"/>
      <c r="F12" s="49"/>
      <c r="G12" s="19"/>
      <c r="H12" s="19"/>
    </row>
    <row r="13" spans="1:8" x14ac:dyDescent="0.35">
      <c r="C13" t="s">
        <v>21</v>
      </c>
      <c r="E13" s="9"/>
      <c r="F13" s="9"/>
    </row>
    <row r="14" spans="1:8" x14ac:dyDescent="0.35">
      <c r="C14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UkrAid24jan2022ToOct312023</vt:lpstr>
      <vt:lpstr>UkrAid24Jan2022To15Jan2024</vt:lpstr>
      <vt:lpstr>WeaponsUKRwar</vt:lpstr>
      <vt:lpstr>UkrWar_KillRatios</vt:lpstr>
      <vt:lpstr>PopGDP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Mathiesen</dc:creator>
  <cp:lastModifiedBy>Henrik Mathiesen</cp:lastModifiedBy>
  <dcterms:created xsi:type="dcterms:W3CDTF">2015-06-05T18:19:34Z</dcterms:created>
  <dcterms:modified xsi:type="dcterms:W3CDTF">2024-08-20T17:34:27Z</dcterms:modified>
</cp:coreProperties>
</file>