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V:\8_MakingTheFutureBetter\2024\"/>
    </mc:Choice>
  </mc:AlternateContent>
  <xr:revisionPtr revIDLastSave="0" documentId="13_ncr:1_{3F27B75D-23A6-4AAA-AFA2-3A9E90A2C491}" xr6:coauthVersionLast="47" xr6:coauthVersionMax="47" xr10:uidLastSave="{00000000-0000-0000-0000-000000000000}"/>
  <bookViews>
    <workbookView xWindow="360" yWindow="900" windowWidth="37140" windowHeight="19530" tabRatio="741" activeTab="4" xr2:uid="{00000000-000D-0000-FFFF-FFFF00000000}"/>
  </bookViews>
  <sheets>
    <sheet name="UkrAid24jan2022ToOct312023" sheetId="1" r:id="rId1"/>
    <sheet name="UkrAid24Jan2022To15Jan2024" sheetId="3" r:id="rId2"/>
    <sheet name="PopGDP" sheetId="5" r:id="rId3"/>
    <sheet name="UkrWar_KillRatios" sheetId="4" r:id="rId4"/>
    <sheet name="WeaponsUKRwar" sheetId="2" r:id="rId5"/>
    <sheet name="MissileDroneTech"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2" i="2" l="1"/>
  <c r="Q175" i="2"/>
  <c r="R389" i="2"/>
  <c r="R390" i="2"/>
  <c r="A389" i="2"/>
  <c r="A390" i="2"/>
  <c r="B389" i="2"/>
  <c r="U212" i="2"/>
  <c r="T211" i="2"/>
  <c r="T212" i="2"/>
  <c r="T213" i="2"/>
  <c r="S213" i="2"/>
  <c r="V92" i="2"/>
  <c r="V122" i="2"/>
  <c r="V90" i="2"/>
  <c r="U211" i="2"/>
  <c r="V211" i="2"/>
  <c r="W211" i="2"/>
  <c r="X211" i="2"/>
  <c r="Y211" i="2"/>
  <c r="Z211" i="2"/>
  <c r="AA211" i="2"/>
  <c r="V212" i="2"/>
  <c r="W212" i="2"/>
  <c r="X212" i="2"/>
  <c r="Y212" i="2"/>
  <c r="Z212" i="2"/>
  <c r="AA212" i="2"/>
  <c r="V213" i="2"/>
  <c r="Y213" i="2"/>
  <c r="Z213" i="2"/>
  <c r="S212" i="2"/>
  <c r="S211" i="2"/>
  <c r="AH12" i="2" l="1"/>
  <c r="AJ12" i="2" s="1"/>
  <c r="B217" i="2"/>
  <c r="B309" i="2"/>
  <c r="AH103" i="2"/>
  <c r="AI103" i="2" s="1"/>
  <c r="AH104" i="2"/>
  <c r="AJ104" i="2" s="1"/>
  <c r="E104" i="2"/>
  <c r="F104" i="2"/>
  <c r="B308" i="2"/>
  <c r="AH121" i="2"/>
  <c r="AJ121" i="2" s="1"/>
  <c r="E121" i="2"/>
  <c r="F121" i="2"/>
  <c r="G121" i="2"/>
  <c r="B326" i="2"/>
  <c r="B393" i="2"/>
  <c r="AH188" i="2"/>
  <c r="AI188" i="2" s="1"/>
  <c r="D188" i="2"/>
  <c r="E188" i="2" s="1"/>
  <c r="AH189" i="2"/>
  <c r="AJ189" i="2" s="1"/>
  <c r="AH187" i="2"/>
  <c r="AI187" i="2" s="1"/>
  <c r="D187" i="2"/>
  <c r="E187" i="2" s="1"/>
  <c r="B392" i="2"/>
  <c r="L23" i="6"/>
  <c r="L24" i="6"/>
  <c r="L25" i="6"/>
  <c r="L26" i="6"/>
  <c r="L27" i="6"/>
  <c r="A23" i="6"/>
  <c r="A24" i="6"/>
  <c r="A25" i="6" s="1"/>
  <c r="A26" i="6" s="1"/>
  <c r="A27" i="6" s="1"/>
  <c r="A20" i="6"/>
  <c r="L20" i="6"/>
  <c r="L21" i="6" s="1"/>
  <c r="L22" i="6" s="1"/>
  <c r="A21" i="6"/>
  <c r="A22" i="6"/>
  <c r="L10" i="6"/>
  <c r="L11" i="6" s="1"/>
  <c r="L12" i="6" s="1"/>
  <c r="L13" i="6" s="1"/>
  <c r="L14" i="6" s="1"/>
  <c r="L15" i="6" s="1"/>
  <c r="L16" i="6" s="1"/>
  <c r="L17" i="6" s="1"/>
  <c r="L18" i="6" s="1"/>
  <c r="L19" i="6" s="1"/>
  <c r="A10" i="6"/>
  <c r="A11" i="6" s="1"/>
  <c r="A12" i="6" s="1"/>
  <c r="A13" i="6" s="1"/>
  <c r="A14" i="6" s="1"/>
  <c r="A15" i="6" s="1"/>
  <c r="A16" i="6" s="1"/>
  <c r="A17" i="6" s="1"/>
  <c r="A18" i="6" s="1"/>
  <c r="A19" i="6" s="1"/>
  <c r="A3" i="6"/>
  <c r="A2" i="6"/>
  <c r="A1" i="6"/>
  <c r="AH14" i="2"/>
  <c r="AJ14" i="2" s="1"/>
  <c r="AF14" i="2"/>
  <c r="G14" i="2"/>
  <c r="F14" i="2"/>
  <c r="E14" i="2"/>
  <c r="F97" i="2"/>
  <c r="G97" i="2"/>
  <c r="E97" i="2"/>
  <c r="AH129" i="2"/>
  <c r="AI129" i="2" s="1"/>
  <c r="R215" i="2"/>
  <c r="R216" i="2" s="1"/>
  <c r="R217" i="2" s="1"/>
  <c r="R218" i="2" s="1"/>
  <c r="R10" i="2"/>
  <c r="R11" i="2" s="1"/>
  <c r="R12" i="2" s="1"/>
  <c r="R13" i="2" s="1"/>
  <c r="AI12" i="2" l="1"/>
  <c r="R219" i="2"/>
  <c r="R220" i="2" s="1"/>
  <c r="R221" i="2" s="1"/>
  <c r="R222" i="2" s="1"/>
  <c r="R223" i="2" s="1"/>
  <c r="R224" i="2" s="1"/>
  <c r="R225" i="2" s="1"/>
  <c r="R226" i="2" s="1"/>
  <c r="R227" i="2" s="1"/>
  <c r="R228" i="2" s="1"/>
  <c r="R229" i="2" s="1"/>
  <c r="R230" i="2" s="1"/>
  <c r="R231" i="2" s="1"/>
  <c r="R232" i="2" s="1"/>
  <c r="R233" i="2" s="1"/>
  <c r="R234" i="2" s="1"/>
  <c r="R235" i="2" s="1"/>
  <c r="R236" i="2" s="1"/>
  <c r="R237" i="2" s="1"/>
  <c r="R238" i="2" s="1"/>
  <c r="R239" i="2" s="1"/>
  <c r="R240" i="2" s="1"/>
  <c r="R241" i="2" s="1"/>
  <c r="R242" i="2" s="1"/>
  <c r="R243" i="2" s="1"/>
  <c r="R244" i="2" s="1"/>
  <c r="R245" i="2" s="1"/>
  <c r="R246" i="2" s="1"/>
  <c r="R247" i="2" s="1"/>
  <c r="R248" i="2" s="1"/>
  <c r="R249" i="2" s="1"/>
  <c r="R250" i="2" s="1"/>
  <c r="R251" i="2" s="1"/>
  <c r="R252" i="2" s="1"/>
  <c r="R253" i="2" s="1"/>
  <c r="R254" i="2" s="1"/>
  <c r="R255" i="2" s="1"/>
  <c r="R256" i="2" s="1"/>
  <c r="R257" i="2" s="1"/>
  <c r="R258" i="2" s="1"/>
  <c r="R259" i="2" s="1"/>
  <c r="R260" i="2" s="1"/>
  <c r="R261" i="2" s="1"/>
  <c r="R262" i="2" s="1"/>
  <c r="R263" i="2" s="1"/>
  <c r="R264" i="2" s="1"/>
  <c r="R265" i="2" s="1"/>
  <c r="R266" i="2" s="1"/>
  <c r="R267" i="2" s="1"/>
  <c r="R268" i="2" s="1"/>
  <c r="R269" i="2" s="1"/>
  <c r="R270" i="2" s="1"/>
  <c r="R271" i="2" s="1"/>
  <c r="R272" i="2" s="1"/>
  <c r="R273" i="2" s="1"/>
  <c r="R274" i="2" s="1"/>
  <c r="R275" i="2" s="1"/>
  <c r="R276" i="2" s="1"/>
  <c r="R277" i="2" s="1"/>
  <c r="R278" i="2" s="1"/>
  <c r="R279" i="2" s="1"/>
  <c r="R280" i="2" s="1"/>
  <c r="R281" i="2" s="1"/>
  <c r="R282" i="2" s="1"/>
  <c r="R283" i="2" s="1"/>
  <c r="R284" i="2" s="1"/>
  <c r="R285" i="2" s="1"/>
  <c r="R286" i="2" s="1"/>
  <c r="R287" i="2" s="1"/>
  <c r="R288" i="2" s="1"/>
  <c r="R289" i="2" s="1"/>
  <c r="R290" i="2" s="1"/>
  <c r="R291" i="2" s="1"/>
  <c r="R292" i="2" s="1"/>
  <c r="R293" i="2" s="1"/>
  <c r="R294" i="2" s="1"/>
  <c r="R295" i="2" s="1"/>
  <c r="R296" i="2" s="1"/>
  <c r="R297" i="2" s="1"/>
  <c r="R298" i="2" s="1"/>
  <c r="R299" i="2" s="1"/>
  <c r="R300" i="2" s="1"/>
  <c r="R301" i="2" s="1"/>
  <c r="R302" i="2" s="1"/>
  <c r="R303" i="2" s="1"/>
  <c r="R304" i="2" s="1"/>
  <c r="R305" i="2" s="1"/>
  <c r="R306" i="2" s="1"/>
  <c r="R307" i="2" s="1"/>
  <c r="R308" i="2" s="1"/>
  <c r="R309" i="2" s="1"/>
  <c r="R310" i="2" s="1"/>
  <c r="R311" i="2" s="1"/>
  <c r="R312" i="2" s="1"/>
  <c r="R313" i="2" s="1"/>
  <c r="R314" i="2" s="1"/>
  <c r="R315" i="2" s="1"/>
  <c r="R316" i="2" s="1"/>
  <c r="R317" i="2" s="1"/>
  <c r="R318" i="2" s="1"/>
  <c r="R319" i="2" s="1"/>
  <c r="R320" i="2" s="1"/>
  <c r="R321" i="2" s="1"/>
  <c r="R322" i="2" s="1"/>
  <c r="R323" i="2" s="1"/>
  <c r="R324" i="2" s="1"/>
  <c r="R325" i="2" s="1"/>
  <c r="R326" i="2" s="1"/>
  <c r="R327" i="2" s="1"/>
  <c r="R328" i="2" s="1"/>
  <c r="R329" i="2" s="1"/>
  <c r="R330" i="2" s="1"/>
  <c r="R331" i="2" s="1"/>
  <c r="R332" i="2" s="1"/>
  <c r="R333" i="2" s="1"/>
  <c r="R334" i="2" s="1"/>
  <c r="R335" i="2" s="1"/>
  <c r="R336" i="2" s="1"/>
  <c r="R337" i="2" s="1"/>
  <c r="R338" i="2" s="1"/>
  <c r="R339" i="2" s="1"/>
  <c r="R340" i="2" s="1"/>
  <c r="R341" i="2" s="1"/>
  <c r="R342" i="2" s="1"/>
  <c r="R343" i="2" s="1"/>
  <c r="R344" i="2" s="1"/>
  <c r="R345" i="2" s="1"/>
  <c r="R346" i="2" s="1"/>
  <c r="R347" i="2" s="1"/>
  <c r="R348" i="2" s="1"/>
  <c r="R349" i="2" s="1"/>
  <c r="R350" i="2" s="1"/>
  <c r="R351" i="2" s="1"/>
  <c r="R352" i="2" s="1"/>
  <c r="R353" i="2" s="1"/>
  <c r="R354" i="2" s="1"/>
  <c r="R355" i="2" s="1"/>
  <c r="R356" i="2" s="1"/>
  <c r="R357" i="2" s="1"/>
  <c r="R358" i="2" s="1"/>
  <c r="R359" i="2" s="1"/>
  <c r="R360" i="2" s="1"/>
  <c r="R361" i="2" s="1"/>
  <c r="R362" i="2" s="1"/>
  <c r="R363" i="2" s="1"/>
  <c r="R364" i="2" s="1"/>
  <c r="R365" i="2" s="1"/>
  <c r="R366" i="2" s="1"/>
  <c r="R367" i="2" s="1"/>
  <c r="R368" i="2" s="1"/>
  <c r="R369" i="2" s="1"/>
  <c r="R370" i="2" s="1"/>
  <c r="R371" i="2" s="1"/>
  <c r="R372" i="2" s="1"/>
  <c r="R373" i="2" s="1"/>
  <c r="R374" i="2" s="1"/>
  <c r="R375" i="2" s="1"/>
  <c r="R376" i="2" s="1"/>
  <c r="R377" i="2" s="1"/>
  <c r="R378" i="2" s="1"/>
  <c r="R379" i="2" s="1"/>
  <c r="R380" i="2" s="1"/>
  <c r="R381" i="2" s="1"/>
  <c r="R382" i="2" s="1"/>
  <c r="R383" i="2" s="1"/>
  <c r="R384" i="2" s="1"/>
  <c r="R385" i="2" s="1"/>
  <c r="R386" i="2" s="1"/>
  <c r="R387" i="2" s="1"/>
  <c r="R388" i="2" s="1"/>
  <c r="R391" i="2" s="1"/>
  <c r="R392" i="2" s="1"/>
  <c r="AI104" i="2"/>
  <c r="AJ103" i="2"/>
  <c r="AJ187" i="2"/>
  <c r="AJ129" i="2"/>
  <c r="AI121" i="2"/>
  <c r="AO14" i="2"/>
  <c r="AL14" i="2" s="1"/>
  <c r="AJ188" i="2"/>
  <c r="AI189" i="2"/>
  <c r="R14" i="2"/>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7" i="2" s="1"/>
  <c r="R68" i="2" s="1"/>
  <c r="R69" i="2" s="1"/>
  <c r="R70" i="2" s="1"/>
  <c r="R71" i="2" s="1"/>
  <c r="R72" i="2" s="1"/>
  <c r="R73" i="2" s="1"/>
  <c r="R74" i="2" s="1"/>
  <c r="R75" i="2" s="1"/>
  <c r="R76" i="2" s="1"/>
  <c r="R77" i="2" s="1"/>
  <c r="R78" i="2" s="1"/>
  <c r="R79" i="2" s="1"/>
  <c r="R80" i="2" s="1"/>
  <c r="R81" i="2" s="1"/>
  <c r="R82" i="2" s="1"/>
  <c r="R83" i="2" s="1"/>
  <c r="R84" i="2" s="1"/>
  <c r="R85" i="2" s="1"/>
  <c r="R86" i="2" s="1"/>
  <c r="R87" i="2" s="1"/>
  <c r="R88" i="2" s="1"/>
  <c r="R89" i="2" s="1"/>
  <c r="R90" i="2" s="1"/>
  <c r="R91" i="2" s="1"/>
  <c r="R92" i="2" s="1"/>
  <c r="R93" i="2" s="1"/>
  <c r="R94" i="2" s="1"/>
  <c r="R95" i="2" s="1"/>
  <c r="R96" i="2" s="1"/>
  <c r="R97" i="2" s="1"/>
  <c r="R98" i="2" s="1"/>
  <c r="R99" i="2" s="1"/>
  <c r="R100" i="2" s="1"/>
  <c r="R101" i="2" s="1"/>
  <c r="R102" i="2" s="1"/>
  <c r="AI14" i="2"/>
  <c r="AI122" i="2"/>
  <c r="G122" i="2"/>
  <c r="F122" i="2"/>
  <c r="E122" i="2"/>
  <c r="B327" i="2"/>
  <c r="B220" i="2"/>
  <c r="E15" i="2"/>
  <c r="AH91" i="2"/>
  <c r="AI91" i="2" s="1"/>
  <c r="O91" i="2"/>
  <c r="B296" i="2"/>
  <c r="K199" i="2"/>
  <c r="D199" i="2"/>
  <c r="E199" i="2" s="1"/>
  <c r="B404" i="2"/>
  <c r="AH100" i="2"/>
  <c r="AJ100" i="2" s="1"/>
  <c r="B304" i="2"/>
  <c r="B305" i="2"/>
  <c r="E100" i="2"/>
  <c r="F100" i="2"/>
  <c r="G95" i="2"/>
  <c r="G96" i="2"/>
  <c r="AH92" i="2"/>
  <c r="AI92" i="2" s="1"/>
  <c r="B297" i="2"/>
  <c r="G92" i="2"/>
  <c r="E92" i="2"/>
  <c r="F92" i="2"/>
  <c r="B298" i="2"/>
  <c r="I40" i="3"/>
  <c r="I46" i="3"/>
  <c r="I47" i="3"/>
  <c r="I48" i="3"/>
  <c r="Q39" i="3"/>
  <c r="P39" i="3"/>
  <c r="B79" i="3"/>
  <c r="P35" i="3"/>
  <c r="Q35" i="3"/>
  <c r="E46" i="3"/>
  <c r="F46" i="3"/>
  <c r="G46" i="3"/>
  <c r="H46" i="3"/>
  <c r="J46" i="3"/>
  <c r="K46" i="3"/>
  <c r="L46" i="3"/>
  <c r="P46" i="3"/>
  <c r="D47" i="3"/>
  <c r="E47" i="3"/>
  <c r="F47" i="3"/>
  <c r="G47" i="3"/>
  <c r="H47" i="3"/>
  <c r="J47" i="3"/>
  <c r="K47" i="3"/>
  <c r="O47" i="3"/>
  <c r="P47" i="3"/>
  <c r="D48" i="3"/>
  <c r="E48" i="3"/>
  <c r="F48" i="3"/>
  <c r="G48" i="3"/>
  <c r="H48" i="3"/>
  <c r="J48" i="3"/>
  <c r="K48" i="3"/>
  <c r="L48" i="3"/>
  <c r="M48" i="3"/>
  <c r="N48" i="3"/>
  <c r="O48" i="3"/>
  <c r="P48" i="3"/>
  <c r="Q48" i="3"/>
  <c r="C47" i="3"/>
  <c r="C46" i="3"/>
  <c r="B68" i="3"/>
  <c r="B69" i="3"/>
  <c r="B70" i="3"/>
  <c r="B71" i="3"/>
  <c r="B72" i="3"/>
  <c r="B73" i="3"/>
  <c r="B74" i="3"/>
  <c r="B75" i="3"/>
  <c r="B76" i="3"/>
  <c r="B77" i="3"/>
  <c r="B78" i="3"/>
  <c r="B80" i="3"/>
  <c r="B81" i="3"/>
  <c r="B50" i="3"/>
  <c r="B51" i="3"/>
  <c r="B52" i="3"/>
  <c r="B53" i="3"/>
  <c r="B54" i="3"/>
  <c r="B55" i="3"/>
  <c r="B56" i="3"/>
  <c r="B57" i="3"/>
  <c r="B58" i="3"/>
  <c r="B59" i="3"/>
  <c r="B60" i="3"/>
  <c r="B61" i="3"/>
  <c r="B62" i="3"/>
  <c r="B63" i="3"/>
  <c r="B64" i="3"/>
  <c r="B65" i="3"/>
  <c r="B66" i="3"/>
  <c r="B67" i="3"/>
  <c r="B49" i="3"/>
  <c r="E109" i="2"/>
  <c r="F109" i="2"/>
  <c r="AF106" i="2"/>
  <c r="AF97" i="2"/>
  <c r="AF96" i="2"/>
  <c r="AF95" i="2"/>
  <c r="AF94" i="2"/>
  <c r="N108" i="2"/>
  <c r="L311" i="2"/>
  <c r="L312" i="2"/>
  <c r="AH107" i="2"/>
  <c r="AI107" i="2" s="1"/>
  <c r="AF108" i="2"/>
  <c r="AH106" i="2"/>
  <c r="AI106" i="2" s="1"/>
  <c r="L11" i="2"/>
  <c r="K11" i="2"/>
  <c r="S107" i="2"/>
  <c r="AF107" i="2"/>
  <c r="E107" i="2"/>
  <c r="F107" i="2"/>
  <c r="AF11" i="2"/>
  <c r="B312" i="2"/>
  <c r="AF73" i="2"/>
  <c r="AH3" i="2"/>
  <c r="AI3" i="2" s="1"/>
  <c r="AH4" i="2"/>
  <c r="AJ4" i="2" s="1"/>
  <c r="AH90" i="2"/>
  <c r="AI90" i="2" s="1"/>
  <c r="AH109" i="2"/>
  <c r="AI109" i="2" s="1"/>
  <c r="B289" i="2"/>
  <c r="AH84" i="2"/>
  <c r="AI84" i="2" s="1"/>
  <c r="E84" i="2"/>
  <c r="B325" i="2"/>
  <c r="AH120" i="2"/>
  <c r="AJ120" i="2" s="1"/>
  <c r="E120" i="2"/>
  <c r="F120" i="2"/>
  <c r="G120" i="2"/>
  <c r="B283" i="2"/>
  <c r="E78" i="2"/>
  <c r="F78" i="2"/>
  <c r="G78" i="2"/>
  <c r="AH78" i="2"/>
  <c r="AI78" i="2" s="1"/>
  <c r="N82" i="2"/>
  <c r="E80" i="2"/>
  <c r="E82" i="2"/>
  <c r="E83" i="2"/>
  <c r="AH80" i="2"/>
  <c r="AI80" i="2" s="1"/>
  <c r="AH81" i="2"/>
  <c r="AI81" i="2" s="1"/>
  <c r="AH82" i="2"/>
  <c r="AI82" i="2" s="1"/>
  <c r="AH83" i="2"/>
  <c r="AI83" i="2" s="1"/>
  <c r="B288" i="2"/>
  <c r="B287" i="2"/>
  <c r="B284" i="2"/>
  <c r="B285" i="2"/>
  <c r="E79" i="2"/>
  <c r="AH79" i="2"/>
  <c r="AI79" i="2" s="1"/>
  <c r="B235" i="2"/>
  <c r="AH30" i="2"/>
  <c r="AJ30" i="2" s="1"/>
  <c r="B282" i="2"/>
  <c r="F77" i="2"/>
  <c r="G77" i="2"/>
  <c r="AH77" i="2"/>
  <c r="AI77" i="2" s="1"/>
  <c r="AH76" i="2"/>
  <c r="AJ76" i="2" s="1"/>
  <c r="E76" i="2"/>
  <c r="F76" i="2"/>
  <c r="G76" i="2"/>
  <c r="B281" i="2"/>
  <c r="AH74" i="2"/>
  <c r="AI74" i="2" s="1"/>
  <c r="AH75" i="2"/>
  <c r="AI75" i="2" s="1"/>
  <c r="B273" i="2"/>
  <c r="AH68" i="2"/>
  <c r="AI68" i="2" s="1"/>
  <c r="G68" i="2"/>
  <c r="F68" i="2"/>
  <c r="B272" i="2"/>
  <c r="AH67" i="2"/>
  <c r="AJ67" i="2" s="1"/>
  <c r="G67" i="2"/>
  <c r="F67" i="2"/>
  <c r="E67" i="2"/>
  <c r="G61" i="2"/>
  <c r="AH61" i="2"/>
  <c r="AI61" i="2" s="1"/>
  <c r="B266" i="2"/>
  <c r="AH58" i="2"/>
  <c r="AI58" i="2" s="1"/>
  <c r="AH59" i="2"/>
  <c r="AI59" i="2" s="1"/>
  <c r="AH60" i="2"/>
  <c r="AI60" i="2" s="1"/>
  <c r="H60" i="2"/>
  <c r="AL73" i="2"/>
  <c r="B331" i="2"/>
  <c r="B269" i="2"/>
  <c r="AH65" i="2"/>
  <c r="D36" i="1"/>
  <c r="E36" i="1"/>
  <c r="F36" i="1"/>
  <c r="G36" i="1"/>
  <c r="H36" i="1"/>
  <c r="I36" i="1"/>
  <c r="J36" i="1"/>
  <c r="K36" i="1"/>
  <c r="D37" i="1"/>
  <c r="E37" i="1"/>
  <c r="F37" i="1"/>
  <c r="G37" i="1"/>
  <c r="H37" i="1"/>
  <c r="I37" i="1"/>
  <c r="J37" i="1"/>
  <c r="K37" i="1"/>
  <c r="C37" i="1"/>
  <c r="C36" i="1"/>
  <c r="AH51" i="2"/>
  <c r="AI51" i="2" s="1"/>
  <c r="AH52" i="2"/>
  <c r="AI52" i="2" s="1"/>
  <c r="AH147" i="2"/>
  <c r="AJ147" i="2" s="1"/>
  <c r="AH148" i="2"/>
  <c r="AJ148" i="2" s="1"/>
  <c r="AH150" i="2"/>
  <c r="AI150" i="2" s="1"/>
  <c r="AH152" i="2"/>
  <c r="AI152" i="2" s="1"/>
  <c r="AH153" i="2"/>
  <c r="AI153" i="2" s="1"/>
  <c r="AH154" i="2"/>
  <c r="AI154" i="2" s="1"/>
  <c r="AH25" i="2"/>
  <c r="AI25" i="2" s="1"/>
  <c r="AH26" i="2"/>
  <c r="AI26" i="2" s="1"/>
  <c r="AH27" i="2"/>
  <c r="AI27" i="2" s="1"/>
  <c r="AH28" i="2"/>
  <c r="AI28" i="2" s="1"/>
  <c r="AH29" i="2"/>
  <c r="AI29" i="2" s="1"/>
  <c r="AH31" i="2"/>
  <c r="AI31" i="2" s="1"/>
  <c r="AH32" i="2"/>
  <c r="AI32" i="2" s="1"/>
  <c r="AH33" i="2"/>
  <c r="AI33" i="2" s="1"/>
  <c r="AH37" i="2"/>
  <c r="AJ37" i="2" s="1"/>
  <c r="AH39" i="2"/>
  <c r="AI39" i="2" s="1"/>
  <c r="AH119" i="2"/>
  <c r="AJ119" i="2" s="1"/>
  <c r="AH126" i="2"/>
  <c r="AI126" i="2" s="1"/>
  <c r="AH127" i="2"/>
  <c r="AI127" i="2" s="1"/>
  <c r="AH128" i="2"/>
  <c r="AI128" i="2" s="1"/>
  <c r="AH130" i="2"/>
  <c r="AI130" i="2" s="1"/>
  <c r="G126" i="2"/>
  <c r="F126" i="2"/>
  <c r="E126" i="2"/>
  <c r="B106" i="2"/>
  <c r="B311" i="2" s="1"/>
  <c r="C106" i="2"/>
  <c r="G106" i="2"/>
  <c r="H106" i="2"/>
  <c r="I106" i="2"/>
  <c r="J106" i="2"/>
  <c r="O106" i="2"/>
  <c r="S106" i="2"/>
  <c r="B302" i="2"/>
  <c r="D403" i="2"/>
  <c r="D402" i="2"/>
  <c r="G73" i="2"/>
  <c r="F73" i="2"/>
  <c r="E73" i="2"/>
  <c r="AH73" i="2"/>
  <c r="AI73" i="2" s="1"/>
  <c r="B278" i="2"/>
  <c r="J196" i="2"/>
  <c r="I196" i="2"/>
  <c r="H196" i="2"/>
  <c r="E195" i="2"/>
  <c r="B403" i="2"/>
  <c r="AH196" i="2"/>
  <c r="AI196" i="2" s="1"/>
  <c r="AH195" i="2"/>
  <c r="AJ195" i="2" s="1"/>
  <c r="B400" i="2"/>
  <c r="B401" i="2"/>
  <c r="B402" i="2"/>
  <c r="AH105" i="2"/>
  <c r="AI105" i="2" s="1"/>
  <c r="B314" i="2"/>
  <c r="B303" i="2"/>
  <c r="B342" i="2"/>
  <c r="B371" i="2"/>
  <c r="K165" i="2"/>
  <c r="K164" i="2"/>
  <c r="AH164" i="2" s="1"/>
  <c r="AH96" i="2"/>
  <c r="AI96" i="2" s="1"/>
  <c r="B369" i="2"/>
  <c r="AC81" i="2"/>
  <c r="B313" i="2"/>
  <c r="AH13" i="2"/>
  <c r="AI13" i="2" s="1"/>
  <c r="AH10" i="2"/>
  <c r="AI10" i="2" s="1"/>
  <c r="AH108" i="2"/>
  <c r="F108" i="2"/>
  <c r="B301" i="2"/>
  <c r="B219" i="2"/>
  <c r="AC193" i="2"/>
  <c r="AC192" i="2"/>
  <c r="K201" i="2"/>
  <c r="AH201" i="2" s="1"/>
  <c r="B406" i="2"/>
  <c r="E201" i="2"/>
  <c r="B405" i="2"/>
  <c r="E200" i="2"/>
  <c r="AH194" i="2"/>
  <c r="AI194" i="2" s="1"/>
  <c r="K200" i="2"/>
  <c r="AH200" i="2" s="1"/>
  <c r="E185" i="2"/>
  <c r="D186" i="2"/>
  <c r="E186" i="2" s="1"/>
  <c r="A3" i="2"/>
  <c r="A3" i="4"/>
  <c r="B3" i="3"/>
  <c r="F6" i="2"/>
  <c r="G6" i="2" s="1"/>
  <c r="H6" i="2" s="1"/>
  <c r="I6" i="2" s="1"/>
  <c r="J6" i="2" s="1"/>
  <c r="A1" i="5"/>
  <c r="AC175" i="2"/>
  <c r="AC174" i="2"/>
  <c r="A1" i="4"/>
  <c r="A1" i="2"/>
  <c r="B1" i="3"/>
  <c r="A2" i="4"/>
  <c r="AJ92" i="2" l="1"/>
  <c r="R103" i="2"/>
  <c r="R393" i="2"/>
  <c r="R394" i="2" s="1"/>
  <c r="R395" i="2" s="1"/>
  <c r="R396" i="2" s="1"/>
  <c r="R397" i="2" s="1"/>
  <c r="R398" i="2" s="1"/>
  <c r="R399" i="2" s="1"/>
  <c r="R400" i="2" s="1"/>
  <c r="R401" i="2" s="1"/>
  <c r="R402" i="2" s="1"/>
  <c r="R403" i="2" s="1"/>
  <c r="R404" i="2" s="1"/>
  <c r="R405" i="2" s="1"/>
  <c r="R406" i="2" s="1"/>
  <c r="R407" i="2" s="1"/>
  <c r="R408" i="2" s="1"/>
  <c r="R409" i="2" s="1"/>
  <c r="R410" i="2" s="1"/>
  <c r="R411" i="2" s="1"/>
  <c r="AJ122" i="2"/>
  <c r="AJ91" i="2"/>
  <c r="AI120" i="2"/>
  <c r="AJ107" i="2"/>
  <c r="AI100" i="2"/>
  <c r="AH97" i="2"/>
  <c r="AO97" i="2" s="1"/>
  <c r="AL97" i="2" s="1"/>
  <c r="AJ90" i="2"/>
  <c r="AO107" i="2"/>
  <c r="AL107" i="2" s="1"/>
  <c r="AO106" i="2"/>
  <c r="AL106" i="2" s="1"/>
  <c r="AO108" i="2"/>
  <c r="AL108" i="2" s="1"/>
  <c r="AO96" i="2"/>
  <c r="AL96" i="2" s="1"/>
  <c r="AH11" i="2"/>
  <c r="AI11" i="2" s="1"/>
  <c r="AJ106" i="2"/>
  <c r="AJ78" i="2"/>
  <c r="AJ3" i="2"/>
  <c r="AI4" i="2"/>
  <c r="AJ84" i="2"/>
  <c r="AJ80" i="2"/>
  <c r="AJ81" i="2"/>
  <c r="AI30" i="2"/>
  <c r="AJ77" i="2"/>
  <c r="AJ83" i="2"/>
  <c r="AJ82" i="2"/>
  <c r="AI76" i="2"/>
  <c r="AJ79" i="2"/>
  <c r="AJ59" i="2"/>
  <c r="AJ58" i="2"/>
  <c r="AI67" i="2"/>
  <c r="AJ74" i="2"/>
  <c r="AJ75" i="2"/>
  <c r="AJ68" i="2"/>
  <c r="AJ61" i="2"/>
  <c r="AJ60" i="2"/>
  <c r="AI147" i="2"/>
  <c r="AJ128" i="2"/>
  <c r="AI37" i="2"/>
  <c r="AJ39" i="2"/>
  <c r="AJ32" i="2"/>
  <c r="AJ25" i="2"/>
  <c r="AI119" i="2"/>
  <c r="AJ28" i="2"/>
  <c r="AJ152" i="2"/>
  <c r="AJ127" i="2"/>
  <c r="AJ27" i="2"/>
  <c r="AJ26" i="2"/>
  <c r="AJ130" i="2"/>
  <c r="AI148" i="2"/>
  <c r="AJ31" i="2"/>
  <c r="AJ154" i="2"/>
  <c r="AJ153" i="2"/>
  <c r="AJ52" i="2"/>
  <c r="AJ51" i="2"/>
  <c r="AJ150" i="2"/>
  <c r="AJ33" i="2"/>
  <c r="AJ29" i="2"/>
  <c r="AJ126" i="2"/>
  <c r="AJ73" i="2"/>
  <c r="AJ196" i="2"/>
  <c r="AI195" i="2"/>
  <c r="AJ109" i="2"/>
  <c r="AJ105" i="2"/>
  <c r="AI164" i="2"/>
  <c r="AJ164" i="2"/>
  <c r="AJ96" i="2"/>
  <c r="AJ194" i="2"/>
  <c r="AI108" i="2"/>
  <c r="AJ108" i="2"/>
  <c r="E108" i="2"/>
  <c r="AJ10" i="2"/>
  <c r="AJ13" i="2"/>
  <c r="AC194" i="2"/>
  <c r="AI201" i="2"/>
  <c r="AJ201" i="2"/>
  <c r="AJ200" i="2"/>
  <c r="AI200" i="2"/>
  <c r="A2" i="2"/>
  <c r="A2" i="5"/>
  <c r="B2" i="3"/>
  <c r="R104" i="2" l="1"/>
  <c r="R105" i="2" s="1"/>
  <c r="R106" i="2" s="1"/>
  <c r="R107" i="2" s="1"/>
  <c r="R108" i="2" s="1"/>
  <c r="R109" i="2" s="1"/>
  <c r="R110" i="2" s="1"/>
  <c r="R111" i="2" s="1"/>
  <c r="R112" i="2" s="1"/>
  <c r="R113" i="2" s="1"/>
  <c r="R114" i="2" s="1"/>
  <c r="R115" i="2" s="1"/>
  <c r="R116" i="2" s="1"/>
  <c r="R117" i="2" s="1"/>
  <c r="R118" i="2" s="1"/>
  <c r="R119" i="2" s="1"/>
  <c r="R120" i="2" s="1"/>
  <c r="R121" i="2" s="1"/>
  <c r="R122" i="2" s="1"/>
  <c r="R123" i="2" s="1"/>
  <c r="R124" i="2" s="1"/>
  <c r="R125" i="2" s="1"/>
  <c r="R126" i="2" s="1"/>
  <c r="R127" i="2" s="1"/>
  <c r="R128" i="2" s="1"/>
  <c r="R129" i="2" s="1"/>
  <c r="R130" i="2" s="1"/>
  <c r="R131" i="2" s="1"/>
  <c r="R132" i="2" s="1"/>
  <c r="R133" i="2" s="1"/>
  <c r="R134" i="2" s="1"/>
  <c r="R135" i="2" s="1"/>
  <c r="R136" i="2" s="1"/>
  <c r="R137" i="2" s="1"/>
  <c r="R138" i="2" s="1"/>
  <c r="R139" i="2" s="1"/>
  <c r="R140" i="2" s="1"/>
  <c r="R141" i="2" s="1"/>
  <c r="R142" i="2" s="1"/>
  <c r="R143" i="2" s="1"/>
  <c r="R144" i="2" s="1"/>
  <c r="R145" i="2" s="1"/>
  <c r="R146" i="2" s="1"/>
  <c r="R147" i="2" s="1"/>
  <c r="R148" i="2" s="1"/>
  <c r="R149" i="2" s="1"/>
  <c r="R150" i="2" s="1"/>
  <c r="R151" i="2" s="1"/>
  <c r="R152" i="2" s="1"/>
  <c r="R153" i="2" s="1"/>
  <c r="R154" i="2" s="1"/>
  <c r="R155" i="2" s="1"/>
  <c r="R156" i="2" s="1"/>
  <c r="R157" i="2" s="1"/>
  <c r="R158" i="2" s="1"/>
  <c r="R159" i="2" s="1"/>
  <c r="R160" i="2" s="1"/>
  <c r="R161" i="2" s="1"/>
  <c r="R162" i="2" s="1"/>
  <c r="R163" i="2" s="1"/>
  <c r="R164" i="2" s="1"/>
  <c r="R165" i="2" s="1"/>
  <c r="R166" i="2" s="1"/>
  <c r="R167" i="2" s="1"/>
  <c r="R168" i="2" s="1"/>
  <c r="R169" i="2" s="1"/>
  <c r="R170" i="2" s="1"/>
  <c r="R171" i="2" s="1"/>
  <c r="R172" i="2" s="1"/>
  <c r="R173" i="2" s="1"/>
  <c r="R174" i="2" s="1"/>
  <c r="R175" i="2" s="1"/>
  <c r="R176" i="2" s="1"/>
  <c r="R177" i="2" s="1"/>
  <c r="R178" i="2" s="1"/>
  <c r="R179" i="2" s="1"/>
  <c r="R180" i="2" s="1"/>
  <c r="R181" i="2" s="1"/>
  <c r="R182" i="2" s="1"/>
  <c r="R183" i="2" s="1"/>
  <c r="AJ97" i="2"/>
  <c r="AI97" i="2"/>
  <c r="AJ11" i="2"/>
  <c r="E96" i="2"/>
  <c r="F96" i="2"/>
  <c r="R184" i="2" l="1"/>
  <c r="R185" i="2" s="1"/>
  <c r="R186" i="2" s="1"/>
  <c r="R187" i="2" s="1"/>
  <c r="R188" i="2" s="1"/>
  <c r="R189" i="2" s="1"/>
  <c r="R190" i="2" s="1"/>
  <c r="R191" i="2" s="1"/>
  <c r="R192" i="2" s="1"/>
  <c r="R193" i="2" s="1"/>
  <c r="R194" i="2" s="1"/>
  <c r="R195" i="2" s="1"/>
  <c r="R196" i="2" s="1"/>
  <c r="R197" i="2" s="1"/>
  <c r="R198" i="2" s="1"/>
  <c r="R199" i="2" s="1"/>
  <c r="R200" i="2" s="1"/>
  <c r="R201" i="2" s="1"/>
  <c r="R202" i="2" s="1"/>
  <c r="R203" i="2" s="1"/>
  <c r="R204" i="2" s="1"/>
  <c r="R205" i="2" s="1"/>
  <c r="R206" i="2" s="1"/>
  <c r="Q212" i="2"/>
  <c r="Q211" i="2"/>
  <c r="AH186" i="2"/>
  <c r="AI186" i="2" s="1"/>
  <c r="B391" i="2"/>
  <c r="B394" i="2"/>
  <c r="K168" i="2"/>
  <c r="AH168" i="2" s="1"/>
  <c r="B373" i="2"/>
  <c r="P212" i="2"/>
  <c r="P211" i="2"/>
  <c r="K171" i="2"/>
  <c r="AH171" i="2" s="1"/>
  <c r="B376" i="2"/>
  <c r="K167" i="2"/>
  <c r="AH167" i="2" s="1"/>
  <c r="AI167" i="2" s="1"/>
  <c r="K169" i="2"/>
  <c r="AH169" i="2" s="1"/>
  <c r="B374" i="2"/>
  <c r="E181" i="2"/>
  <c r="AH180" i="2"/>
  <c r="AJ180" i="2" s="1"/>
  <c r="AH181" i="2"/>
  <c r="AI181" i="2" s="1"/>
  <c r="B385" i="2"/>
  <c r="B386" i="2"/>
  <c r="D180" i="2"/>
  <c r="E180" i="2" s="1"/>
  <c r="AH179" i="2"/>
  <c r="AI179" i="2" s="1"/>
  <c r="E179" i="2"/>
  <c r="B384" i="2"/>
  <c r="K170" i="2"/>
  <c r="AH170" i="2" s="1"/>
  <c r="B375" i="2"/>
  <c r="B395" i="2"/>
  <c r="K190" i="2"/>
  <c r="AH190" i="2" s="1"/>
  <c r="AI190" i="2" s="1"/>
  <c r="AH185" i="2"/>
  <c r="AI185" i="2" s="1"/>
  <c r="K172" i="2"/>
  <c r="AH172" i="2" s="1"/>
  <c r="B377" i="2"/>
  <c r="AH183" i="2"/>
  <c r="AI183" i="2" s="1"/>
  <c r="D183" i="2"/>
  <c r="E183" i="2" s="1"/>
  <c r="B388" i="2"/>
  <c r="E182" i="2"/>
  <c r="AH182" i="2"/>
  <c r="AI182" i="2" s="1"/>
  <c r="B387" i="2"/>
  <c r="B344" i="2"/>
  <c r="B361" i="2"/>
  <c r="B233" i="2"/>
  <c r="E28" i="2"/>
  <c r="F28" i="2"/>
  <c r="AH132" i="2"/>
  <c r="AJ132" i="2" s="1"/>
  <c r="AH131" i="2"/>
  <c r="AJ131" i="2" s="1"/>
  <c r="E132" i="2"/>
  <c r="B337" i="2"/>
  <c r="AH85" i="2"/>
  <c r="AI85" i="2" s="1"/>
  <c r="AH165" i="2"/>
  <c r="AI165" i="2" s="1"/>
  <c r="E81" i="2"/>
  <c r="B275" i="2"/>
  <c r="B262" i="2"/>
  <c r="N161" i="2"/>
  <c r="L161" i="2"/>
  <c r="AH161" i="2" s="1"/>
  <c r="AI161" i="2" s="1"/>
  <c r="B366" i="2"/>
  <c r="E161" i="2"/>
  <c r="F161" i="2"/>
  <c r="G161" i="2"/>
  <c r="AH160" i="2"/>
  <c r="AI160" i="2" s="1"/>
  <c r="B365" i="2"/>
  <c r="E160" i="2"/>
  <c r="F160" i="2"/>
  <c r="G160" i="2"/>
  <c r="U252" i="2"/>
  <c r="U253" i="2"/>
  <c r="U251" i="2"/>
  <c r="B252" i="2"/>
  <c r="B253" i="2"/>
  <c r="F47" i="2"/>
  <c r="G47" i="2"/>
  <c r="F48" i="2"/>
  <c r="G48" i="2"/>
  <c r="AH48" i="2"/>
  <c r="AI48" i="2" s="1"/>
  <c r="AH47" i="2"/>
  <c r="AI47" i="2" s="1"/>
  <c r="AH46" i="2"/>
  <c r="AJ46" i="2" s="1"/>
  <c r="F46" i="2"/>
  <c r="G46" i="2"/>
  <c r="B251" i="2"/>
  <c r="B286" i="2"/>
  <c r="B290" i="2"/>
  <c r="AH95" i="2"/>
  <c r="AO95" i="2" s="1"/>
  <c r="AL95" i="2" s="1"/>
  <c r="AH94" i="2"/>
  <c r="AO94" i="2" s="1"/>
  <c r="AL94" i="2" s="1"/>
  <c r="B300" i="2"/>
  <c r="E95" i="2"/>
  <c r="F95" i="2"/>
  <c r="G94" i="2"/>
  <c r="E94" i="2"/>
  <c r="F94" i="2"/>
  <c r="B299" i="2"/>
  <c r="B370" i="2"/>
  <c r="E165" i="2"/>
  <c r="E191" i="2"/>
  <c r="E194" i="2"/>
  <c r="G193" i="2"/>
  <c r="F193" i="2"/>
  <c r="E193" i="2"/>
  <c r="G192" i="2"/>
  <c r="F192" i="2"/>
  <c r="E192" i="2"/>
  <c r="AH193" i="2"/>
  <c r="AI193" i="2" s="1"/>
  <c r="B397" i="2"/>
  <c r="B398" i="2"/>
  <c r="AH192" i="2"/>
  <c r="AJ192" i="2" s="1"/>
  <c r="B399" i="2"/>
  <c r="B396" i="2"/>
  <c r="E190" i="2"/>
  <c r="B390" i="2"/>
  <c r="K163" i="2"/>
  <c r="AH163" i="2" s="1"/>
  <c r="B368" i="2"/>
  <c r="B372" i="2"/>
  <c r="AH178" i="2"/>
  <c r="AJ178" i="2" s="1"/>
  <c r="B383" i="2"/>
  <c r="B382" i="2"/>
  <c r="B340" i="2"/>
  <c r="B341" i="2"/>
  <c r="B293" i="2"/>
  <c r="E178" i="2"/>
  <c r="F178" i="2"/>
  <c r="AH136" i="2"/>
  <c r="AI136" i="2" s="1"/>
  <c r="G136" i="2"/>
  <c r="F136" i="2"/>
  <c r="E136" i="2"/>
  <c r="E135" i="2"/>
  <c r="AH133" i="2"/>
  <c r="AJ133" i="2" s="1"/>
  <c r="B338" i="2"/>
  <c r="B339" i="2"/>
  <c r="AH114" i="2"/>
  <c r="AI114" i="2" s="1"/>
  <c r="AH113" i="2"/>
  <c r="AI113" i="2" s="1"/>
  <c r="E113" i="2"/>
  <c r="F113" i="2"/>
  <c r="AH111" i="2"/>
  <c r="AJ111" i="2" s="1"/>
  <c r="E111" i="2"/>
  <c r="F111" i="2"/>
  <c r="B319" i="2"/>
  <c r="F114" i="2"/>
  <c r="E114" i="2"/>
  <c r="B353" i="2"/>
  <c r="B354" i="2"/>
  <c r="J148" i="2"/>
  <c r="I148" i="2"/>
  <c r="H148" i="2"/>
  <c r="J152" i="2"/>
  <c r="I152" i="2"/>
  <c r="H152" i="2"/>
  <c r="B357" i="2"/>
  <c r="AH177" i="2"/>
  <c r="AJ177" i="2" s="1"/>
  <c r="J177" i="2"/>
  <c r="I177" i="2"/>
  <c r="H177" i="2"/>
  <c r="B381" i="2"/>
  <c r="E176" i="2"/>
  <c r="F176" i="2"/>
  <c r="L176" i="2"/>
  <c r="AH176" i="2" s="1"/>
  <c r="AJ176" i="2" s="1"/>
  <c r="AH112" i="2"/>
  <c r="AI112" i="2" s="1"/>
  <c r="E112" i="2"/>
  <c r="F112" i="2"/>
  <c r="F151" i="2"/>
  <c r="E151" i="2"/>
  <c r="AH110" i="2"/>
  <c r="AJ110" i="2" s="1"/>
  <c r="E110" i="2"/>
  <c r="F110" i="2"/>
  <c r="B318" i="2"/>
  <c r="B315" i="2"/>
  <c r="B317" i="2"/>
  <c r="K173" i="2"/>
  <c r="AH173" i="2" s="1"/>
  <c r="K174" i="2"/>
  <c r="AH174" i="2" s="1"/>
  <c r="K151" i="2"/>
  <c r="AH151" i="2" s="1"/>
  <c r="B356" i="2"/>
  <c r="D175" i="2"/>
  <c r="I175" i="2" s="1"/>
  <c r="E174" i="2"/>
  <c r="F174" i="2"/>
  <c r="B379" i="2"/>
  <c r="B380" i="2"/>
  <c r="F173" i="2"/>
  <c r="E173" i="2"/>
  <c r="B378" i="2"/>
  <c r="B263" i="2"/>
  <c r="B264" i="2"/>
  <c r="B265" i="2"/>
  <c r="M66" i="2"/>
  <c r="N66" i="2"/>
  <c r="K66" i="2"/>
  <c r="AH66" i="2" s="1"/>
  <c r="AJ65" i="2"/>
  <c r="AH71" i="2"/>
  <c r="AJ71" i="2" s="1"/>
  <c r="L72" i="2"/>
  <c r="M72" i="2"/>
  <c r="N72" i="2"/>
  <c r="K72" i="2"/>
  <c r="I66" i="2"/>
  <c r="H66" i="2"/>
  <c r="I72" i="2"/>
  <c r="H72" i="2"/>
  <c r="B270" i="2"/>
  <c r="B271" i="2"/>
  <c r="B277" i="2"/>
  <c r="E149" i="2"/>
  <c r="F149" i="2"/>
  <c r="E150" i="2"/>
  <c r="F150" i="2"/>
  <c r="B355" i="2"/>
  <c r="E75" i="2"/>
  <c r="F75" i="2"/>
  <c r="G75" i="2"/>
  <c r="E105" i="2"/>
  <c r="F105" i="2"/>
  <c r="B310" i="2"/>
  <c r="D153" i="2"/>
  <c r="E153" i="2" s="1"/>
  <c r="B358" i="2"/>
  <c r="AH157" i="2"/>
  <c r="B362" i="2"/>
  <c r="G157" i="2"/>
  <c r="H157" i="2"/>
  <c r="AH159" i="2"/>
  <c r="AI159" i="2" s="1"/>
  <c r="E159" i="2"/>
  <c r="F159" i="2"/>
  <c r="G159" i="2"/>
  <c r="B364" i="2"/>
  <c r="J162" i="2"/>
  <c r="I162" i="2"/>
  <c r="H162" i="2"/>
  <c r="AH162" i="2"/>
  <c r="AI162" i="2" s="1"/>
  <c r="B367" i="2"/>
  <c r="B363" i="2"/>
  <c r="G158" i="2"/>
  <c r="F158" i="2"/>
  <c r="E158" i="2"/>
  <c r="AH158" i="2"/>
  <c r="F51" i="2"/>
  <c r="G51" i="2"/>
  <c r="B256" i="2"/>
  <c r="B254" i="2"/>
  <c r="B255" i="2"/>
  <c r="F49" i="2"/>
  <c r="G49" i="2"/>
  <c r="F50" i="2"/>
  <c r="G50" i="2"/>
  <c r="I43" i="2"/>
  <c r="F45" i="2"/>
  <c r="G45" i="2"/>
  <c r="G44" i="2"/>
  <c r="F44" i="2"/>
  <c r="B249" i="2"/>
  <c r="B250" i="2"/>
  <c r="B258" i="2"/>
  <c r="J53" i="2"/>
  <c r="I53" i="2"/>
  <c r="H53" i="2"/>
  <c r="G52" i="2"/>
  <c r="F52" i="2"/>
  <c r="E52" i="2"/>
  <c r="B257" i="2"/>
  <c r="I155" i="2"/>
  <c r="H155" i="2"/>
  <c r="G155" i="2"/>
  <c r="B360" i="2"/>
  <c r="I131" i="2"/>
  <c r="H131" i="2"/>
  <c r="G131" i="2"/>
  <c r="B336" i="2"/>
  <c r="B334" i="2"/>
  <c r="B335" i="2"/>
  <c r="G128" i="2"/>
  <c r="F128" i="2"/>
  <c r="E128" i="2"/>
  <c r="J129" i="2"/>
  <c r="I129" i="2"/>
  <c r="H129" i="2"/>
  <c r="B333" i="2"/>
  <c r="B332" i="2"/>
  <c r="B329" i="2"/>
  <c r="G124" i="2"/>
  <c r="F124" i="2"/>
  <c r="E124" i="2"/>
  <c r="E125" i="2"/>
  <c r="B330" i="2"/>
  <c r="E123" i="2"/>
  <c r="B328" i="2"/>
  <c r="B324" i="2"/>
  <c r="G119" i="2"/>
  <c r="F119" i="2"/>
  <c r="E119" i="2"/>
  <c r="B323" i="2"/>
  <c r="E118" i="2"/>
  <c r="E154" i="2"/>
  <c r="F154" i="2"/>
  <c r="B359" i="2"/>
  <c r="E90" i="2"/>
  <c r="F90" i="2"/>
  <c r="B295" i="2"/>
  <c r="H37" i="2"/>
  <c r="L101" i="2"/>
  <c r="AH101" i="2" s="1"/>
  <c r="F102" i="2"/>
  <c r="G102" i="2"/>
  <c r="F101" i="2"/>
  <c r="G101" i="2"/>
  <c r="L102" i="2"/>
  <c r="AH102" i="2" s="1"/>
  <c r="H38" i="2"/>
  <c r="F38" i="2"/>
  <c r="G38" i="2"/>
  <c r="F37" i="2"/>
  <c r="G37" i="2"/>
  <c r="H36" i="2"/>
  <c r="F36" i="2"/>
  <c r="G36" i="2"/>
  <c r="B307" i="2"/>
  <c r="B241" i="2"/>
  <c r="B242" i="2"/>
  <c r="B243" i="2"/>
  <c r="B306" i="2"/>
  <c r="E39" i="2"/>
  <c r="F39" i="2"/>
  <c r="B244" i="2"/>
  <c r="B245" i="2"/>
  <c r="B246" i="2"/>
  <c r="B247" i="2"/>
  <c r="B248" i="2"/>
  <c r="B239" i="2"/>
  <c r="B240" i="2"/>
  <c r="B230" i="2"/>
  <c r="B231" i="2"/>
  <c r="B232" i="2"/>
  <c r="B234" i="2"/>
  <c r="B236" i="2"/>
  <c r="B237" i="2"/>
  <c r="B238" i="2"/>
  <c r="B229" i="2"/>
  <c r="B228" i="2"/>
  <c r="B227" i="2"/>
  <c r="B226" i="2"/>
  <c r="AX10" i="4"/>
  <c r="O10" i="4"/>
  <c r="BU40" i="4"/>
  <c r="BR40" i="4"/>
  <c r="BU38" i="4"/>
  <c r="BR38" i="4"/>
  <c r="BU37" i="4"/>
  <c r="BR37" i="4"/>
  <c r="BU33" i="4"/>
  <c r="BR33" i="4"/>
  <c r="BU32" i="4"/>
  <c r="BR32" i="4"/>
  <c r="BU31" i="4"/>
  <c r="BR31" i="4"/>
  <c r="BU25" i="4"/>
  <c r="BR25" i="4"/>
  <c r="BU19" i="4"/>
  <c r="BR19" i="4"/>
  <c r="BU18" i="4"/>
  <c r="BR18" i="4"/>
  <c r="BU10" i="4"/>
  <c r="BR10" i="4"/>
  <c r="BU9" i="4"/>
  <c r="BU8" i="4"/>
  <c r="BU7" i="4"/>
  <c r="BR9" i="4"/>
  <c r="BR8" i="4"/>
  <c r="BR7" i="4"/>
  <c r="BI9" i="4"/>
  <c r="BI8" i="4"/>
  <c r="BI7" i="4"/>
  <c r="AX9" i="4"/>
  <c r="AX8" i="4"/>
  <c r="AX7" i="4"/>
  <c r="AM9" i="4"/>
  <c r="AM8" i="4"/>
  <c r="AM7" i="4"/>
  <c r="AG9" i="4"/>
  <c r="AG8" i="4"/>
  <c r="AG7" i="4"/>
  <c r="AA9" i="4"/>
  <c r="AA58" i="4" s="1"/>
  <c r="AA8" i="4"/>
  <c r="AA57" i="4" s="1"/>
  <c r="AA7" i="4"/>
  <c r="AA56" i="4" s="1"/>
  <c r="U9" i="4"/>
  <c r="U58" i="4" s="1"/>
  <c r="U8" i="4"/>
  <c r="U57" i="4" s="1"/>
  <c r="U7" i="4"/>
  <c r="U56" i="4" s="1"/>
  <c r="F19" i="4"/>
  <c r="G19" i="4" s="1"/>
  <c r="N56" i="4"/>
  <c r="AF56" i="4" s="1"/>
  <c r="O56" i="4"/>
  <c r="N57" i="4"/>
  <c r="AL57" i="4" s="1"/>
  <c r="O57" i="4"/>
  <c r="N58" i="4"/>
  <c r="AF58" i="4" s="1"/>
  <c r="O58" i="4"/>
  <c r="G45" i="4"/>
  <c r="BP45" i="4" s="1"/>
  <c r="Y40" i="4"/>
  <c r="AV40" i="4" s="1"/>
  <c r="S40" i="4"/>
  <c r="M40" i="4"/>
  <c r="K58" i="4"/>
  <c r="J56" i="4"/>
  <c r="J57" i="4"/>
  <c r="J58" i="4"/>
  <c r="H58" i="4"/>
  <c r="BQ7" i="4"/>
  <c r="BS7" i="4"/>
  <c r="BT7" i="4"/>
  <c r="BV7" i="4"/>
  <c r="BQ8" i="4"/>
  <c r="BS8" i="4"/>
  <c r="BT8" i="4"/>
  <c r="BV8" i="4"/>
  <c r="BO9" i="4"/>
  <c r="BP9" i="4"/>
  <c r="BQ9" i="4"/>
  <c r="BS9" i="4"/>
  <c r="BT9" i="4"/>
  <c r="BV9" i="4"/>
  <c r="BV11" i="4"/>
  <c r="BV20" i="4"/>
  <c r="BV26" i="4"/>
  <c r="BS38" i="4"/>
  <c r="BV38" i="4"/>
  <c r="BN40" i="4"/>
  <c r="BN45" i="4"/>
  <c r="BD9" i="4"/>
  <c r="BC8" i="4"/>
  <c r="AC10" i="4"/>
  <c r="AV45" i="4"/>
  <c r="AV46" i="4" s="1"/>
  <c r="AY44" i="4"/>
  <c r="AY43" i="4"/>
  <c r="AY42" i="4"/>
  <c r="AY41" i="4"/>
  <c r="AV36" i="4"/>
  <c r="AV37" i="4"/>
  <c r="AY37" i="4"/>
  <c r="AV38" i="4"/>
  <c r="AY38" i="4"/>
  <c r="AV39" i="4"/>
  <c r="AY39" i="4"/>
  <c r="AY35" i="4"/>
  <c r="AY34" i="4"/>
  <c r="AV31" i="4"/>
  <c r="AV32" i="4"/>
  <c r="AY32" i="4"/>
  <c r="AV33" i="4"/>
  <c r="AY33" i="4"/>
  <c r="AY30" i="4"/>
  <c r="AY29" i="4"/>
  <c r="AY28" i="4"/>
  <c r="AY27" i="4"/>
  <c r="AY26" i="4"/>
  <c r="AV25" i="4"/>
  <c r="AY24" i="4"/>
  <c r="AY23" i="4"/>
  <c r="AY22" i="4"/>
  <c r="AY21" i="4"/>
  <c r="AY20" i="4"/>
  <c r="AV18" i="4"/>
  <c r="AV19" i="4"/>
  <c r="AY19" i="4"/>
  <c r="AY17" i="4"/>
  <c r="AY16" i="4"/>
  <c r="AY15" i="4"/>
  <c r="AY14" i="4"/>
  <c r="AY13" i="4"/>
  <c r="AY12" i="4"/>
  <c r="AY11" i="4"/>
  <c r="AU11" i="4"/>
  <c r="AU12" i="4"/>
  <c r="AU13" i="4"/>
  <c r="AU14" i="4"/>
  <c r="AU15" i="4"/>
  <c r="AU16" i="4"/>
  <c r="AU17" i="4"/>
  <c r="AU19" i="4"/>
  <c r="AU20" i="4"/>
  <c r="AU21" i="4"/>
  <c r="AU22" i="4"/>
  <c r="AU23" i="4"/>
  <c r="AU24" i="4"/>
  <c r="AU26" i="4"/>
  <c r="AU27" i="4"/>
  <c r="AU28" i="4"/>
  <c r="AZ28" i="4" s="1"/>
  <c r="BS28" i="4" s="1"/>
  <c r="AU29" i="4"/>
  <c r="AU30" i="4"/>
  <c r="AU32" i="4"/>
  <c r="AU33" i="4"/>
  <c r="AU34" i="4"/>
  <c r="AU35" i="4"/>
  <c r="AU37" i="4"/>
  <c r="AU38" i="4"/>
  <c r="AU39" i="4"/>
  <c r="AU41" i="4"/>
  <c r="AU42" i="4"/>
  <c r="AU43" i="4"/>
  <c r="AU44" i="4"/>
  <c r="AY10" i="4"/>
  <c r="AV10" i="4"/>
  <c r="AR8" i="4"/>
  <c r="AU10" i="4"/>
  <c r="AS9" i="4"/>
  <c r="AK10" i="4"/>
  <c r="BG10" i="4" s="1"/>
  <c r="AK4" i="4"/>
  <c r="AE4" i="4"/>
  <c r="AK45" i="4"/>
  <c r="AK46" i="4" s="1"/>
  <c r="AN44" i="4"/>
  <c r="BJ44" i="4" s="1"/>
  <c r="AJ44" i="4"/>
  <c r="AN43" i="4"/>
  <c r="BJ43" i="4" s="1"/>
  <c r="AJ43" i="4"/>
  <c r="AN42" i="4"/>
  <c r="BJ42" i="4" s="1"/>
  <c r="AJ42" i="4"/>
  <c r="BF42" i="4" s="1"/>
  <c r="AN41" i="4"/>
  <c r="BJ41" i="4" s="1"/>
  <c r="AJ41" i="4"/>
  <c r="BF41" i="4" s="1"/>
  <c r="AN39" i="4"/>
  <c r="BJ39" i="4" s="1"/>
  <c r="AK39" i="4"/>
  <c r="BG39" i="4" s="1"/>
  <c r="AJ39" i="4"/>
  <c r="AN38" i="4"/>
  <c r="BJ38" i="4" s="1"/>
  <c r="AK38" i="4"/>
  <c r="BG38" i="4" s="1"/>
  <c r="AJ38" i="4"/>
  <c r="BF38" i="4" s="1"/>
  <c r="AN37" i="4"/>
  <c r="BJ37" i="4" s="1"/>
  <c r="AK37" i="4"/>
  <c r="BG37" i="4" s="1"/>
  <c r="AJ37" i="4"/>
  <c r="AO37" i="4" s="1"/>
  <c r="AK36" i="4"/>
  <c r="BG36" i="4" s="1"/>
  <c r="AN35" i="4"/>
  <c r="BJ35" i="4" s="1"/>
  <c r="AJ35" i="4"/>
  <c r="AN34" i="4"/>
  <c r="BJ34" i="4" s="1"/>
  <c r="AJ34" i="4"/>
  <c r="AN33" i="4"/>
  <c r="BJ33" i="4" s="1"/>
  <c r="AK33" i="4"/>
  <c r="BG33" i="4" s="1"/>
  <c r="AJ33" i="4"/>
  <c r="BF33" i="4" s="1"/>
  <c r="AN32" i="4"/>
  <c r="BJ32" i="4" s="1"/>
  <c r="AK32" i="4"/>
  <c r="BG32" i="4" s="1"/>
  <c r="AJ32" i="4"/>
  <c r="BF32" i="4" s="1"/>
  <c r="AK31" i="4"/>
  <c r="BG31" i="4" s="1"/>
  <c r="AN30" i="4"/>
  <c r="BJ30" i="4" s="1"/>
  <c r="AJ30" i="4"/>
  <c r="BF30" i="4" s="1"/>
  <c r="AN29" i="4"/>
  <c r="BJ29" i="4" s="1"/>
  <c r="AJ29" i="4"/>
  <c r="BF29" i="4" s="1"/>
  <c r="AN28" i="4"/>
  <c r="BJ28" i="4" s="1"/>
  <c r="AJ28" i="4"/>
  <c r="AN27" i="4"/>
  <c r="BJ27" i="4" s="1"/>
  <c r="AJ27" i="4"/>
  <c r="BF27" i="4" s="1"/>
  <c r="AN26" i="4"/>
  <c r="BJ26" i="4" s="1"/>
  <c r="AJ26" i="4"/>
  <c r="BF26" i="4" s="1"/>
  <c r="AK25" i="4"/>
  <c r="BG25" i="4" s="1"/>
  <c r="AN24" i="4"/>
  <c r="BJ24" i="4" s="1"/>
  <c r="AJ24" i="4"/>
  <c r="AO24" i="4" s="1"/>
  <c r="AN23" i="4"/>
  <c r="BJ23" i="4" s="1"/>
  <c r="AJ23" i="4"/>
  <c r="BF23" i="4" s="1"/>
  <c r="AN22" i="4"/>
  <c r="BJ22" i="4" s="1"/>
  <c r="AJ22" i="4"/>
  <c r="AN21" i="4"/>
  <c r="BJ21" i="4" s="1"/>
  <c r="AJ21" i="4"/>
  <c r="AN20" i="4"/>
  <c r="BJ20" i="4" s="1"/>
  <c r="AJ20" i="4"/>
  <c r="BF20" i="4" s="1"/>
  <c r="AN19" i="4"/>
  <c r="BJ19" i="4" s="1"/>
  <c r="AK19" i="4"/>
  <c r="BG19" i="4" s="1"/>
  <c r="AJ19" i="4"/>
  <c r="AK18" i="4"/>
  <c r="BG18" i="4" s="1"/>
  <c r="AN17" i="4"/>
  <c r="BJ17" i="4" s="1"/>
  <c r="AJ17" i="4"/>
  <c r="BF17" i="4" s="1"/>
  <c r="AN16" i="4"/>
  <c r="BJ16" i="4" s="1"/>
  <c r="AJ16" i="4"/>
  <c r="AN15" i="4"/>
  <c r="AJ15" i="4"/>
  <c r="BF15" i="4" s="1"/>
  <c r="AN14" i="4"/>
  <c r="BJ14" i="4" s="1"/>
  <c r="AJ14" i="4"/>
  <c r="BF14" i="4" s="1"/>
  <c r="AN13" i="4"/>
  <c r="BJ13" i="4" s="1"/>
  <c r="AJ13" i="4"/>
  <c r="BF13" i="4" s="1"/>
  <c r="AN12" i="4"/>
  <c r="BJ12" i="4" s="1"/>
  <c r="AJ12" i="4"/>
  <c r="AN11" i="4"/>
  <c r="BJ11" i="4" s="1"/>
  <c r="AJ11" i="4"/>
  <c r="BF11" i="4" s="1"/>
  <c r="AN10" i="4"/>
  <c r="BJ10" i="4" s="1"/>
  <c r="AJ10" i="4"/>
  <c r="AO9" i="4"/>
  <c r="AL9" i="4"/>
  <c r="AK9" i="4"/>
  <c r="AJ9" i="4"/>
  <c r="AO8" i="4"/>
  <c r="AL8" i="4"/>
  <c r="AK8" i="4"/>
  <c r="AJ8" i="4"/>
  <c r="AO7" i="4"/>
  <c r="AN7" i="4"/>
  <c r="AL7" i="4"/>
  <c r="AK7" i="4"/>
  <c r="AJ7" i="4"/>
  <c r="AH44" i="4"/>
  <c r="AH43" i="4"/>
  <c r="AH42" i="4"/>
  <c r="AH41" i="4"/>
  <c r="AH39" i="4"/>
  <c r="AH38" i="4"/>
  <c r="AH37" i="4"/>
  <c r="AH35" i="4"/>
  <c r="AH34" i="4"/>
  <c r="AH33" i="4"/>
  <c r="AH32" i="4"/>
  <c r="AH30" i="4"/>
  <c r="AH29" i="4"/>
  <c r="AH28" i="4"/>
  <c r="AH27" i="4"/>
  <c r="AH26" i="4"/>
  <c r="AH24" i="4"/>
  <c r="AH23" i="4"/>
  <c r="AH22" i="4"/>
  <c r="AH21" i="4"/>
  <c r="AH20" i="4"/>
  <c r="AH19" i="4"/>
  <c r="AH17" i="4"/>
  <c r="AH16" i="4"/>
  <c r="AH15" i="4"/>
  <c r="AH14" i="4"/>
  <c r="AH13" i="4"/>
  <c r="AH12" i="4"/>
  <c r="AH11" i="4"/>
  <c r="AH10" i="4"/>
  <c r="AE45" i="4"/>
  <c r="AE39" i="4"/>
  <c r="AE38" i="4"/>
  <c r="AE37" i="4"/>
  <c r="AE36" i="4"/>
  <c r="AE33" i="4"/>
  <c r="AE32" i="4"/>
  <c r="AE31" i="4"/>
  <c r="AE25" i="4"/>
  <c r="AE19" i="4"/>
  <c r="AE18" i="4"/>
  <c r="AE10" i="4"/>
  <c r="AD44" i="4"/>
  <c r="AD43" i="4"/>
  <c r="AD42" i="4"/>
  <c r="AD41" i="4"/>
  <c r="AD39" i="4"/>
  <c r="AD38" i="4"/>
  <c r="AD37" i="4"/>
  <c r="AD35" i="4"/>
  <c r="AD34" i="4"/>
  <c r="AD33" i="4"/>
  <c r="AD32" i="4"/>
  <c r="AD30" i="4"/>
  <c r="AD29" i="4"/>
  <c r="AD28" i="4"/>
  <c r="AD27" i="4"/>
  <c r="AD26" i="4"/>
  <c r="AD24" i="4"/>
  <c r="AD23" i="4"/>
  <c r="AD22" i="4"/>
  <c r="AD21" i="4"/>
  <c r="AD20" i="4"/>
  <c r="AD19" i="4"/>
  <c r="AD17" i="4"/>
  <c r="AD16" i="4"/>
  <c r="AD15" i="4"/>
  <c r="AD14" i="4"/>
  <c r="AD13" i="4"/>
  <c r="AD12" i="4"/>
  <c r="AD11" i="4"/>
  <c r="AD10" i="4"/>
  <c r="Y4" i="4"/>
  <c r="Z45" i="4" s="1"/>
  <c r="X55" i="4"/>
  <c r="Y46" i="4"/>
  <c r="AC44" i="4"/>
  <c r="AC43" i="4"/>
  <c r="AC42" i="4"/>
  <c r="AC41" i="4"/>
  <c r="AC39" i="4"/>
  <c r="AC37" i="4"/>
  <c r="AB36" i="4"/>
  <c r="AB49" i="4" s="1"/>
  <c r="X36" i="4"/>
  <c r="AU36" i="4" s="1"/>
  <c r="AC35" i="4"/>
  <c r="AC34" i="4"/>
  <c r="AC33" i="4"/>
  <c r="AC32" i="4"/>
  <c r="AB31" i="4"/>
  <c r="AY31" i="4" s="1"/>
  <c r="X31" i="4"/>
  <c r="AU31" i="4" s="1"/>
  <c r="AZ31" i="4" s="1"/>
  <c r="BS31" i="4" s="1"/>
  <c r="AC30" i="4"/>
  <c r="AC29" i="4"/>
  <c r="AC28" i="4"/>
  <c r="AC27" i="4"/>
  <c r="AC26" i="4"/>
  <c r="AB25" i="4"/>
  <c r="AY25" i="4" s="1"/>
  <c r="X25" i="4"/>
  <c r="AU25" i="4" s="1"/>
  <c r="AC24" i="4"/>
  <c r="AC23" i="4"/>
  <c r="AC22" i="4"/>
  <c r="AC21" i="4"/>
  <c r="AC20" i="4"/>
  <c r="AC19" i="4"/>
  <c r="AB18" i="4"/>
  <c r="AY18" i="4" s="1"/>
  <c r="X18" i="4"/>
  <c r="AU18" i="4" s="1"/>
  <c r="AC17" i="4"/>
  <c r="AC16" i="4"/>
  <c r="AC15" i="4"/>
  <c r="AC14" i="4"/>
  <c r="AC13" i="4"/>
  <c r="AC12" i="4"/>
  <c r="AC11" i="4"/>
  <c r="AC9" i="4"/>
  <c r="AC58" i="4" s="1"/>
  <c r="Z9" i="4"/>
  <c r="Z58" i="4" s="1"/>
  <c r="Y9" i="4"/>
  <c r="Y58" i="4" s="1"/>
  <c r="X9" i="4"/>
  <c r="X58" i="4" s="1"/>
  <c r="AC8" i="4"/>
  <c r="AC57" i="4" s="1"/>
  <c r="Z8" i="4"/>
  <c r="Z57" i="4" s="1"/>
  <c r="Y8" i="4"/>
  <c r="Y57" i="4" s="1"/>
  <c r="X8" i="4"/>
  <c r="X57" i="4" s="1"/>
  <c r="AC7" i="4"/>
  <c r="AC56" i="4" s="1"/>
  <c r="AB7" i="4"/>
  <c r="AB56" i="4" s="1"/>
  <c r="Z7" i="4"/>
  <c r="Z56" i="4" s="1"/>
  <c r="Y7" i="4"/>
  <c r="Y56" i="4" s="1"/>
  <c r="X7" i="4"/>
  <c r="X56" i="4" s="1"/>
  <c r="F147" i="2"/>
  <c r="E147" i="2"/>
  <c r="J31" i="2"/>
  <c r="B352" i="2"/>
  <c r="L211" i="2"/>
  <c r="M211" i="2"/>
  <c r="N211" i="2"/>
  <c r="O211" i="2"/>
  <c r="L212" i="2"/>
  <c r="M212" i="2"/>
  <c r="N212" i="2"/>
  <c r="M213" i="2"/>
  <c r="N213" i="2"/>
  <c r="K212" i="2"/>
  <c r="K211" i="2"/>
  <c r="B280" i="2"/>
  <c r="E74" i="2"/>
  <c r="F74" i="2"/>
  <c r="G74" i="2"/>
  <c r="B279" i="2"/>
  <c r="G71" i="2"/>
  <c r="F71" i="2"/>
  <c r="E71" i="2"/>
  <c r="G65" i="2"/>
  <c r="F65" i="2"/>
  <c r="E65" i="2"/>
  <c r="B276" i="2"/>
  <c r="F89" i="2"/>
  <c r="E89" i="2"/>
  <c r="B294" i="2"/>
  <c r="H41" i="2"/>
  <c r="I41" i="2"/>
  <c r="J41" i="2"/>
  <c r="H42" i="2"/>
  <c r="I42" i="2"/>
  <c r="J42" i="2"/>
  <c r="J40" i="2"/>
  <c r="I40" i="2"/>
  <c r="H40" i="2"/>
  <c r="H43" i="2"/>
  <c r="G43" i="2"/>
  <c r="B225" i="2"/>
  <c r="B216" i="2"/>
  <c r="B218" i="2"/>
  <c r="B215" i="2"/>
  <c r="A215" i="2"/>
  <c r="A216" i="2" s="1"/>
  <c r="A10" i="2"/>
  <c r="A11" i="2" s="1"/>
  <c r="BC45" i="4"/>
  <c r="AR45" i="4"/>
  <c r="BE6" i="4"/>
  <c r="BP6" i="4" s="1"/>
  <c r="BC40" i="4"/>
  <c r="M4" i="4"/>
  <c r="AR40" i="4"/>
  <c r="BE9" i="4"/>
  <c r="AT9" i="4"/>
  <c r="G58" i="4"/>
  <c r="G38" i="4"/>
  <c r="BE38" i="4" s="1"/>
  <c r="G37" i="4"/>
  <c r="AT37" i="4" s="1"/>
  <c r="G10" i="4"/>
  <c r="AT10" i="4" s="1"/>
  <c r="G8" i="4"/>
  <c r="G57" i="4" s="1"/>
  <c r="G7" i="4"/>
  <c r="G56" i="4" s="1"/>
  <c r="BH9" i="4"/>
  <c r="BH8" i="4"/>
  <c r="BH7" i="4"/>
  <c r="AW9" i="4"/>
  <c r="AW8" i="4"/>
  <c r="AW7" i="4"/>
  <c r="S4" i="4"/>
  <c r="T18" i="4" s="1"/>
  <c r="AF9" i="4"/>
  <c r="AF8" i="4"/>
  <c r="AF7" i="4"/>
  <c r="T9" i="4"/>
  <c r="T58" i="4" s="1"/>
  <c r="T8" i="4"/>
  <c r="T57" i="4" s="1"/>
  <c r="T7" i="4"/>
  <c r="T56" i="4" s="1"/>
  <c r="E9" i="4"/>
  <c r="F33" i="4"/>
  <c r="G33" i="4" s="1"/>
  <c r="AT33" i="4" s="1"/>
  <c r="F32" i="4"/>
  <c r="G32" i="4" s="1"/>
  <c r="AT32" i="4" s="1"/>
  <c r="H50" i="4"/>
  <c r="F50" i="4"/>
  <c r="F18" i="4"/>
  <c r="F25" i="4" s="1"/>
  <c r="G25" i="4" s="1"/>
  <c r="AT25" i="4" s="1"/>
  <c r="F56" i="4"/>
  <c r="H56" i="4"/>
  <c r="I56" i="4"/>
  <c r="F57" i="4"/>
  <c r="H57" i="4"/>
  <c r="I57" i="4"/>
  <c r="F58" i="4"/>
  <c r="I58" i="4"/>
  <c r="BK9" i="4"/>
  <c r="BG9" i="4"/>
  <c r="BF9" i="4"/>
  <c r="BK8" i="4"/>
  <c r="BG8" i="4"/>
  <c r="BF8" i="4"/>
  <c r="BK7" i="4"/>
  <c r="BJ7" i="4"/>
  <c r="BG7" i="4"/>
  <c r="BF7" i="4"/>
  <c r="H11" i="5"/>
  <c r="H10" i="5"/>
  <c r="G11" i="5"/>
  <c r="G10" i="5"/>
  <c r="E11" i="5"/>
  <c r="D11" i="5"/>
  <c r="E10" i="5"/>
  <c r="D10" i="5"/>
  <c r="A217" i="2" l="1"/>
  <c r="A218" i="2" s="1"/>
  <c r="A219" i="2" s="1"/>
  <c r="A220" i="2" s="1"/>
  <c r="A221" i="2" s="1"/>
  <c r="A222" i="2" s="1"/>
  <c r="A223" i="2" s="1"/>
  <c r="A224" i="2" s="1"/>
  <c r="A12" i="2"/>
  <c r="A13" i="2" s="1"/>
  <c r="A14" i="2" s="1"/>
  <c r="A15" i="2" s="1"/>
  <c r="A16" i="2" s="1"/>
  <c r="A17" i="2" s="1"/>
  <c r="A18" i="2" s="1"/>
  <c r="A19" i="2" s="1"/>
  <c r="A20" i="2" s="1"/>
  <c r="A21" i="2" s="1"/>
  <c r="A22" i="2" s="1"/>
  <c r="A23" i="2" s="1"/>
  <c r="A24" i="2" s="1"/>
  <c r="A25" i="2" s="1"/>
  <c r="A26" i="2" s="1"/>
  <c r="A27" i="2" s="1"/>
  <c r="A28" i="2" s="1"/>
  <c r="A29" i="2" s="1"/>
  <c r="F10" i="5"/>
  <c r="F11" i="5"/>
  <c r="AJ94" i="2"/>
  <c r="AI95" i="2"/>
  <c r="AI151" i="2"/>
  <c r="AJ151" i="2"/>
  <c r="AI66" i="2"/>
  <c r="AJ66" i="2"/>
  <c r="AI101" i="2"/>
  <c r="AJ101" i="2"/>
  <c r="AI102" i="2"/>
  <c r="AJ102" i="2"/>
  <c r="AI163" i="2"/>
  <c r="AJ163" i="2"/>
  <c r="J45" i="4"/>
  <c r="BO45" i="4" s="1"/>
  <c r="AJ186" i="2"/>
  <c r="AJ168" i="2"/>
  <c r="AI168" i="2"/>
  <c r="AC176" i="2"/>
  <c r="AI171" i="2"/>
  <c r="AJ171" i="2"/>
  <c r="AJ169" i="2"/>
  <c r="AI169" i="2"/>
  <c r="AI180" i="2"/>
  <c r="AJ181" i="2"/>
  <c r="AJ179" i="2"/>
  <c r="AI170" i="2"/>
  <c r="AJ170" i="2"/>
  <c r="AJ185" i="2"/>
  <c r="AJ167" i="2"/>
  <c r="AJ173" i="2"/>
  <c r="AI173" i="2"/>
  <c r="AI174" i="2"/>
  <c r="AJ174" i="2"/>
  <c r="AI172" i="2"/>
  <c r="AJ172" i="2"/>
  <c r="AJ183" i="2"/>
  <c r="AJ190" i="2"/>
  <c r="AJ182" i="2"/>
  <c r="AI131" i="2"/>
  <c r="AI132" i="2"/>
  <c r="AJ85" i="2"/>
  <c r="AJ165" i="2"/>
  <c r="AJ161" i="2"/>
  <c r="AJ160" i="2"/>
  <c r="AJ47" i="2"/>
  <c r="AJ48" i="2"/>
  <c r="AI46" i="2"/>
  <c r="AI94" i="2"/>
  <c r="AJ95" i="2"/>
  <c r="AI192" i="2"/>
  <c r="AJ193" i="2"/>
  <c r="AI178" i="2"/>
  <c r="AJ113" i="2"/>
  <c r="AJ136" i="2"/>
  <c r="AI133" i="2"/>
  <c r="AJ114" i="2"/>
  <c r="AI111" i="2"/>
  <c r="AI177" i="2"/>
  <c r="AI176" i="2"/>
  <c r="AH72" i="2"/>
  <c r="AJ72" i="2" s="1"/>
  <c r="AJ112" i="2"/>
  <c r="AI110" i="2"/>
  <c r="H175" i="2"/>
  <c r="G175" i="2"/>
  <c r="AJ159" i="2"/>
  <c r="AI65" i="2"/>
  <c r="AI71" i="2"/>
  <c r="F153" i="2"/>
  <c r="G153" i="2"/>
  <c r="AO12" i="4"/>
  <c r="AO44" i="4"/>
  <c r="BK17" i="4"/>
  <c r="BV17" i="4" s="1"/>
  <c r="AO35" i="4"/>
  <c r="AZ23" i="4"/>
  <c r="BS23" i="4" s="1"/>
  <c r="AZ24" i="4"/>
  <c r="BS24" i="4" s="1"/>
  <c r="AO39" i="4"/>
  <c r="AZ29" i="4"/>
  <c r="BS29" i="4" s="1"/>
  <c r="AY36" i="4"/>
  <c r="AZ43" i="4"/>
  <c r="BS43" i="4" s="1"/>
  <c r="AZ15" i="4"/>
  <c r="BS15" i="4" s="1"/>
  <c r="AO19" i="4"/>
  <c r="AL56" i="4"/>
  <c r="AZ37" i="4"/>
  <c r="BS37" i="4" s="1"/>
  <c r="AI44" i="4"/>
  <c r="AZ36" i="4"/>
  <c r="BS36" i="4" s="1"/>
  <c r="AL58" i="4"/>
  <c r="AF57" i="4"/>
  <c r="AL10" i="4"/>
  <c r="AZ27" i="4"/>
  <c r="BS27" i="4" s="1"/>
  <c r="AZ11" i="4"/>
  <c r="BS11" i="4" s="1"/>
  <c r="AZ41" i="4"/>
  <c r="BS41" i="4" s="1"/>
  <c r="AZ25" i="4"/>
  <c r="BS25" i="4" s="1"/>
  <c r="AZ32" i="4"/>
  <c r="BS32" i="4" s="1"/>
  <c r="AZ22" i="4"/>
  <c r="BS22" i="4" s="1"/>
  <c r="AZ33" i="4"/>
  <c r="BS33" i="4" s="1"/>
  <c r="BF35" i="4"/>
  <c r="AO10" i="4"/>
  <c r="BF37" i="4"/>
  <c r="BK37" i="4" s="1"/>
  <c r="BV37" i="4" s="1"/>
  <c r="AZ30" i="4"/>
  <c r="BS30" i="4" s="1"/>
  <c r="AZ26" i="4"/>
  <c r="BS26" i="4" s="1"/>
  <c r="BF39" i="4"/>
  <c r="BG45" i="4"/>
  <c r="BG46" i="4" s="1"/>
  <c r="N40" i="4"/>
  <c r="AZ18" i="4"/>
  <c r="BS18" i="4" s="1"/>
  <c r="T40" i="4"/>
  <c r="AZ44" i="4"/>
  <c r="BS44" i="4" s="1"/>
  <c r="BP32" i="4"/>
  <c r="AZ19" i="4"/>
  <c r="BS19" i="4" s="1"/>
  <c r="BP33" i="4"/>
  <c r="AO21" i="4"/>
  <c r="AV4" i="4"/>
  <c r="AW40" i="4" s="1"/>
  <c r="BQ40" i="4" s="1"/>
  <c r="AO22" i="4"/>
  <c r="AZ34" i="4"/>
  <c r="BS34" i="4" s="1"/>
  <c r="AZ20" i="4"/>
  <c r="BS20" i="4" s="1"/>
  <c r="AZ42" i="4"/>
  <c r="BS42" i="4" s="1"/>
  <c r="AO43" i="4"/>
  <c r="AO28" i="4"/>
  <c r="AZ21" i="4"/>
  <c r="BS21" i="4" s="1"/>
  <c r="AO13" i="4"/>
  <c r="AZ17" i="4"/>
  <c r="BS17" i="4" s="1"/>
  <c r="BF10" i="4"/>
  <c r="BK10" i="4" s="1"/>
  <c r="BV10" i="4" s="1"/>
  <c r="AZ16" i="4"/>
  <c r="BS16" i="4" s="1"/>
  <c r="AE40" i="4"/>
  <c r="AF40" i="4" s="1"/>
  <c r="AK40" i="4"/>
  <c r="AL40" i="4" s="1"/>
  <c r="AZ35" i="4"/>
  <c r="BS35" i="4" s="1"/>
  <c r="X40" i="4"/>
  <c r="AU40" i="4" s="1"/>
  <c r="AO15" i="4"/>
  <c r="AZ10" i="4"/>
  <c r="BS10" i="4" s="1"/>
  <c r="AZ13" i="4"/>
  <c r="BS13" i="4" s="1"/>
  <c r="AZ14" i="4"/>
  <c r="BS14" i="4" s="1"/>
  <c r="AB40" i="4"/>
  <c r="AY40" i="4" s="1"/>
  <c r="AZ40" i="4" s="1"/>
  <c r="AO16" i="4"/>
  <c r="AZ12" i="4"/>
  <c r="BS12" i="4" s="1"/>
  <c r="AZ39" i="4"/>
  <c r="BS39" i="4" s="1"/>
  <c r="BF24" i="4"/>
  <c r="AO34" i="4"/>
  <c r="BF34" i="4"/>
  <c r="BK34" i="4" s="1"/>
  <c r="BV34" i="4" s="1"/>
  <c r="BF44" i="4"/>
  <c r="Z40" i="4"/>
  <c r="BF43" i="4"/>
  <c r="BF12" i="4"/>
  <c r="BK12" i="4" s="1"/>
  <c r="BV12" i="4" s="1"/>
  <c r="BF16" i="4"/>
  <c r="BP38" i="4"/>
  <c r="AO27" i="4"/>
  <c r="BF19" i="4"/>
  <c r="BP8" i="4"/>
  <c r="BP10" i="4"/>
  <c r="BP7" i="4"/>
  <c r="AO32" i="4"/>
  <c r="BF28" i="4"/>
  <c r="BG4" i="4"/>
  <c r="BH39" i="4" s="1"/>
  <c r="BT39" i="4" s="1"/>
  <c r="BJ15" i="4"/>
  <c r="BF21" i="4"/>
  <c r="BF22" i="4"/>
  <c r="BP37" i="4"/>
  <c r="AO17" i="4"/>
  <c r="BP25" i="4"/>
  <c r="AT45" i="4"/>
  <c r="BE45" i="4"/>
  <c r="BE19" i="4"/>
  <c r="BP19" i="4"/>
  <c r="AT19" i="4"/>
  <c r="AO33" i="4"/>
  <c r="AO23" i="4"/>
  <c r="AO30" i="4"/>
  <c r="AF10" i="4"/>
  <c r="AO14" i="4"/>
  <c r="AO41" i="4"/>
  <c r="AO29" i="4"/>
  <c r="AO42" i="4"/>
  <c r="AL39" i="4"/>
  <c r="AL19" i="4"/>
  <c r="AL36" i="4"/>
  <c r="AL25" i="4"/>
  <c r="AL31" i="4"/>
  <c r="AL33" i="4"/>
  <c r="AL38" i="4"/>
  <c r="AL18" i="4"/>
  <c r="AL37" i="4"/>
  <c r="AL32" i="4"/>
  <c r="AL46" i="4"/>
  <c r="AL45" i="4"/>
  <c r="AC36" i="4"/>
  <c r="AC25" i="4"/>
  <c r="X49" i="4"/>
  <c r="AC49" i="4" s="1"/>
  <c r="AC31" i="4"/>
  <c r="AC18" i="4"/>
  <c r="N32" i="4"/>
  <c r="AT38" i="4"/>
  <c r="BE7" i="4"/>
  <c r="BE8" i="4"/>
  <c r="BE10" i="4"/>
  <c r="BE25" i="4"/>
  <c r="BE32" i="4"/>
  <c r="BE33" i="4"/>
  <c r="BE37" i="4"/>
  <c r="AT7" i="4"/>
  <c r="AT8" i="4"/>
  <c r="G18" i="4"/>
  <c r="BP18" i="4" s="1"/>
  <c r="N36" i="4"/>
  <c r="N37" i="4"/>
  <c r="T45" i="4"/>
  <c r="N45" i="4"/>
  <c r="N10" i="4"/>
  <c r="N38" i="4"/>
  <c r="T31" i="4"/>
  <c r="T33" i="4"/>
  <c r="T32" i="4"/>
  <c r="T36" i="4"/>
  <c r="T38" i="4"/>
  <c r="T37" i="4"/>
  <c r="N39" i="4"/>
  <c r="N18" i="4"/>
  <c r="N19" i="4"/>
  <c r="N25" i="4"/>
  <c r="N31" i="4"/>
  <c r="N33" i="4"/>
  <c r="T19" i="4"/>
  <c r="T25" i="4"/>
  <c r="T39" i="4"/>
  <c r="T10" i="4"/>
  <c r="AZ9" i="4"/>
  <c r="AV9" i="4"/>
  <c r="AU9" i="4"/>
  <c r="AZ8" i="4"/>
  <c r="AV8" i="4"/>
  <c r="AU8" i="4"/>
  <c r="AZ7" i="4"/>
  <c r="AY7" i="4"/>
  <c r="AV7" i="4"/>
  <c r="AU7"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Q58" i="4"/>
  <c r="M58" i="4"/>
  <c r="L58" i="4"/>
  <c r="E58" i="4"/>
  <c r="D58" i="4"/>
  <c r="Q57" i="4"/>
  <c r="M57" i="4"/>
  <c r="L57" i="4"/>
  <c r="K57" i="4"/>
  <c r="E57" i="4"/>
  <c r="D57" i="4"/>
  <c r="Q56" i="4"/>
  <c r="P56" i="4"/>
  <c r="M56" i="4"/>
  <c r="L56" i="4"/>
  <c r="K56" i="4"/>
  <c r="E56" i="4"/>
  <c r="D56" i="4"/>
  <c r="R55" i="4"/>
  <c r="L55" i="4"/>
  <c r="S46" i="4"/>
  <c r="T46" i="4" s="1"/>
  <c r="M46" i="4"/>
  <c r="N46" i="4" s="1"/>
  <c r="W44" i="4"/>
  <c r="Q44" i="4"/>
  <c r="W43" i="4"/>
  <c r="Q43" i="4"/>
  <c r="BK42" i="4"/>
  <c r="BV42" i="4" s="1"/>
  <c r="W42" i="4"/>
  <c r="Q42" i="4"/>
  <c r="W41" i="4"/>
  <c r="Q41" i="4"/>
  <c r="W39" i="4"/>
  <c r="Q39" i="4"/>
  <c r="E38" i="4"/>
  <c r="J38" i="4" s="1"/>
  <c r="W37" i="4"/>
  <c r="Q37" i="4"/>
  <c r="E37" i="4"/>
  <c r="J37" i="4" s="1"/>
  <c r="AM37" i="4" s="1"/>
  <c r="V36" i="4"/>
  <c r="R36" i="4"/>
  <c r="P36" i="4"/>
  <c r="P49" i="4" s="1"/>
  <c r="L36" i="4"/>
  <c r="L49" i="4" s="1"/>
  <c r="W35" i="4"/>
  <c r="Q35" i="4"/>
  <c r="W34" i="4"/>
  <c r="Q34" i="4"/>
  <c r="W33" i="4"/>
  <c r="Q33" i="4"/>
  <c r="E33" i="4"/>
  <c r="J33" i="4" s="1"/>
  <c r="AM33" i="4" s="1"/>
  <c r="W32" i="4"/>
  <c r="Q32" i="4"/>
  <c r="E32" i="4"/>
  <c r="J32" i="4" s="1"/>
  <c r="AM32" i="4" s="1"/>
  <c r="V31" i="4"/>
  <c r="R31" i="4"/>
  <c r="P31" i="4"/>
  <c r="AN31" i="4" s="1"/>
  <c r="BJ31" i="4" s="1"/>
  <c r="L31" i="4"/>
  <c r="AJ31" i="4" s="1"/>
  <c r="BF31" i="4" s="1"/>
  <c r="E31" i="4"/>
  <c r="W30" i="4"/>
  <c r="Q30" i="4"/>
  <c r="W29" i="4"/>
  <c r="Q29" i="4"/>
  <c r="W28" i="4"/>
  <c r="Q28" i="4"/>
  <c r="W27" i="4"/>
  <c r="Q27" i="4"/>
  <c r="W26" i="4"/>
  <c r="Q26" i="4"/>
  <c r="V25" i="4"/>
  <c r="R25" i="4"/>
  <c r="P25" i="4"/>
  <c r="AN25" i="4" s="1"/>
  <c r="BJ25" i="4" s="1"/>
  <c r="L25" i="4"/>
  <c r="AJ25" i="4" s="1"/>
  <c r="BF25" i="4" s="1"/>
  <c r="E25" i="4"/>
  <c r="J25" i="4" s="1"/>
  <c r="AM25" i="4" s="1"/>
  <c r="W24" i="4"/>
  <c r="Q24" i="4"/>
  <c r="W23" i="4"/>
  <c r="Q23" i="4"/>
  <c r="W22" i="4"/>
  <c r="Q22" i="4"/>
  <c r="W21" i="4"/>
  <c r="Q21" i="4"/>
  <c r="W20" i="4"/>
  <c r="Q20" i="4"/>
  <c r="W19" i="4"/>
  <c r="Q19" i="4"/>
  <c r="V18" i="4"/>
  <c r="R18" i="4"/>
  <c r="P18" i="4"/>
  <c r="L18" i="4"/>
  <c r="E18" i="4"/>
  <c r="J18" i="4" s="1"/>
  <c r="W17" i="4"/>
  <c r="Q17" i="4"/>
  <c r="W16" i="4"/>
  <c r="Q16" i="4"/>
  <c r="W15" i="4"/>
  <c r="Q15" i="4"/>
  <c r="W14" i="4"/>
  <c r="Q14" i="4"/>
  <c r="W13" i="4"/>
  <c r="Q13" i="4"/>
  <c r="W12" i="4"/>
  <c r="Q12" i="4"/>
  <c r="W11" i="4"/>
  <c r="Q11" i="4"/>
  <c r="W10" i="4"/>
  <c r="Q10" i="4"/>
  <c r="E10" i="4"/>
  <c r="J10" i="4" s="1"/>
  <c r="AM10" i="4" s="1"/>
  <c r="AI9" i="4"/>
  <c r="AE9" i="4"/>
  <c r="AD9" i="4"/>
  <c r="W9" i="4"/>
  <c r="W58" i="4" s="1"/>
  <c r="S9" i="4"/>
  <c r="R9" i="4"/>
  <c r="R58" i="4" s="1"/>
  <c r="P9" i="4"/>
  <c r="AN9" i="4" s="1"/>
  <c r="AI8" i="4"/>
  <c r="AE8" i="4"/>
  <c r="AD8" i="4"/>
  <c r="W8" i="4"/>
  <c r="W57" i="4" s="1"/>
  <c r="S8" i="4"/>
  <c r="S57" i="4" s="1"/>
  <c r="R8" i="4"/>
  <c r="R57" i="4" s="1"/>
  <c r="P8" i="4"/>
  <c r="AI7" i="4"/>
  <c r="AH7" i="4"/>
  <c r="AE7" i="4"/>
  <c r="AD7" i="4"/>
  <c r="W7" i="4"/>
  <c r="W56" i="4" s="1"/>
  <c r="V7" i="4"/>
  <c r="V56" i="4" s="1"/>
  <c r="S7" i="4"/>
  <c r="S56" i="4" s="1"/>
  <c r="R7" i="4"/>
  <c r="R56" i="4" s="1"/>
  <c r="H26" i="3"/>
  <c r="H27" i="3" s="1"/>
  <c r="H25" i="3"/>
  <c r="Q38" i="3"/>
  <c r="P38" i="3"/>
  <c r="P10" i="3"/>
  <c r="G25" i="3"/>
  <c r="G26" i="3"/>
  <c r="G27" i="3" s="1"/>
  <c r="C25" i="3"/>
  <c r="G60" i="2"/>
  <c r="F13" i="2"/>
  <c r="F10" i="2"/>
  <c r="G25" i="2"/>
  <c r="F25" i="2"/>
  <c r="G24" i="2"/>
  <c r="H23" i="2"/>
  <c r="I23" i="2"/>
  <c r="H24" i="2"/>
  <c r="I24" i="2"/>
  <c r="H59" i="2"/>
  <c r="I59" i="2"/>
  <c r="J59" i="2"/>
  <c r="F27" i="2"/>
  <c r="F26" i="2"/>
  <c r="I58" i="2"/>
  <c r="F35" i="2"/>
  <c r="G35" i="2"/>
  <c r="G34" i="2"/>
  <c r="F34" i="2"/>
  <c r="E35" i="2"/>
  <c r="E34" i="2"/>
  <c r="H32" i="2"/>
  <c r="H33" i="2"/>
  <c r="H31" i="2"/>
  <c r="H21" i="2"/>
  <c r="H22" i="2"/>
  <c r="H20" i="2"/>
  <c r="D29" i="2"/>
  <c r="E29" i="2" s="1"/>
  <c r="E27" i="2"/>
  <c r="E26" i="2"/>
  <c r="E13" i="2"/>
  <c r="E10" i="2"/>
  <c r="I33" i="2"/>
  <c r="J33" i="2"/>
  <c r="I31" i="2"/>
  <c r="I32" i="2"/>
  <c r="J32" i="2"/>
  <c r="I22" i="2"/>
  <c r="J22" i="2"/>
  <c r="J21" i="2"/>
  <c r="J20" i="2"/>
  <c r="I21" i="2"/>
  <c r="I20" i="2"/>
  <c r="Q29" i="3"/>
  <c r="Q28" i="3"/>
  <c r="Q33" i="3"/>
  <c r="Q34" i="3"/>
  <c r="Q36" i="3"/>
  <c r="Q40" i="3"/>
  <c r="Q41" i="3"/>
  <c r="P32" i="3"/>
  <c r="Q32" i="3"/>
  <c r="O37" i="3"/>
  <c r="Q37" i="3" s="1"/>
  <c r="Q11" i="3"/>
  <c r="Q12" i="3"/>
  <c r="Q14" i="3"/>
  <c r="Q15" i="3"/>
  <c r="Q16" i="3"/>
  <c r="Q17" i="3"/>
  <c r="Q18" i="3"/>
  <c r="Q13" i="3"/>
  <c r="Q19" i="3"/>
  <c r="Q20" i="3"/>
  <c r="Q21" i="3"/>
  <c r="Q22" i="3"/>
  <c r="Q23" i="3"/>
  <c r="Q24" i="3"/>
  <c r="Q10" i="3"/>
  <c r="G4" i="3"/>
  <c r="E9" i="3" s="1"/>
  <c r="P9" i="3" s="1"/>
  <c r="S5" i="3"/>
  <c r="D9" i="3"/>
  <c r="T6" i="3"/>
  <c r="P33" i="3"/>
  <c r="P34" i="3"/>
  <c r="P36" i="3"/>
  <c r="P37" i="3"/>
  <c r="P40" i="3"/>
  <c r="P41" i="3"/>
  <c r="P22" i="3"/>
  <c r="P20" i="3"/>
  <c r="P19" i="3"/>
  <c r="P15" i="3"/>
  <c r="P11" i="3"/>
  <c r="P12" i="3"/>
  <c r="P14" i="3"/>
  <c r="P16" i="3"/>
  <c r="P17" i="3"/>
  <c r="P18" i="3"/>
  <c r="P13" i="3"/>
  <c r="P21" i="3"/>
  <c r="P23" i="3"/>
  <c r="P24" i="3"/>
  <c r="N28" i="3"/>
  <c r="P29" i="3"/>
  <c r="T25" i="3"/>
  <c r="U25" i="3"/>
  <c r="V25" i="3"/>
  <c r="T26" i="3"/>
  <c r="U26" i="3"/>
  <c r="V26" i="3"/>
  <c r="T27" i="3"/>
  <c r="U27" i="3"/>
  <c r="V27" i="3"/>
  <c r="C27" i="3"/>
  <c r="C26" i="3"/>
  <c r="D10" i="3"/>
  <c r="D12" i="3"/>
  <c r="D14" i="3"/>
  <c r="D15" i="3"/>
  <c r="D16" i="3"/>
  <c r="D17" i="3"/>
  <c r="D18" i="3"/>
  <c r="D13" i="3"/>
  <c r="D19" i="3"/>
  <c r="D20" i="3"/>
  <c r="D21" i="3"/>
  <c r="D22" i="3"/>
  <c r="D23" i="3"/>
  <c r="D24" i="3"/>
  <c r="D11" i="3"/>
  <c r="J27" i="1"/>
  <c r="F27" i="1"/>
  <c r="E27" i="1"/>
  <c r="C27" i="1"/>
  <c r="H28" i="1"/>
  <c r="I28" i="1" s="1"/>
  <c r="K28" i="1" s="1"/>
  <c r="H29" i="1"/>
  <c r="I29" i="1" s="1"/>
  <c r="K29" i="1" s="1"/>
  <c r="C9" i="1"/>
  <c r="C10" i="1" s="1"/>
  <c r="C12" i="1" s="1"/>
  <c r="C30" i="1" s="1"/>
  <c r="J9" i="1"/>
  <c r="F9" i="1"/>
  <c r="G18" i="1"/>
  <c r="G19" i="1"/>
  <c r="G20" i="1"/>
  <c r="G21" i="1"/>
  <c r="G22" i="1"/>
  <c r="G23" i="1"/>
  <c r="G24" i="1"/>
  <c r="G25" i="1"/>
  <c r="G26" i="1"/>
  <c r="G17" i="1"/>
  <c r="G16" i="1"/>
  <c r="G15" i="1"/>
  <c r="G14" i="1"/>
  <c r="E9" i="1"/>
  <c r="E10" i="1" s="1"/>
  <c r="E12" i="1" s="1"/>
  <c r="G13" i="1"/>
  <c r="G11" i="1"/>
  <c r="G8" i="1"/>
  <c r="H4" i="1"/>
  <c r="D13" i="1" s="1"/>
  <c r="AA45" i="4" l="1"/>
  <c r="H45" i="4"/>
  <c r="O45" i="4" s="1"/>
  <c r="AS45" i="4"/>
  <c r="AM45" i="4"/>
  <c r="I45" i="4"/>
  <c r="U45" i="4" s="1"/>
  <c r="BD45" i="4"/>
  <c r="A30" i="2"/>
  <c r="A31" i="2" s="1"/>
  <c r="A32" i="2" s="1"/>
  <c r="A33" i="2" s="1"/>
  <c r="A34" i="2" s="1"/>
  <c r="A35" i="2" s="1"/>
  <c r="A36" i="2" s="1"/>
  <c r="A37" i="2" s="1"/>
  <c r="A38" i="2" s="1"/>
  <c r="A39" i="2" s="1"/>
  <c r="A40" i="2" s="1"/>
  <c r="A41" i="2" s="1"/>
  <c r="A42" i="2" s="1"/>
  <c r="A43" i="2" s="1"/>
  <c r="A44" i="2" s="1"/>
  <c r="A45" i="2" s="1"/>
  <c r="E106" i="2"/>
  <c r="BU45" i="4"/>
  <c r="BR45" i="4"/>
  <c r="AI72" i="2"/>
  <c r="BH46" i="4"/>
  <c r="BT46" i="4" s="1"/>
  <c r="BG40" i="4"/>
  <c r="BH40" i="4" s="1"/>
  <c r="BT40" i="4" s="1"/>
  <c r="AM38" i="4"/>
  <c r="AM18" i="4"/>
  <c r="BH19" i="4"/>
  <c r="BT19" i="4" s="1"/>
  <c r="BH10" i="4"/>
  <c r="BT10" i="4" s="1"/>
  <c r="BH37" i="4"/>
  <c r="BT37" i="4" s="1"/>
  <c r="J19" i="4"/>
  <c r="AR7" i="4"/>
  <c r="AW38" i="4"/>
  <c r="BQ38" i="4" s="1"/>
  <c r="AW19" i="4"/>
  <c r="BQ19" i="4" s="1"/>
  <c r="AW18" i="4"/>
  <c r="BQ18" i="4" s="1"/>
  <c r="AW46" i="4"/>
  <c r="BQ46" i="4" s="1"/>
  <c r="AW33" i="4"/>
  <c r="BQ33" i="4" s="1"/>
  <c r="AW37" i="4"/>
  <c r="BQ37" i="4" s="1"/>
  <c r="AW25" i="4"/>
  <c r="BQ25" i="4" s="1"/>
  <c r="AW36" i="4"/>
  <c r="BQ36" i="4" s="1"/>
  <c r="AW32" i="4"/>
  <c r="BQ32" i="4" s="1"/>
  <c r="AW31" i="4"/>
  <c r="BQ31" i="4" s="1"/>
  <c r="AW45" i="4"/>
  <c r="BQ45" i="4" s="1"/>
  <c r="AW10" i="4"/>
  <c r="BQ10" i="4" s="1"/>
  <c r="AW39" i="4"/>
  <c r="BQ39" i="4" s="1"/>
  <c r="R40" i="4"/>
  <c r="BH25" i="4"/>
  <c r="BT25" i="4" s="1"/>
  <c r="V40" i="4"/>
  <c r="BH18" i="4"/>
  <c r="BT18" i="4" s="1"/>
  <c r="BH36" i="4"/>
  <c r="BT36" i="4" s="1"/>
  <c r="BH33" i="4"/>
  <c r="BT33" i="4" s="1"/>
  <c r="AC40" i="4"/>
  <c r="AB45" i="4" s="1"/>
  <c r="AC45" i="4" s="1"/>
  <c r="AY45" i="4"/>
  <c r="AY46" i="4" s="1"/>
  <c r="BS40" i="4"/>
  <c r="BD33" i="4"/>
  <c r="BO33" i="4"/>
  <c r="AS33" i="4"/>
  <c r="AJ18" i="4"/>
  <c r="L40" i="4"/>
  <c r="Q49" i="4"/>
  <c r="BO37" i="4"/>
  <c r="AS37" i="4"/>
  <c r="BD37" i="4"/>
  <c r="BH32" i="4"/>
  <c r="BT32" i="4" s="1"/>
  <c r="AS32" i="4"/>
  <c r="BO32" i="4"/>
  <c r="BD32" i="4"/>
  <c r="BI32" i="4" s="1"/>
  <c r="BC7" i="4"/>
  <c r="BH45" i="4"/>
  <c r="BT45" i="4" s="1"/>
  <c r="AS18" i="4"/>
  <c r="AX18" i="4" s="1"/>
  <c r="BO18" i="4"/>
  <c r="BD18" i="4"/>
  <c r="AN18" i="4"/>
  <c r="P40" i="4"/>
  <c r="BO25" i="4"/>
  <c r="BD25" i="4"/>
  <c r="AS25" i="4"/>
  <c r="AX25" i="4" s="1"/>
  <c r="AS38" i="4"/>
  <c r="AX38" i="4" s="1"/>
  <c r="BO38" i="4"/>
  <c r="BD38" i="4"/>
  <c r="BH38" i="4"/>
  <c r="BT38" i="4" s="1"/>
  <c r="AS10" i="4"/>
  <c r="BO10" i="4"/>
  <c r="BD10" i="4"/>
  <c r="BI10" i="4" s="1"/>
  <c r="BH31" i="4"/>
  <c r="BT31" i="4" s="1"/>
  <c r="AD25" i="4"/>
  <c r="AH25" i="4"/>
  <c r="V49" i="4"/>
  <c r="V51" i="4" s="1"/>
  <c r="AH36" i="4"/>
  <c r="R49" i="4"/>
  <c r="R52" i="4" s="1"/>
  <c r="AD36" i="4"/>
  <c r="AD49" i="4" s="1"/>
  <c r="AH56" i="4"/>
  <c r="AN56" i="4"/>
  <c r="AI57" i="4"/>
  <c r="AO57" i="4"/>
  <c r="AD31" i="4"/>
  <c r="AH31" i="4"/>
  <c r="AD57" i="4"/>
  <c r="AJ57" i="4"/>
  <c r="AE57" i="4"/>
  <c r="AK57" i="4"/>
  <c r="AD58" i="4"/>
  <c r="AJ58" i="4"/>
  <c r="AE56" i="4"/>
  <c r="AK56" i="4"/>
  <c r="AI56" i="4"/>
  <c r="AO56" i="4"/>
  <c r="AE58" i="4"/>
  <c r="AK58" i="4"/>
  <c r="AD56" i="4"/>
  <c r="AJ56" i="4"/>
  <c r="AI58" i="4"/>
  <c r="AO58" i="4"/>
  <c r="AN36" i="4"/>
  <c r="AD18" i="4"/>
  <c r="AH18" i="4"/>
  <c r="AB8" i="4"/>
  <c r="AB57" i="4" s="1"/>
  <c r="AN8" i="4"/>
  <c r="AJ36" i="4"/>
  <c r="BF36" i="4" s="1"/>
  <c r="AO25" i="4"/>
  <c r="AO31" i="4"/>
  <c r="BK22" i="4"/>
  <c r="BV22" i="4" s="1"/>
  <c r="I10" i="4"/>
  <c r="AG10" i="4" s="1"/>
  <c r="BK14" i="4"/>
  <c r="BV14" i="4" s="1"/>
  <c r="BK21" i="4"/>
  <c r="BV21" i="4" s="1"/>
  <c r="X51" i="4"/>
  <c r="AB9" i="4"/>
  <c r="AB58" i="4" s="1"/>
  <c r="BK39" i="4"/>
  <c r="BV39" i="4" s="1"/>
  <c r="F106" i="2"/>
  <c r="AT18" i="4"/>
  <c r="BE18" i="4"/>
  <c r="AY8" i="4"/>
  <c r="Q36" i="4"/>
  <c r="AY9" i="4"/>
  <c r="S58" i="4"/>
  <c r="AF45" i="4"/>
  <c r="Q31" i="4"/>
  <c r="AF36" i="4"/>
  <c r="AF32" i="4"/>
  <c r="AF25" i="4"/>
  <c r="AF38" i="4"/>
  <c r="AF18" i="4"/>
  <c r="AF39" i="4"/>
  <c r="AF19" i="4"/>
  <c r="AF33" i="4"/>
  <c r="AF37" i="4"/>
  <c r="AF31" i="4"/>
  <c r="W25" i="4"/>
  <c r="I18" i="4"/>
  <c r="H18" i="4"/>
  <c r="O18" i="4" s="1"/>
  <c r="I37" i="4"/>
  <c r="H37" i="4"/>
  <c r="O37" i="4" s="1"/>
  <c r="H10" i="4"/>
  <c r="I38" i="4"/>
  <c r="H38" i="4"/>
  <c r="O38" i="4" s="1"/>
  <c r="H33" i="4"/>
  <c r="O33" i="4" s="1"/>
  <c r="I33" i="4"/>
  <c r="F31" i="4"/>
  <c r="J31" i="4" s="1"/>
  <c r="AM31" i="4" s="1"/>
  <c r="I32" i="4"/>
  <c r="H32" i="4"/>
  <c r="O32" i="4" s="1"/>
  <c r="I25" i="4"/>
  <c r="H25" i="4"/>
  <c r="O25" i="4" s="1"/>
  <c r="Q25" i="4"/>
  <c r="W18" i="4"/>
  <c r="AI15" i="4"/>
  <c r="BK15" i="4"/>
  <c r="BV15" i="4" s="1"/>
  <c r="AI17" i="4"/>
  <c r="AI33" i="4"/>
  <c r="BK33" i="4"/>
  <c r="BV33" i="4" s="1"/>
  <c r="AI43" i="4"/>
  <c r="BK43" i="4"/>
  <c r="BV43" i="4" s="1"/>
  <c r="AI30" i="4"/>
  <c r="BK30" i="4"/>
  <c r="BV30" i="4" s="1"/>
  <c r="V9" i="4"/>
  <c r="V58" i="4" s="1"/>
  <c r="BJ9" i="4"/>
  <c r="AI16" i="4"/>
  <c r="BK16" i="4"/>
  <c r="BV16" i="4" s="1"/>
  <c r="AI29" i="4"/>
  <c r="BK29" i="4"/>
  <c r="BV29" i="4" s="1"/>
  <c r="BK44" i="4"/>
  <c r="BV44" i="4" s="1"/>
  <c r="AI23" i="4"/>
  <c r="BK23" i="4"/>
  <c r="BV23" i="4" s="1"/>
  <c r="AI24" i="4"/>
  <c r="BK24" i="4"/>
  <c r="BV24" i="4" s="1"/>
  <c r="AI32" i="4"/>
  <c r="BK32" i="4"/>
  <c r="BV32" i="4" s="1"/>
  <c r="AI10" i="4"/>
  <c r="AI19" i="4"/>
  <c r="BK19" i="4"/>
  <c r="BV19" i="4" s="1"/>
  <c r="AI12" i="4"/>
  <c r="AI27" i="4"/>
  <c r="BK27" i="4"/>
  <c r="BV27" i="4" s="1"/>
  <c r="AI41" i="4"/>
  <c r="BK41" i="4"/>
  <c r="BV41" i="4" s="1"/>
  <c r="AI13" i="4"/>
  <c r="BK13" i="4"/>
  <c r="BV13" i="4" s="1"/>
  <c r="AH8" i="4"/>
  <c r="BJ8" i="4"/>
  <c r="AI28" i="4"/>
  <c r="BK28" i="4"/>
  <c r="BV28" i="4" s="1"/>
  <c r="AI35" i="4"/>
  <c r="BK35" i="4"/>
  <c r="BV35" i="4" s="1"/>
  <c r="AI34" i="4"/>
  <c r="P58" i="4"/>
  <c r="AI14" i="4"/>
  <c r="AI21" i="4"/>
  <c r="AI22" i="4"/>
  <c r="AI42" i="4"/>
  <c r="AI37" i="4"/>
  <c r="AI39" i="4"/>
  <c r="V8" i="4"/>
  <c r="V57" i="4" s="1"/>
  <c r="AE46" i="4"/>
  <c r="P57" i="4"/>
  <c r="Q18" i="4"/>
  <c r="W31" i="4"/>
  <c r="W36" i="4"/>
  <c r="AH9" i="4"/>
  <c r="Q25" i="3"/>
  <c r="P25" i="3"/>
  <c r="N25" i="3" s="1"/>
  <c r="D25" i="3"/>
  <c r="Q9" i="3"/>
  <c r="J58" i="2"/>
  <c r="H58" i="2"/>
  <c r="F29" i="2"/>
  <c r="F17" i="3"/>
  <c r="K17" i="3" s="1"/>
  <c r="J9" i="3"/>
  <c r="F16" i="3"/>
  <c r="K16" i="3" s="1"/>
  <c r="F11" i="3"/>
  <c r="F24" i="3"/>
  <c r="K24" i="3" s="1"/>
  <c r="F22" i="3"/>
  <c r="K22" i="3" s="1"/>
  <c r="F9" i="3"/>
  <c r="F23" i="3"/>
  <c r="K23" i="3" s="1"/>
  <c r="F20" i="3"/>
  <c r="K20" i="3" s="1"/>
  <c r="F10" i="3"/>
  <c r="K10" i="3" s="1"/>
  <c r="F13" i="3"/>
  <c r="K13" i="3" s="1"/>
  <c r="F14" i="3"/>
  <c r="K14" i="3" s="1"/>
  <c r="F18" i="3"/>
  <c r="K18" i="3" s="1"/>
  <c r="F19" i="3"/>
  <c r="K19" i="3" s="1"/>
  <c r="F12" i="3"/>
  <c r="K12" i="3" s="1"/>
  <c r="F21" i="3"/>
  <c r="K21" i="3" s="1"/>
  <c r="F15" i="3"/>
  <c r="K15" i="3" s="1"/>
  <c r="P26" i="3"/>
  <c r="N26" i="3" s="1"/>
  <c r="P27" i="3"/>
  <c r="N27" i="3" s="1"/>
  <c r="D26" i="3"/>
  <c r="D27" i="3"/>
  <c r="E12" i="3"/>
  <c r="J12" i="3" s="1"/>
  <c r="E23" i="3"/>
  <c r="J23" i="3" s="1"/>
  <c r="E18" i="3"/>
  <c r="J18" i="3" s="1"/>
  <c r="E11" i="3"/>
  <c r="E24" i="3"/>
  <c r="J24" i="3" s="1"/>
  <c r="E13" i="3"/>
  <c r="J13" i="3" s="1"/>
  <c r="E19" i="3"/>
  <c r="J19" i="3" s="1"/>
  <c r="E14" i="3"/>
  <c r="J14" i="3" s="1"/>
  <c r="E20" i="3"/>
  <c r="J20" i="3" s="1"/>
  <c r="E15" i="3"/>
  <c r="J15" i="3" s="1"/>
  <c r="E21" i="3"/>
  <c r="J21" i="3" s="1"/>
  <c r="E10" i="3"/>
  <c r="E16" i="3"/>
  <c r="J16" i="3" s="1"/>
  <c r="E22" i="3"/>
  <c r="J22" i="3" s="1"/>
  <c r="E17" i="3"/>
  <c r="J17" i="3" s="1"/>
  <c r="D18" i="1"/>
  <c r="H30" i="1"/>
  <c r="I30" i="1" s="1"/>
  <c r="D22" i="1"/>
  <c r="D21" i="1"/>
  <c r="D20" i="1"/>
  <c r="D26" i="1"/>
  <c r="D25" i="1"/>
  <c r="D24" i="1"/>
  <c r="D23" i="1"/>
  <c r="D19" i="1"/>
  <c r="D27" i="1"/>
  <c r="G27" i="1"/>
  <c r="H27" i="1" s="1"/>
  <c r="I27" i="1" s="1"/>
  <c r="K27" i="1" s="1"/>
  <c r="D16" i="1"/>
  <c r="D11" i="1"/>
  <c r="D15" i="1"/>
  <c r="D30" i="1"/>
  <c r="D17" i="1"/>
  <c r="D12" i="1"/>
  <c r="D10" i="1"/>
  <c r="D9" i="1"/>
  <c r="D14" i="1"/>
  <c r="H11" i="1"/>
  <c r="I11" i="1" s="1"/>
  <c r="K11" i="1" s="1"/>
  <c r="H18" i="1"/>
  <c r="I18" i="1" s="1"/>
  <c r="K18" i="1" s="1"/>
  <c r="H20" i="1"/>
  <c r="I20" i="1" s="1"/>
  <c r="K20" i="1" s="1"/>
  <c r="H19" i="1"/>
  <c r="I19" i="1" s="1"/>
  <c r="K19" i="1" s="1"/>
  <c r="H13" i="1"/>
  <c r="I13" i="1" s="1"/>
  <c r="K13" i="1" s="1"/>
  <c r="H14" i="1"/>
  <c r="I14" i="1" s="1"/>
  <c r="K14" i="1" s="1"/>
  <c r="H16" i="1"/>
  <c r="I16" i="1" s="1"/>
  <c r="K16" i="1" s="1"/>
  <c r="H17" i="1"/>
  <c r="I17" i="1" s="1"/>
  <c r="K17" i="1" s="1"/>
  <c r="H15" i="1"/>
  <c r="I15" i="1" s="1"/>
  <c r="K15" i="1" s="1"/>
  <c r="H8" i="1"/>
  <c r="I8" i="1" s="1"/>
  <c r="K8" i="1" s="1"/>
  <c r="H25" i="1"/>
  <c r="I25" i="1" s="1"/>
  <c r="K25" i="1" s="1"/>
  <c r="H23" i="1"/>
  <c r="I23" i="1" s="1"/>
  <c r="K23" i="1" s="1"/>
  <c r="H21" i="1"/>
  <c r="I21" i="1" s="1"/>
  <c r="K21" i="1" s="1"/>
  <c r="H24" i="1"/>
  <c r="I24" i="1" s="1"/>
  <c r="K24" i="1" s="1"/>
  <c r="G9" i="1"/>
  <c r="H9" i="1" s="1"/>
  <c r="I9" i="1" s="1"/>
  <c r="K9" i="1" s="1"/>
  <c r="H26" i="1"/>
  <c r="I26" i="1" s="1"/>
  <c r="K26" i="1" s="1"/>
  <c r="H22" i="1"/>
  <c r="I22" i="1" s="1"/>
  <c r="K22" i="1" s="1"/>
  <c r="J10" i="1"/>
  <c r="F10" i="1"/>
  <c r="AG45" i="4" l="1"/>
  <c r="H31" i="1"/>
  <c r="I31" i="1" s="1"/>
  <c r="I32" i="1" s="1"/>
  <c r="BI33" i="4"/>
  <c r="AX45" i="4"/>
  <c r="BI45" i="4"/>
  <c r="BI25" i="4"/>
  <c r="BI37" i="4"/>
  <c r="BI38" i="4"/>
  <c r="BI18" i="4"/>
  <c r="AM19" i="4"/>
  <c r="BO19" i="4"/>
  <c r="BD19" i="4"/>
  <c r="BI19" i="4" s="1"/>
  <c r="AS19" i="4"/>
  <c r="AX19" i="4" s="1"/>
  <c r="AX37" i="4"/>
  <c r="AX33" i="4"/>
  <c r="AX32" i="4"/>
  <c r="U25" i="4"/>
  <c r="AG25" i="4"/>
  <c r="U18" i="4"/>
  <c r="AG18" i="4"/>
  <c r="U33" i="4"/>
  <c r="AG33" i="4"/>
  <c r="U32" i="4"/>
  <c r="AG32" i="4"/>
  <c r="U38" i="4"/>
  <c r="AG38" i="4"/>
  <c r="U37" i="4"/>
  <c r="AG37" i="4"/>
  <c r="I19" i="4"/>
  <c r="U10" i="4"/>
  <c r="AO18" i="4"/>
  <c r="W49" i="4"/>
  <c r="R51" i="4"/>
  <c r="X52" i="4"/>
  <c r="H19" i="4"/>
  <c r="O19" i="4" s="1"/>
  <c r="V52" i="4"/>
  <c r="W52" i="4" s="1"/>
  <c r="W40" i="4"/>
  <c r="AS31" i="4"/>
  <c r="AX31" i="4" s="1"/>
  <c r="BD31" i="4"/>
  <c r="BI31" i="4" s="1"/>
  <c r="BO31" i="4"/>
  <c r="J40" i="4"/>
  <c r="AN40" i="4"/>
  <c r="BJ40" i="4" s="1"/>
  <c r="BJ18" i="4"/>
  <c r="Q40" i="4"/>
  <c r="P45" i="4" s="1"/>
  <c r="BF18" i="4"/>
  <c r="BK18" i="4" s="1"/>
  <c r="BV18" i="4" s="1"/>
  <c r="AJ40" i="4"/>
  <c r="AD40" i="4"/>
  <c r="AH40" i="4"/>
  <c r="AN49" i="4"/>
  <c r="BJ36" i="4"/>
  <c r="AH58" i="4"/>
  <c r="AN58" i="4"/>
  <c r="AH57" i="4"/>
  <c r="AN57" i="4"/>
  <c r="AJ49" i="4"/>
  <c r="AO49" i="4" s="1"/>
  <c r="AO36" i="4"/>
  <c r="AB51" i="4"/>
  <c r="AB52" i="4"/>
  <c r="Z39" i="4"/>
  <c r="Z25" i="4"/>
  <c r="AA25" i="4" s="1"/>
  <c r="Z37" i="4"/>
  <c r="AA37" i="4" s="1"/>
  <c r="Z18" i="4"/>
  <c r="AA18" i="4" s="1"/>
  <c r="Z36" i="4"/>
  <c r="Z32" i="4"/>
  <c r="AA32" i="4" s="1"/>
  <c r="Z31" i="4"/>
  <c r="AA31" i="4" s="1"/>
  <c r="Z46" i="4"/>
  <c r="Z19" i="4"/>
  <c r="AA19" i="4" s="1"/>
  <c r="Z33" i="4"/>
  <c r="AA33" i="4" s="1"/>
  <c r="Z10" i="4"/>
  <c r="AA10" i="4" s="1"/>
  <c r="Z38" i="4"/>
  <c r="AA38" i="4" s="1"/>
  <c r="AB46" i="4"/>
  <c r="AC46" i="4" s="1"/>
  <c r="BK31" i="4"/>
  <c r="BV31" i="4" s="1"/>
  <c r="AH49" i="4"/>
  <c r="AI49" i="4" s="1"/>
  <c r="H31" i="4"/>
  <c r="G31" i="4"/>
  <c r="AF46" i="4"/>
  <c r="I31" i="4"/>
  <c r="AG31" i="4" s="1"/>
  <c r="AI25" i="4"/>
  <c r="BK25" i="4"/>
  <c r="BV25" i="4" s="1"/>
  <c r="AI36" i="4"/>
  <c r="AI31" i="4"/>
  <c r="AI18" i="4"/>
  <c r="J10" i="3"/>
  <c r="E26" i="3"/>
  <c r="Q30" i="3" s="1"/>
  <c r="O25" i="3"/>
  <c r="Q26" i="3"/>
  <c r="O26" i="3" s="1"/>
  <c r="Q27" i="3"/>
  <c r="O27" i="3" s="1"/>
  <c r="J11" i="3"/>
  <c r="E25" i="3"/>
  <c r="J25" i="3" s="1"/>
  <c r="K11" i="3"/>
  <c r="F25" i="3"/>
  <c r="K25" i="3" s="1"/>
  <c r="E27" i="3"/>
  <c r="P30" i="3" s="1"/>
  <c r="J12" i="1"/>
  <c r="G10" i="1"/>
  <c r="F12" i="1"/>
  <c r="AA40" i="4" l="1"/>
  <c r="AM40" i="4"/>
  <c r="U19" i="4"/>
  <c r="AG19" i="4"/>
  <c r="AC52" i="4"/>
  <c r="I40" i="4"/>
  <c r="U31" i="4"/>
  <c r="AI40" i="4"/>
  <c r="H40" i="4"/>
  <c r="O40" i="4" s="1"/>
  <c r="O31" i="4"/>
  <c r="BP31" i="4"/>
  <c r="G40" i="4"/>
  <c r="AO40" i="4"/>
  <c r="AN45" i="4" s="1"/>
  <c r="AN46" i="4" s="1"/>
  <c r="AO46" i="4" s="1"/>
  <c r="BF40" i="4"/>
  <c r="BK40" i="4" s="1"/>
  <c r="BO40" i="4"/>
  <c r="BD40" i="4"/>
  <c r="BI40" i="4" s="1"/>
  <c r="AS40" i="4"/>
  <c r="AX40" i="4" s="1"/>
  <c r="BK36" i="4"/>
  <c r="BV36" i="4" s="1"/>
  <c r="AT31" i="4"/>
  <c r="BE31" i="4"/>
  <c r="V45" i="4"/>
  <c r="V46" i="4" s="1"/>
  <c r="W46" i="4" s="1"/>
  <c r="AZ45" i="4"/>
  <c r="BS45" i="4" s="1"/>
  <c r="P46" i="4"/>
  <c r="Q46" i="4" s="1"/>
  <c r="Q45" i="4"/>
  <c r="J26" i="3"/>
  <c r="Q31" i="3"/>
  <c r="J27" i="3"/>
  <c r="P31" i="3"/>
  <c r="K9" i="3"/>
  <c r="F26" i="3"/>
  <c r="K26" i="3" s="1"/>
  <c r="F27" i="3"/>
  <c r="K27" i="3" s="1"/>
  <c r="H10" i="1"/>
  <c r="I10" i="1" s="1"/>
  <c r="K10" i="1" s="1"/>
  <c r="G12" i="1"/>
  <c r="H12" i="1" s="1"/>
  <c r="I12" i="1" s="1"/>
  <c r="K12" i="1" s="1"/>
  <c r="U40" i="4" l="1"/>
  <c r="AG40" i="4"/>
  <c r="AO45" i="4"/>
  <c r="AT40" i="4"/>
  <c r="BE40" i="4"/>
  <c r="BP40" i="4"/>
  <c r="BJ45" i="4"/>
  <c r="BK45" i="4" s="1"/>
  <c r="BV45" i="4" s="1"/>
  <c r="BV40" i="4"/>
  <c r="W45" i="4"/>
  <c r="AZ46" i="4"/>
  <c r="BS46" i="4" s="1"/>
  <c r="AH45" i="4"/>
  <c r="BJ46" i="4" l="1"/>
  <c r="BK46" i="4" s="1"/>
  <c r="BV46" i="4" s="1"/>
  <c r="AH46" i="4"/>
  <c r="AI45" i="4"/>
  <c r="AI46" i="4" l="1"/>
  <c r="A46" i="2" l="1"/>
  <c r="A47" i="2" l="1"/>
  <c r="A48" i="2" s="1"/>
  <c r="A49" i="2" s="1"/>
  <c r="A50" i="2" s="1"/>
  <c r="A51" i="2" s="1"/>
  <c r="A52" i="2" s="1"/>
  <c r="A53" i="2" s="1"/>
  <c r="A54" i="2" s="1"/>
  <c r="A55" i="2" s="1"/>
  <c r="A56" i="2" s="1"/>
  <c r="A57" i="2" s="1"/>
  <c r="A58" i="2" s="1"/>
  <c r="A59" i="2" s="1"/>
  <c r="A60" i="2" s="1"/>
  <c r="A61" i="2" s="1"/>
  <c r="A62" i="2" s="1"/>
  <c r="A63" i="2" s="1"/>
  <c r="A64" i="2" s="1"/>
  <c r="A65" i="2" s="1"/>
  <c r="A66" i="2" s="1"/>
  <c r="A67" i="2" s="1"/>
  <c r="A68" i="2" l="1"/>
  <c r="A69" i="2" s="1"/>
  <c r="A70" i="2" s="1"/>
  <c r="A71" i="2" s="1"/>
  <c r="A72" i="2" s="1"/>
  <c r="A73" i="2" s="1"/>
  <c r="A225" i="2"/>
  <c r="A226" i="2" s="1"/>
  <c r="A227" i="2" s="1"/>
  <c r="A228" i="2" s="1"/>
  <c r="A229" i="2" s="1"/>
  <c r="A230" i="2" s="1"/>
  <c r="A231" i="2" s="1"/>
  <c r="A232" i="2" s="1"/>
  <c r="A233" i="2" s="1"/>
  <c r="A234" i="2" s="1"/>
  <c r="A235" i="2" l="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74" i="2"/>
  <c r="A75" i="2" s="1"/>
  <c r="A76" i="2" s="1"/>
  <c r="A77" i="2" l="1"/>
  <c r="A78" i="2" s="1"/>
  <c r="A79" i="2" s="1"/>
  <c r="A281" i="2"/>
  <c r="A80" i="2" l="1"/>
  <c r="A81" i="2" s="1"/>
  <c r="A82" i="2" s="1"/>
  <c r="A83" i="2" s="1"/>
  <c r="A282" i="2"/>
  <c r="A283" i="2" s="1"/>
  <c r="A284" i="2" s="1"/>
  <c r="A84" i="2" l="1"/>
  <c r="A85" i="2" s="1"/>
  <c r="A86" i="2" s="1"/>
  <c r="A87" i="2" s="1"/>
  <c r="A88" i="2" s="1"/>
  <c r="A89" i="2" s="1"/>
  <c r="A90" i="2" s="1"/>
  <c r="A91" i="2" s="1"/>
  <c r="A92" i="2" s="1"/>
  <c r="A285" i="2"/>
  <c r="A93" i="2" l="1"/>
  <c r="A94" i="2" s="1"/>
  <c r="A95" i="2" s="1"/>
  <c r="A96" i="2" s="1"/>
  <c r="A97" i="2" s="1"/>
  <c r="A98" i="2" s="1"/>
  <c r="A286" i="2"/>
  <c r="A287" i="2" s="1"/>
  <c r="A99" i="2" l="1"/>
  <c r="A288" i="2"/>
  <c r="A100" i="2" l="1"/>
  <c r="A101" i="2" s="1"/>
  <c r="A102" i="2" s="1"/>
  <c r="A289" i="2"/>
  <c r="A290" i="2" s="1"/>
  <c r="A291" i="2" s="1"/>
  <c r="A292" i="2" s="1"/>
  <c r="A293" i="2" s="1"/>
  <c r="A294" i="2" s="1"/>
  <c r="A295" i="2" s="1"/>
  <c r="A103" i="2" l="1"/>
  <c r="A296" i="2"/>
  <c r="A297" i="2" s="1"/>
  <c r="A298" i="2" s="1"/>
  <c r="A299" i="2" s="1"/>
  <c r="A300" i="2" s="1"/>
  <c r="A301" i="2" s="1"/>
  <c r="A302" i="2" s="1"/>
  <c r="A303" i="2" s="1"/>
  <c r="A304" i="2" s="1"/>
  <c r="A305" i="2" s="1"/>
  <c r="A306" i="2" s="1"/>
  <c r="M11" i="2"/>
  <c r="A104" i="2" l="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307" i="2"/>
  <c r="A184" i="2" l="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308" i="2"/>
  <c r="A309" i="2" l="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91" i="2" s="1"/>
  <c r="A392" i="2" s="1"/>
  <c r="A393" i="2" l="1"/>
  <c r="A394" i="2" s="1"/>
  <c r="A395" i="2" s="1"/>
  <c r="A396" i="2" s="1"/>
  <c r="A397" i="2" s="1"/>
  <c r="A398" i="2" s="1"/>
  <c r="A399" i="2" s="1"/>
  <c r="A400" i="2" s="1"/>
  <c r="A401" i="2" s="1"/>
  <c r="A402" i="2" s="1"/>
  <c r="A403" i="2" s="1"/>
  <c r="A404" i="2" s="1"/>
  <c r="A405" i="2" s="1"/>
  <c r="A406" i="2" s="1"/>
  <c r="A407" i="2" s="1"/>
  <c r="A408" i="2" s="1"/>
  <c r="A409" i="2" s="1"/>
  <c r="A410" i="2" s="1"/>
  <c r="A411" i="2" s="1"/>
</calcChain>
</file>

<file path=xl/sharedStrings.xml><?xml version="1.0" encoding="utf-8"?>
<sst xmlns="http://schemas.openxmlformats.org/spreadsheetml/2006/main" count="7076" uniqueCount="1387">
  <si>
    <t>European Union</t>
  </si>
  <si>
    <t>Germany</t>
  </si>
  <si>
    <t>UK</t>
  </si>
  <si>
    <t>Poland</t>
  </si>
  <si>
    <t>Norway</t>
  </si>
  <si>
    <t>Denmark</t>
  </si>
  <si>
    <t>Sweden</t>
  </si>
  <si>
    <t>USA</t>
  </si>
  <si>
    <t>Annualized</t>
  </si>
  <si>
    <t>Bilateral aid not including US</t>
  </si>
  <si>
    <t>Total non US aid</t>
  </si>
  <si>
    <t>Japan</t>
  </si>
  <si>
    <t>Canada</t>
  </si>
  <si>
    <t>Switzerland</t>
  </si>
  <si>
    <t>France</t>
  </si>
  <si>
    <t>Military, financial &amp; humanitary aid</t>
  </si>
  <si>
    <t>Finland</t>
  </si>
  <si>
    <t>Czech Republic</t>
  </si>
  <si>
    <t>Italy</t>
  </si>
  <si>
    <t>Netherlands</t>
  </si>
  <si>
    <t>including refugees</t>
  </si>
  <si>
    <t>Sources</t>
  </si>
  <si>
    <t>Jan. 24, 2022 to Oct.31 2023</t>
  </si>
  <si>
    <t>Latest annual</t>
  </si>
  <si>
    <t>Calc</t>
  </si>
  <si>
    <t>https://www.ifw-kiel.de/topics/war-against-ukraine/ukraine-support-tracker/</t>
  </si>
  <si>
    <t xml:space="preserve">#ofYears </t>
  </si>
  <si>
    <t>Exchange rate</t>
  </si>
  <si>
    <t>1 USD =</t>
  </si>
  <si>
    <t>Euro</t>
  </si>
  <si>
    <t>Source</t>
  </si>
  <si>
    <t>https://www.xe.com/currencyconverter/convert/?Amount=1&amp;From=USD&amp;To=EUR</t>
  </si>
  <si>
    <t>Date 13 february 2024</t>
  </si>
  <si>
    <t>in % GDP</t>
  </si>
  <si>
    <t>-</t>
  </si>
  <si>
    <t>calc</t>
  </si>
  <si>
    <t>https://tradingeconomics.com/united-states/gdp</t>
  </si>
  <si>
    <t>https://tradingeconomics.com/germany/gdp</t>
  </si>
  <si>
    <t>https://tradingeconomics.com/united-kingdom/gdp</t>
  </si>
  <si>
    <t>https://tradingeconomics.com/norway/gdp</t>
  </si>
  <si>
    <t>https://tradingeconomics.com/japan/gdp</t>
  </si>
  <si>
    <t xml:space="preserve">European Union </t>
  </si>
  <si>
    <t>https://tradingeconomics.com/canada/gdp</t>
  </si>
  <si>
    <t>https://tradingeconomics.com/poland/gdp</t>
  </si>
  <si>
    <t>https://tradingeconomics.com/netherlands/gdp</t>
  </si>
  <si>
    <t>https://tradingeconomics.com/denmark/gdp</t>
  </si>
  <si>
    <t>Russia military spending</t>
  </si>
  <si>
    <t>https://tradingeconomics.com/sweden/gdp</t>
  </si>
  <si>
    <t>https://tradingeconomics.com/switzerland/gdp</t>
  </si>
  <si>
    <t>https://tradingeconomics.com/france/gdp</t>
  </si>
  <si>
    <t>https://tradingeconomics.com/finland/gdp</t>
  </si>
  <si>
    <t>https://tradingeconomics.com/czech-republic/gdp</t>
  </si>
  <si>
    <t>https://tradingeconomics.com/italy/gdp</t>
  </si>
  <si>
    <t>https://en.wikipedia.org/wiki/Military_budget_of_Russia</t>
  </si>
  <si>
    <t>https://tradingeconomics.com/russia/gdp</t>
  </si>
  <si>
    <t>GDP in B. USD</t>
  </si>
  <si>
    <t>Donor countries minus US</t>
  </si>
  <si>
    <t>Ukraine military spending</t>
  </si>
  <si>
    <t>Foreign military aid for Ukraine</t>
  </si>
  <si>
    <t>Military expence for Ukraine</t>
  </si>
  <si>
    <t>https://tradingeconomics.com/ukraine/military-expenditure</t>
  </si>
  <si>
    <t>linked</t>
  </si>
  <si>
    <t>https://www.wilsoncenter.org/blog-post/russias-unprecedented-war-budget-explained</t>
  </si>
  <si>
    <t>Only military aid, B. EUR</t>
  </si>
  <si>
    <t>Jan. 24, 2022 to Oct.31 2023, B. EUR</t>
  </si>
  <si>
    <t>Cost of UKR refugees, B. EUR</t>
  </si>
  <si>
    <t>B. EUR cost of aid</t>
  </si>
  <si>
    <t>Total B. EUR</t>
  </si>
  <si>
    <t>https://tradingeconomics.com/ukraine/gdp</t>
  </si>
  <si>
    <t xml:space="preserve">Ann. aid </t>
  </si>
  <si>
    <t>https://en.wikipedia.org/wiki/Economy_of_the_European_Union</t>
  </si>
  <si>
    <t>Donor countries minus US + EU</t>
  </si>
  <si>
    <t>Total B. USD</t>
  </si>
  <si>
    <t>All aid countries incl US &amp; EU</t>
  </si>
  <si>
    <t>mil. B. USD</t>
  </si>
  <si>
    <t>Top 15 countries and EU supporting Ukraine in billion EUR or USD</t>
  </si>
  <si>
    <t>Sum of blue aid countries+EU</t>
  </si>
  <si>
    <r>
      <t>USA</t>
    </r>
    <r>
      <rPr>
        <sz val="11"/>
        <color theme="1"/>
        <rFont val="Calibri"/>
        <family val="2"/>
        <scheme val="minor"/>
      </rPr>
      <t xml:space="preserve"> (has nuclear weapons)</t>
    </r>
  </si>
  <si>
    <r>
      <t>UK</t>
    </r>
    <r>
      <rPr>
        <sz val="11"/>
        <color theme="1"/>
        <rFont val="Calibri"/>
        <family val="2"/>
        <scheme val="minor"/>
      </rPr>
      <t xml:space="preserve"> (has nuclear weapons)</t>
    </r>
  </si>
  <si>
    <r>
      <t>France</t>
    </r>
    <r>
      <rPr>
        <sz val="11"/>
        <color theme="1"/>
        <rFont val="Calibri"/>
        <family val="2"/>
        <scheme val="minor"/>
      </rPr>
      <t xml:space="preserve"> (has nuclear weapons)</t>
    </r>
  </si>
  <si>
    <t>Military expence for Ukraine - US</t>
  </si>
  <si>
    <t>Jan. 24, 2022 to Jan. 15, 2024, B. EUR</t>
  </si>
  <si>
    <t>Financial</t>
  </si>
  <si>
    <t>Humanitarian</t>
  </si>
  <si>
    <t>Cost of refugees</t>
  </si>
  <si>
    <t>All blue aid countries incl EU</t>
  </si>
  <si>
    <t>All aid countries incl EU - US</t>
  </si>
  <si>
    <t>All aid countries incl EU &amp; US</t>
  </si>
  <si>
    <t>follow link</t>
  </si>
  <si>
    <t>https://tradingeconomics.com/japan/military-expenditure-percent-of-gdp-wb-data.html#:~:text=Military%20expenditure%20%28%25%20of%20GDP%29%20in%20Japan%20was,of%20development%20indicators%2C%20compiled%20from%20officially%20recognized%20sources.</t>
  </si>
  <si>
    <t>https://www.statista.com/chart/14636/defense-expenditures-of-nato-countries/</t>
  </si>
  <si>
    <t>Military spending in % of GDP</t>
  </si>
  <si>
    <t>https://tradingeconomics.com/sweden/military-expenditure-percent-of-gdp-wb-data.html</t>
  </si>
  <si>
    <t>https://tradingeconomics.com/united-states/military-expenditure-percent-of-gdp-wb-data.html</t>
  </si>
  <si>
    <t>https://tradingeconomics.com/germany/military-expenditure-percent-of-gdp-wb-data.html</t>
  </si>
  <si>
    <t>https://tradingeconomics.com/ukraine/military-expenditure-percent-of-gdp-wb-data.html</t>
  </si>
  <si>
    <t>https://tradingeconomics.com/russia/military-expenditure-percent-of-gdp-wb-data.html</t>
  </si>
  <si>
    <t>https://www.reuters.com/world/europe/ukraine-approves-increase-2023-defence-spending-2023-10-06/</t>
  </si>
  <si>
    <t>https://tradingeconomics.com/united-kingdom/military-expenditure-percent-of-gdp-wb-data.html</t>
  </si>
  <si>
    <t>https://tradingeconomics.com/norway/military-expenditure-percent-of-gdp-wb-data.html</t>
  </si>
  <si>
    <t>https://tradingeconomics.com/canada/military-expenditure-percent-of-gdp-wb-data.html</t>
  </si>
  <si>
    <t>https://tradingeconomics.com/poland/military-expenditure-percent-of-gdp-wb-data.html</t>
  </si>
  <si>
    <t>https://tradingeconomics.com/netherlands/military-expenditure-percent-of-gdp-wb-data.html</t>
  </si>
  <si>
    <t>https://tradingeconomics.com/denmark/military-expenditure-percent-of-gdp-wb-data.html</t>
  </si>
  <si>
    <r>
      <t>UK</t>
    </r>
    <r>
      <rPr>
        <sz val="11"/>
        <color theme="1"/>
        <rFont val="Calibri"/>
        <family val="2"/>
        <scheme val="minor"/>
      </rPr>
      <t xml:space="preserve"> (nuclear weapons) NATO</t>
    </r>
  </si>
  <si>
    <r>
      <t>France</t>
    </r>
    <r>
      <rPr>
        <sz val="11"/>
        <color theme="1"/>
        <rFont val="Calibri"/>
        <family val="2"/>
        <scheme val="minor"/>
      </rPr>
      <t xml:space="preserve"> (nuclear weapons) NATO</t>
    </r>
  </si>
  <si>
    <r>
      <t>Russia</t>
    </r>
    <r>
      <rPr>
        <sz val="11"/>
        <color theme="1"/>
        <rFont val="Calibri"/>
        <family val="2"/>
        <scheme val="minor"/>
      </rPr>
      <t xml:space="preserve"> (nuclear weapons)</t>
    </r>
  </si>
  <si>
    <t xml:space="preserve">Ukraine </t>
  </si>
  <si>
    <r>
      <t xml:space="preserve">Israel </t>
    </r>
    <r>
      <rPr>
        <sz val="11"/>
        <color theme="1"/>
        <rFont val="Calibri"/>
        <family val="2"/>
        <scheme val="minor"/>
      </rPr>
      <t>(nuclear weapons)</t>
    </r>
  </si>
  <si>
    <r>
      <t>North Korea</t>
    </r>
    <r>
      <rPr>
        <sz val="11"/>
        <color theme="1"/>
        <rFont val="Calibri"/>
        <family val="2"/>
        <scheme val="minor"/>
      </rPr>
      <t xml:space="preserve"> (nuclear weapons)</t>
    </r>
  </si>
  <si>
    <r>
      <t>India</t>
    </r>
    <r>
      <rPr>
        <sz val="11"/>
        <color theme="1"/>
        <rFont val="Calibri"/>
        <family val="2"/>
        <scheme val="minor"/>
      </rPr>
      <t xml:space="preserve"> (nuclear weapons)</t>
    </r>
  </si>
  <si>
    <r>
      <t>China</t>
    </r>
    <r>
      <rPr>
        <sz val="11"/>
        <color theme="1"/>
        <rFont val="Calibri"/>
        <family val="2"/>
        <scheme val="minor"/>
      </rPr>
      <t xml:space="preserve"> (nuclear weapons)</t>
    </r>
  </si>
  <si>
    <r>
      <t xml:space="preserve">Pakistan </t>
    </r>
    <r>
      <rPr>
        <sz val="11"/>
        <color theme="1"/>
        <rFont val="Calibri"/>
        <family val="2"/>
        <scheme val="minor"/>
      </rPr>
      <t>(nuclear weapons)</t>
    </r>
  </si>
  <si>
    <r>
      <t xml:space="preserve">Iran </t>
    </r>
    <r>
      <rPr>
        <sz val="11"/>
        <color theme="1"/>
        <rFont val="Calibri"/>
        <family val="2"/>
        <scheme val="minor"/>
      </rPr>
      <t>(nuclear weapons in 2 years)</t>
    </r>
  </si>
  <si>
    <r>
      <t>USA</t>
    </r>
    <r>
      <rPr>
        <sz val="11"/>
        <color theme="1"/>
        <rFont val="Calibri"/>
        <family val="2"/>
        <scheme val="minor"/>
      </rPr>
      <t xml:space="preserve"> (nuclear weapons) NATO</t>
    </r>
  </si>
  <si>
    <r>
      <t xml:space="preserve">Czech Republic </t>
    </r>
    <r>
      <rPr>
        <sz val="11"/>
        <color theme="1"/>
        <rFont val="Calibri"/>
        <family val="2"/>
        <scheme val="minor"/>
      </rPr>
      <t>NATO</t>
    </r>
  </si>
  <si>
    <r>
      <t xml:space="preserve">Italy </t>
    </r>
    <r>
      <rPr>
        <sz val="11"/>
        <color theme="1"/>
        <rFont val="Calibri"/>
        <family val="2"/>
        <scheme val="minor"/>
      </rPr>
      <t>NATO</t>
    </r>
  </si>
  <si>
    <r>
      <t xml:space="preserve">Finland </t>
    </r>
    <r>
      <rPr>
        <sz val="11"/>
        <color theme="1"/>
        <rFont val="Calibri"/>
        <family val="2"/>
        <scheme val="minor"/>
      </rPr>
      <t>NATO</t>
    </r>
  </si>
  <si>
    <r>
      <t xml:space="preserve">Sweden </t>
    </r>
    <r>
      <rPr>
        <sz val="11"/>
        <color theme="1"/>
        <rFont val="Calibri"/>
        <family val="2"/>
        <scheme val="minor"/>
      </rPr>
      <t>NATO</t>
    </r>
  </si>
  <si>
    <r>
      <t xml:space="preserve">Denmark </t>
    </r>
    <r>
      <rPr>
        <sz val="11"/>
        <color theme="1"/>
        <rFont val="Calibri"/>
        <family val="2"/>
        <scheme val="minor"/>
      </rPr>
      <t>NATO</t>
    </r>
  </si>
  <si>
    <r>
      <t xml:space="preserve">Netherlands </t>
    </r>
    <r>
      <rPr>
        <sz val="11"/>
        <color theme="1"/>
        <rFont val="Calibri"/>
        <family val="2"/>
        <scheme val="minor"/>
      </rPr>
      <t>NATO</t>
    </r>
  </si>
  <si>
    <r>
      <t xml:space="preserve">Norway </t>
    </r>
    <r>
      <rPr>
        <sz val="11"/>
        <color theme="1"/>
        <rFont val="Calibri"/>
        <family val="2"/>
        <scheme val="minor"/>
      </rPr>
      <t>NATO</t>
    </r>
  </si>
  <si>
    <r>
      <t>Canada</t>
    </r>
    <r>
      <rPr>
        <sz val="11"/>
        <color theme="1"/>
        <rFont val="Calibri"/>
        <family val="2"/>
        <scheme val="minor"/>
      </rPr>
      <t xml:space="preserve"> NATO</t>
    </r>
  </si>
  <si>
    <r>
      <t>Germany</t>
    </r>
    <r>
      <rPr>
        <sz val="11"/>
        <color theme="1"/>
        <rFont val="Calibri"/>
        <family val="2"/>
        <scheme val="minor"/>
      </rPr>
      <t xml:space="preserve"> NATO</t>
    </r>
  </si>
  <si>
    <r>
      <t>Poland</t>
    </r>
    <r>
      <rPr>
        <sz val="11"/>
        <color theme="1"/>
        <rFont val="Calibri"/>
        <family val="2"/>
        <scheme val="minor"/>
      </rPr>
      <t xml:space="preserve"> NATO</t>
    </r>
  </si>
  <si>
    <t>https://tradingeconomics.com/switzerland/military-expenditure-percent-of-gdp-wb-data.html</t>
  </si>
  <si>
    <t>https://tradingeconomics.com/france/military-expenditure-percent-of-gdp-wb-data.html</t>
  </si>
  <si>
    <t>https://tradingeconomics.com/finland/military-expenditure-percent-of-gdp-wb-data.html</t>
  </si>
  <si>
    <t>https://tradingeconomics.com/czech-republic/military-expenditure-percent-of-gdp-wb-data.html</t>
  </si>
  <si>
    <t>https://tradingeconomics.com/italy/military-expenditure-percent-of-gdp-wb-data.html</t>
  </si>
  <si>
    <t>https://tradingeconomics.com/china/gdp</t>
  </si>
  <si>
    <t>https://tradingeconomics.com/india/gdp</t>
  </si>
  <si>
    <t>https://tradingeconomics.com/pakistan/gdp</t>
  </si>
  <si>
    <t>https://tradingeconomics.com/north-korea/gdp</t>
  </si>
  <si>
    <t>https://tradingeconomics.com/iran/gdp</t>
  </si>
  <si>
    <t>https://tradingeconomics.com/israel/gdp</t>
  </si>
  <si>
    <t>https://tradingeconomics.com/israel/military-expenditure-percent-of-gdp-wb-data.html</t>
  </si>
  <si>
    <t>Taiwan</t>
  </si>
  <si>
    <t>https://tradingeconomics.com/china/military-expenditure-percent-of-gdp-wb-data.html</t>
  </si>
  <si>
    <t>https://tradingeconomics.com/taiwan/gdp</t>
  </si>
  <si>
    <t>https://en.wikipedia.org/wiki/List_of_countries_with_highest_military_expenditures</t>
  </si>
  <si>
    <t>https://knoema.com/atlas/Taiwan-Province-of-China/Military-expenditure-as-a-share-of-GDP</t>
  </si>
  <si>
    <t>https://www.statista.com/statistics/747387/north-korea-share-of-military-spending-in-budget/</t>
  </si>
  <si>
    <t>https://tradingeconomics.com/iran/military-expenditure-percent-of-gdp-wb-data.html</t>
  </si>
  <si>
    <t>https://tradingeconomics.com/pakistan/military-expenditure-percent-of-gdp-wb-data.html</t>
  </si>
  <si>
    <t>Military aid</t>
  </si>
  <si>
    <t>billion USD</t>
  </si>
  <si>
    <t>Refugees</t>
  </si>
  <si>
    <t>Mil.,fin.,hum.</t>
  </si>
  <si>
    <t xml:space="preserve">GDP in </t>
  </si>
  <si>
    <t>Annual</t>
  </si>
  <si>
    <t>Military, financial &amp;</t>
  </si>
  <si>
    <t>humanitarian aid</t>
  </si>
  <si>
    <t>Jan. 24, 2022 to Jan. 15 2024 in billion EUR</t>
  </si>
  <si>
    <t>total aid</t>
  </si>
  <si>
    <t>military aid</t>
  </si>
  <si>
    <t>My guess</t>
  </si>
  <si>
    <t>Ukraine versus Russia’s spending on war – How much aid is needed for Ukraine to win? #40/64</t>
  </si>
  <si>
    <t>in billion USD</t>
  </si>
  <si>
    <t>Top 15 donar countries plus EU supporting Ukraine</t>
  </si>
  <si>
    <t>Unit cost in USD</t>
  </si>
  <si>
    <t>Navy weapons</t>
  </si>
  <si>
    <t>Cost to make</t>
  </si>
  <si>
    <t>Army weapons</t>
  </si>
  <si>
    <t>Air force weapons</t>
  </si>
  <si>
    <t>https://en.wikipedia.org/wiki/MAGURA_V5</t>
  </si>
  <si>
    <t>in million USD</t>
  </si>
  <si>
    <t>https://en.wikipedia.org/wiki/M15_mine</t>
  </si>
  <si>
    <t>M15 anti-tank mine</t>
  </si>
  <si>
    <t xml:space="preserve">Cost to make </t>
  </si>
  <si>
    <t>https://en.wikipedia.org/wiki/R-360_Neptune</t>
  </si>
  <si>
    <t>https://en.wikipedia.org/wiki/Harpoon_(missile)</t>
  </si>
  <si>
    <t>https://en.wikipedia.org/wiki/Anti-personnel_mine</t>
  </si>
  <si>
    <t>https://en.defence-ua.com/analysis/how_much_155mm_ammunition_costs_now_an_example_of_the_rheinmetall_contract_for_10000_shells-5178.html</t>
  </si>
  <si>
    <t xml:space="preserve">Range </t>
  </si>
  <si>
    <t>in km</t>
  </si>
  <si>
    <t>https://www.pmulcahy.com/ammunition/mortar_rounds.html</t>
  </si>
  <si>
    <t>https://en.wikipedia.org/wiki/Archer_Artillery_System</t>
  </si>
  <si>
    <t>https://en.wikipedia.org/wiki/Panzerhaubitze_2000</t>
  </si>
  <si>
    <t>https://weaponsystems.net/system/171-60mm%2BM224</t>
  </si>
  <si>
    <t>https://en.wikipedia.org/wiki/Soltam_K6</t>
  </si>
  <si>
    <t>my guess</t>
  </si>
  <si>
    <t>https://www.nextbigfuture.com/2024/01/ukraines-one-million-fpv-drones-will-be-outnumbered-by-5-million-russian-drones.html</t>
  </si>
  <si>
    <t>https://www.newsweek.com/ukraine-fpv-drones-mykhailo-fedorov-russia-avdiivka-1853646</t>
  </si>
  <si>
    <t>Warhead</t>
  </si>
  <si>
    <t>kilograms</t>
  </si>
  <si>
    <t>https://ruavia.su/fpv-drones-hortensia-with-increased-payload-are-preparing-to-be-sent-to-the-frontline/</t>
  </si>
  <si>
    <t>60mm M224 mortar launcher</t>
  </si>
  <si>
    <t>Artillery shells 155mm, M107</t>
  </si>
  <si>
    <t>https://en.wikipedia.org/wiki/M107_projectile</t>
  </si>
  <si>
    <t>0.1/0.03</t>
  </si>
  <si>
    <t>all/explos.</t>
  </si>
  <si>
    <t>Notes</t>
  </si>
  <si>
    <t>https://en.wikipedia.org/wiki/CAESAR_self-propelled_howitzer</t>
  </si>
  <si>
    <t>1.7</t>
  </si>
  <si>
    <t>4.6</t>
  </si>
  <si>
    <t>14.3</t>
  </si>
  <si>
    <t>https://news.err.ee/1609171468/estonia-issues-historic-munitions-procurement-to-kick-start-eu-defense-industry</t>
  </si>
  <si>
    <t>4000 USD per shell is current war time price. Before Ukraine war the price was 2000 USD per shell</t>
  </si>
  <si>
    <t>Art.shells 155mm, base bleed</t>
  </si>
  <si>
    <t>Art.shells 155mm, M982 GPS</t>
  </si>
  <si>
    <t>https://en.wikipedia.org/wiki/M982_Excalibur</t>
  </si>
  <si>
    <t>8000 USD per shell is likely current war time price. Before Ukraine war the price was 4000 USD per shell</t>
  </si>
  <si>
    <t>12000 USD per rocket assiust shell is my best guess current war time price. Before Ukraine war the price was 6000 USD per shell</t>
  </si>
  <si>
    <t>48/5.4</t>
  </si>
  <si>
    <t>43.6/7</t>
  </si>
  <si>
    <t>https://en.wikipedia.org/wiki/M549</t>
  </si>
  <si>
    <t>My best guess</t>
  </si>
  <si>
    <t>43.2/6.9</t>
  </si>
  <si>
    <t>Military spending</t>
  </si>
  <si>
    <t>All blue aid countries</t>
  </si>
  <si>
    <t>Ukraine spending in % of RUS</t>
  </si>
  <si>
    <t>Ukraine + foreign aid &amp; loans</t>
  </si>
  <si>
    <t>https://tradingeconomics.com/turkey/gdp</t>
  </si>
  <si>
    <t>https://tradingeconomics.com/turkey/military-expenditure-percent-of-gdp-wb-data.html</t>
  </si>
  <si>
    <r>
      <t xml:space="preserve">Turkey </t>
    </r>
    <r>
      <rPr>
        <sz val="11"/>
        <color theme="1"/>
        <rFont val="Calibri"/>
        <family val="2"/>
        <scheme val="minor"/>
      </rPr>
      <t>NATO</t>
    </r>
  </si>
  <si>
    <t>Population</t>
  </si>
  <si>
    <t>millions</t>
  </si>
  <si>
    <r>
      <t xml:space="preserve">Iran </t>
    </r>
    <r>
      <rPr>
        <sz val="11"/>
        <color theme="1"/>
        <rFont val="Calibri"/>
        <family val="2"/>
        <scheme val="minor"/>
      </rPr>
      <t>(nuclear weapons, 2 years?)</t>
    </r>
  </si>
  <si>
    <t>https://tradingeconomics.com/united-states/population</t>
  </si>
  <si>
    <t>https://en.wikipedia.org/wiki/Demographics_of_the_European_Union</t>
  </si>
  <si>
    <t>https://tradingeconomics.com/germany/population</t>
  </si>
  <si>
    <t>https://tradingeconomics.com/united-kingdom/population</t>
  </si>
  <si>
    <t>in 2023 in</t>
  </si>
  <si>
    <t>https://tradingeconomics.com/denmark/population</t>
  </si>
  <si>
    <t>https://tradingeconomics.com/norway/population</t>
  </si>
  <si>
    <t>https://tradingeconomics.com/japan/population</t>
  </si>
  <si>
    <t>https://tradingeconomics.com/canada/population</t>
  </si>
  <si>
    <t>https://tradingeconomics.com/poland/population</t>
  </si>
  <si>
    <t>https://tradingeconomics.com/netherlands/population</t>
  </si>
  <si>
    <t>https://tradingeconomics.com/sweden/population</t>
  </si>
  <si>
    <t>https://tradingeconomics.com/switzerland/population</t>
  </si>
  <si>
    <t>https://tradingeconomics.com/france/population</t>
  </si>
  <si>
    <t>https://tradingeconomics.com/finland/population</t>
  </si>
  <si>
    <t>https://tradingeconomics.com/czech-republic/population</t>
  </si>
  <si>
    <t>https://tradingeconomics.com/italy/population</t>
  </si>
  <si>
    <t>https://tradingeconomics.com/russia/population</t>
  </si>
  <si>
    <t>https://tradingeconomics.com/ukraine/population</t>
  </si>
  <si>
    <t>#</t>
  </si>
  <si>
    <t>Type of loss</t>
  </si>
  <si>
    <t>Losses from Feb. 24, 2022 to Jun. 15, 2023</t>
  </si>
  <si>
    <t>Losses from Feb. 24, 2022 to Mar. 16, 2024</t>
  </si>
  <si>
    <t>Losses from Jun. 15, 2023 to Mar. 16, 2024</t>
  </si>
  <si>
    <t>Russian active</t>
  </si>
  <si>
    <t>Russian active &amp;</t>
  </si>
  <si>
    <t>Ukraine active &amp;</t>
  </si>
  <si>
    <t>Russian</t>
  </si>
  <si>
    <t>Ukraine</t>
  </si>
  <si>
    <t>Kill ratios</t>
  </si>
  <si>
    <t xml:space="preserve">stock on </t>
  </si>
  <si>
    <t xml:space="preserve">passive stock on </t>
  </si>
  <si>
    <t xml:space="preserve">losses </t>
  </si>
  <si>
    <t>losses</t>
  </si>
  <si>
    <t>RUS/UKR</t>
  </si>
  <si>
    <t>confirmed</t>
  </si>
  <si>
    <t>Tanks</t>
  </si>
  <si>
    <t>of which captured</t>
  </si>
  <si>
    <t>Armored fighting vehicles</t>
  </si>
  <si>
    <t>Infantry fighting vehicles</t>
  </si>
  <si>
    <t>Armored personnel carriers</t>
  </si>
  <si>
    <t>Other APCs (MRAPs)</t>
  </si>
  <si>
    <t>Infantry mobility vehicles</t>
  </si>
  <si>
    <t>Command and com vehicles</t>
  </si>
  <si>
    <t>Total armored vehicles (2 to 7)</t>
  </si>
  <si>
    <t>Engineering vehicles special equipm.</t>
  </si>
  <si>
    <t>Anti-tank vehicles</t>
  </si>
  <si>
    <t>Artillery support vehicles</t>
  </si>
  <si>
    <t>Towed artillery</t>
  </si>
  <si>
    <t>Self propelled artillery</t>
  </si>
  <si>
    <t>Multiple rocket launchers</t>
  </si>
  <si>
    <t>Total artillery (10 to 14)</t>
  </si>
  <si>
    <t>Anti-aircraft guns</t>
  </si>
  <si>
    <t>Self propelled anti-aircraft guns</t>
  </si>
  <si>
    <t>Surface-To-Air Missile Systems</t>
  </si>
  <si>
    <t>Radars</t>
  </si>
  <si>
    <t>Jammers and deception systems</t>
  </si>
  <si>
    <t>Total anti-aircraft (16 to 20)</t>
  </si>
  <si>
    <t>Aircraft</t>
  </si>
  <si>
    <t>Helicopters</t>
  </si>
  <si>
    <t>Combat Unmanned Aerial Vehicles</t>
  </si>
  <si>
    <t>Reconnaissance UAVs</t>
  </si>
  <si>
    <t>Total UAVs (24 to 25)</t>
  </si>
  <si>
    <t>Naval ships, Black Sea only</t>
  </si>
  <si>
    <t>519 entire Rus</t>
  </si>
  <si>
    <t>Submarines, Black Sea only</t>
  </si>
  <si>
    <t>Trucks, Vehicles and Jeeps</t>
  </si>
  <si>
    <t>of which destroyed</t>
  </si>
  <si>
    <t>of which damaged</t>
  </si>
  <si>
    <t xml:space="preserve">of which abandoned </t>
  </si>
  <si>
    <t>Wounded personnel 3*killed</t>
  </si>
  <si>
    <r>
      <t xml:space="preserve">Sources: </t>
    </r>
    <r>
      <rPr>
        <sz val="11"/>
        <color theme="1"/>
        <rFont val="Calibri"/>
        <family val="2"/>
        <scheme val="minor"/>
      </rPr>
      <t>Follow link below video to download spreadsheet containing clickable sources</t>
    </r>
  </si>
  <si>
    <t>control</t>
  </si>
  <si>
    <t>note</t>
  </si>
  <si>
    <t>small error</t>
  </si>
  <si>
    <t>https://www.minusrus.com/en</t>
  </si>
  <si>
    <t>https://twitter.com/HMexperienceDK/status/1768915880694391294</t>
  </si>
  <si>
    <t>https://militarywatchmagazine.com/article/850-obsolete-tanks-can-t-stop-russia-ukraine-chose-sheer-numbers-over-modernisation-and-suffered</t>
  </si>
  <si>
    <t>https://www.oryxspioenkop.com/2022/02/attack-on-europe-documenting-equipment.html</t>
  </si>
  <si>
    <t>https://www.mil.gov.ua/en/news/2023/06/15/the-total-combat-losses-of-the-enemy-from-24-02-2022-to-15-06-2023/</t>
  </si>
  <si>
    <t>https://www.oryxspioenkop.com/2022/02/attack-on-europe-documenting-ukrainian.html</t>
  </si>
  <si>
    <t>Military losses and stocks Ukraine &amp; Russia</t>
  </si>
  <si>
    <t>Country</t>
  </si>
  <si>
    <t>Russia</t>
  </si>
  <si>
    <t>Ratio R/U</t>
  </si>
  <si>
    <t>EU</t>
  </si>
  <si>
    <t>Population mill.</t>
  </si>
  <si>
    <t xml:space="preserve">GDP billion USD </t>
  </si>
  <si>
    <t>Follow link</t>
  </si>
  <si>
    <t>Population and GDP in 2023</t>
  </si>
  <si>
    <t>Russian new</t>
  </si>
  <si>
    <t>production</t>
  </si>
  <si>
    <t>annually 2023</t>
  </si>
  <si>
    <t>https://youtu.be/0B_4M5dTHIU?si=rFgRbCdII3G6OytB&amp;t=656</t>
  </si>
  <si>
    <t>My guess. Artillery systems cost 10 to 15 million USD a piece same as for infantry fighting vehicles so I assume the production level is similar</t>
  </si>
  <si>
    <t>Assuming Russia made 2X the 27 aircraft the build in 2022 see https://wavellroom.com/2023/02/17/russian-combat-aircraft-sanctions/</t>
  </si>
  <si>
    <t>Following source ( https://www.forbes.com/sites/davidaxe/2024/01/09/the-russians-could-run-out-of-infantry-fighting-vehicles-in-two-or-three-years/?sh=174d967c63f6 ) say Russia make 400 BMP-3 annually. I have added 200 of other vehicles in this categoty that I guess Russia can make</t>
  </si>
  <si>
    <t>https://youtu.be/geSvbR9io3c?si=4v1rMojcgpSvUhp8&amp;t=592</t>
  </si>
  <si>
    <t>I could not find any reliable sources so I guess that Russia can make 10% of its prewar stock of helicopters</t>
  </si>
  <si>
    <t>I could not find any reliable sources so I guess that Russia can make 10% of its prewar stock of anti-aircraft systems</t>
  </si>
  <si>
    <t>losses unco.</t>
  </si>
  <si>
    <t>per day</t>
  </si>
  <si>
    <t>Russian avg.</t>
  </si>
  <si>
    <t>Remaining</t>
  </si>
  <si>
    <t>Number of days / months considered</t>
  </si>
  <si>
    <t>D</t>
  </si>
  <si>
    <t>M</t>
  </si>
  <si>
    <t>Table 1: Kill ratios calculated for entire length of war</t>
  </si>
  <si>
    <r>
      <t xml:space="preserve">Sources: </t>
    </r>
    <r>
      <rPr>
        <sz val="9"/>
        <color theme="1"/>
        <rFont val="Calibri"/>
        <family val="2"/>
        <scheme val="minor"/>
      </rPr>
      <t>Follow link below video to download spreadsheet containing clickable sources</t>
    </r>
  </si>
  <si>
    <t>daily in 2023</t>
  </si>
  <si>
    <t>unconfi.</t>
  </si>
  <si>
    <t>Likely</t>
  </si>
  <si>
    <t>Killed personnel unconfirmed</t>
  </si>
  <si>
    <t>Speed</t>
  </si>
  <si>
    <t>Time</t>
  </si>
  <si>
    <t>in km/h</t>
  </si>
  <si>
    <t>Minutes</t>
  </si>
  <si>
    <t>RPG-7 launcher</t>
  </si>
  <si>
    <t>2.6</t>
  </si>
  <si>
    <t>1.6</t>
  </si>
  <si>
    <t>RPG-7 rocket with armor p. grenate</t>
  </si>
  <si>
    <t>RPG-7 armor p. grenate only</t>
  </si>
  <si>
    <t>RPG-7 fragmentation grenate only</t>
  </si>
  <si>
    <t>https://en.wikipedia.org/wiki/RPG-7</t>
  </si>
  <si>
    <t>1.0</t>
  </si>
  <si>
    <t>https://en.wikipedia.org/wiki/Storm_Shadow</t>
  </si>
  <si>
    <t>450</t>
  </si>
  <si>
    <t>35M</t>
  </si>
  <si>
    <t>https://www.rferl.org/a/lancet-drones-russia-invasion-counteroffensive-kamikaze/32493513.html</t>
  </si>
  <si>
    <t>https://en.wikipedia.org/wiki/ZALA_Lancet</t>
  </si>
  <si>
    <t>https://en.wikipedia.org/wiki/HESA_Shahed_136</t>
  </si>
  <si>
    <t>https://en.wikipedia.org/wiki/HESA_Shahed_133</t>
  </si>
  <si>
    <t>https://en.wikipedia.org/wiki/HESA_Shahed_134</t>
  </si>
  <si>
    <t>https://www.reuters.com/world/europe/inside-ukraines-scramble-game-changer-drone-fleet-2023-03-24/</t>
  </si>
  <si>
    <t>https://en.defence-ua.com/news/liutyi_uav_is_responsible_for_attacks_on_taganrog_russians_assume_drone_with_1000_km_range_finally_in_action-9779.html</t>
  </si>
  <si>
    <t># build</t>
  </si>
  <si>
    <t>&gt;100</t>
  </si>
  <si>
    <t>&lt;100</t>
  </si>
  <si>
    <t>60H</t>
  </si>
  <si>
    <t>20M</t>
  </si>
  <si>
    <t>10M</t>
  </si>
  <si>
    <t>&gt;10M</t>
  </si>
  <si>
    <t>&lt;1M</t>
  </si>
  <si>
    <t>&lt;100.000</t>
  </si>
  <si>
    <t>&lt;20,000</t>
  </si>
  <si>
    <t>ChatGPT4</t>
  </si>
  <si>
    <t>48</t>
  </si>
  <si>
    <t>minutes</t>
  </si>
  <si>
    <t>&gt;500</t>
  </si>
  <si>
    <t>&gt;501</t>
  </si>
  <si>
    <t>seconds</t>
  </si>
  <si>
    <t>https://en.wikipedia.org/wiki/Mikoyan_MiG-29</t>
  </si>
  <si>
    <t>&gt;1,600</t>
  </si>
  <si>
    <t>&gt;5,000</t>
  </si>
  <si>
    <t>&gt;10,000</t>
  </si>
  <si>
    <t>https://www.angelfire.com/falcon/fighterplanes/texts/articles/MiG-29.html</t>
  </si>
  <si>
    <t>4M</t>
  </si>
  <si>
    <t>10H</t>
  </si>
  <si>
    <t>Losses from Feb. 24, 2022 to Apr. 11, 2024</t>
  </si>
  <si>
    <t>https://twitter.com/EuromaidanPress/status/1778299697494462846</t>
  </si>
  <si>
    <t>Losses from Jun. 15, 2023 to Apr. 12, 2024</t>
  </si>
  <si>
    <t>Losses from Jun. 15, 2023 to Apr. 11, 2024</t>
  </si>
  <si>
    <t>Feb. 24, 22 to Apr. 11, 24</t>
  </si>
  <si>
    <t>Jun. 15, 23 to Apr. 11, 24</t>
  </si>
  <si>
    <t>https://www.businessinsider.com/russia-recruiting-30000-troops-a-month-ukraine-frontline-losses-analysts-2024-1</t>
  </si>
  <si>
    <t>Total equipment losses (not 26, 29)</t>
  </si>
  <si>
    <t>My estimate. Enginering vehicles are similar to tanks in costs so I multiply number of new tanks per year with fraction of enginering vehicles to tanks that are unconfirmed lost in action.</t>
  </si>
  <si>
    <t>Sources - Military losses and stocks Ukraine &amp; Russia</t>
  </si>
  <si>
    <t>calculated simply Russian population times the percentage of population that could be fit for military service</t>
  </si>
  <si>
    <t>Table 2: Kill ratios calculated for last 10 months of war</t>
  </si>
  <si>
    <t xml:space="preserve">to depletion </t>
  </si>
  <si>
    <t>of all stocks</t>
  </si>
  <si>
    <t>Months left</t>
  </si>
  <si>
    <t>120mm Soltam K6 mortar launcher</t>
  </si>
  <si>
    <t>https://en.wikipedia.org/wiki/M142_HIMARS</t>
  </si>
  <si>
    <t>&gt;540</t>
  </si>
  <si>
    <t>HIMARS M142 rocket launcher</t>
  </si>
  <si>
    <t>227 mm unguided rocket MLRS</t>
  </si>
  <si>
    <t>Rockets include M26, M26A1 ER, AT2 that are either cluster munitions or anti-tank mines</t>
  </si>
  <si>
    <t>&gt;30000</t>
  </si>
  <si>
    <t>https://en.wikipedia.org/wiki/M142_HIMARS#cite_note-Marine_Corps_Gazette-78</t>
  </si>
  <si>
    <t>https://en.wikipedia.org/wiki/Ground_Launched_Small_Diameter_Bomb</t>
  </si>
  <si>
    <t>93/16</t>
  </si>
  <si>
    <t>Armor pearcing warhead 0.91 meter , also fragmentation warhead Ground Launched Small Diameter Bomb</t>
  </si>
  <si>
    <t>50000</t>
  </si>
  <si>
    <t>91</t>
  </si>
  <si>
    <t>M30to M31 variants all kinds of warheads</t>
  </si>
  <si>
    <t>https://kyivindependent.com/why-is-russia-so-vulnerable-to-himars-in-ukraine/</t>
  </si>
  <si>
    <t>2M</t>
  </si>
  <si>
    <t>https://en.wikipedia.org/wiki/MGM-140_ATACMS</t>
  </si>
  <si>
    <t>6M</t>
  </si>
  <si>
    <t>200</t>
  </si>
  <si>
    <t>https://en.wikipedia.org/wiki/M142_HIMARS#</t>
  </si>
  <si>
    <t>https://en.wikipedia.org/wiki/Tomahawk_(missile)</t>
  </si>
  <si>
    <t>100M</t>
  </si>
  <si>
    <t>&gt;1000</t>
  </si>
  <si>
    <t>https://www.independent.co.uk/news/world/europe/storm-shadow-missiles-ukraine-uk-weapons-b2339703.html</t>
  </si>
  <si>
    <t>700-1000</t>
  </si>
  <si>
    <t>M=million</t>
  </si>
  <si>
    <t>&gt;1M</t>
  </si>
  <si>
    <t>https://www.kyivpost.com/post/29064</t>
  </si>
  <si>
    <t>https://www.washingtonpost.com/investigations/2023/08/17/russia-iran-drone-shahed-alabuga/</t>
  </si>
  <si>
    <t>&gt;10.000</t>
  </si>
  <si>
    <t>My best guess see also https://defence-industry.eu/russia-ramps-up-production-of-lancet-kamikaze-drones/</t>
  </si>
  <si>
    <t>&gt;50</t>
  </si>
  <si>
    <t>&gt;300</t>
  </si>
  <si>
    <t>My best guess only very few confirmed use by video of it attacking Russia</t>
  </si>
  <si>
    <t>My best guess . Has been used on docens of attacks in Russia in 2024 and late 2023</t>
  </si>
  <si>
    <t>4,900</t>
  </si>
  <si>
    <t>3,690</t>
  </si>
  <si>
    <t>https://en.wikipedia.org/wiki/General_Dynamics_F-16_Fighting_Falcon</t>
  </si>
  <si>
    <t>F16 (AM/BM Danish v. for UKR)</t>
  </si>
  <si>
    <t>https://en.wikipedia.org/wiki/General_Dynamics_F-16_Fighting_Falcon_variants#Specifications</t>
  </si>
  <si>
    <t>https://en.wikipedia.org/wiki/General_Dynamics_F-16_Fighting_Falcon_variants#F-16I_Sufa</t>
  </si>
  <si>
    <t>Anti-aircraft systems</t>
  </si>
  <si>
    <t>240</t>
  </si>
  <si>
    <t>https://www.reuters.com/world/europe/what-is-patriot-missile-defense-system-2022-12-21/</t>
  </si>
  <si>
    <t>Patriot battery w. radar launchers and control</t>
  </si>
  <si>
    <t>https://en.wikipedia.org/wiki/MIM-104_Patriot</t>
  </si>
  <si>
    <t>https://en.wikipedia.org/wiki/MIM-104_Patriot#Variants</t>
  </si>
  <si>
    <t>my best guess</t>
  </si>
  <si>
    <t>https://en.wikipedia.org/wiki/NASAMS</t>
  </si>
  <si>
    <t>30-50</t>
  </si>
  <si>
    <t>https://www.thenationalnews.com/world/europe/2022/10/12/explained-the-iris-t-slm-and-nasams-air-defence-systems-ukraine-needs/</t>
  </si>
  <si>
    <t>https://en.wikipedia.org/wiki/AIM-120_AMRAAM</t>
  </si>
  <si>
    <t>&gt;20,000</t>
  </si>
  <si>
    <t>my best guess same as NASAMS just build by Germany instead of US and Norway</t>
  </si>
  <si>
    <t>1.2M</t>
  </si>
  <si>
    <t>Hawk missile (legacy no production)</t>
  </si>
  <si>
    <t>https://en.wikipedia.org/wiki/MIM-23_Hawk</t>
  </si>
  <si>
    <t>Gun trucks with radar, 30mm canon</t>
  </si>
  <si>
    <t>my guess see https://www.nationaldefensemagazine.org/articles/2023/5/22/us-made--counter-drone-trucks-head-for-ukraine</t>
  </si>
  <si>
    <t>https://en.wikipedia.org/wiki/M230_chain_gun</t>
  </si>
  <si>
    <t>&gt;5M</t>
  </si>
  <si>
    <t>35mm timer shells for Gepard</t>
  </si>
  <si>
    <t>Gepard armored vehicle (legacy)</t>
  </si>
  <si>
    <t>https://en.wikipedia.org/wiki/Flakpanzer_Gepard</t>
  </si>
  <si>
    <t>my best guess see https://en.wikipedia.org/wiki/Flakpanzer_Gepard#Guns</t>
  </si>
  <si>
    <t>https://en.wikipedia.org/wiki/Flakpanzer_Gepard#Guns</t>
  </si>
  <si>
    <t>&gt;200</t>
  </si>
  <si>
    <t>https://en.wikipedia.org/wiki/Oerlikon_GDF</t>
  </si>
  <si>
    <t>https://en.wikipedia.org/wiki/Joint_Direct_Attack_Munition</t>
  </si>
  <si>
    <t>230-910</t>
  </si>
  <si>
    <t>Bradley armored fighting vehicle</t>
  </si>
  <si>
    <t>https://en.wikipedia.org/wiki/M2_Bradley#Production_history</t>
  </si>
  <si>
    <t>25mm M242 Bushmaster for Bradley</t>
  </si>
  <si>
    <t>https://en.wikipedia.org/wiki/M242_Bushmaster</t>
  </si>
  <si>
    <t>3-6.8</t>
  </si>
  <si>
    <t>FGM-148 Javelin anti-tank launch unit</t>
  </si>
  <si>
    <t>&gt;9M</t>
  </si>
  <si>
    <t>&gt;50M</t>
  </si>
  <si>
    <t>0.33-0.7</t>
  </si>
  <si>
    <t>https://en.wikipedia.org/wiki/FGM-148_Javelin</t>
  </si>
  <si>
    <t>&gt;12,000</t>
  </si>
  <si>
    <t>8.4</t>
  </si>
  <si>
    <t>3-5.5</t>
  </si>
  <si>
    <t>&gt;2,000</t>
  </si>
  <si>
    <t>https://en.wikipedia.org/wiki/Skif_(anti-tank_guided_missile)</t>
  </si>
  <si>
    <t>my guess see https://en.wikipedia.org/wiki/Skif_(anti-tank_guided_missile)</t>
  </si>
  <si>
    <t>Stugna P launch unit anti-tank</t>
  </si>
  <si>
    <t>Stugna P anti-tank missile</t>
  </si>
  <si>
    <t>NLAW anti-tank missile</t>
  </si>
  <si>
    <t>&gt;24,200</t>
  </si>
  <si>
    <t>1.8</t>
  </si>
  <si>
    <t>https://en.wikipedia.org/wiki/NLAW</t>
  </si>
  <si>
    <t>AMRAAM missile for NASAMS</t>
  </si>
  <si>
    <t>&gt;14,000</t>
  </si>
  <si>
    <t>20</t>
  </si>
  <si>
    <t>1M</t>
  </si>
  <si>
    <t>The US has developed a ground launched version of Tomahawk  see https://nationalinterest.org/blog/reboot/tomahawk-missile-can-now-be-launched-ground-too-173768</t>
  </si>
  <si>
    <t>https://en.wikipedia.org/wiki/M61_Vulcan</t>
  </si>
  <si>
    <t>https://www.gd-ots.com/armaments/aircraft-guns-gun-systems/f-16/</t>
  </si>
  <si>
    <t>https://en.wikipedia.org/wiki/AIM-9_Sidewinder</t>
  </si>
  <si>
    <t>9.4</t>
  </si>
  <si>
    <t>&gt;110,000</t>
  </si>
  <si>
    <t>https://en.wikipedia.org/wiki/AGM-65_Maverick</t>
  </si>
  <si>
    <t>&gt;550,000</t>
  </si>
  <si>
    <t>&gt;70,000</t>
  </si>
  <si>
    <t>57-136</t>
  </si>
  <si>
    <t>https://www.defensenews.com/pentagon/2023/03/13/pentagon-budget-aims-to-max-munitions-production-make-multiyear-buys/</t>
  </si>
  <si>
    <t>https://en.wikipedia.org/wiki/Joint_Strike_Missile</t>
  </si>
  <si>
    <t>31M</t>
  </si>
  <si>
    <t>120</t>
  </si>
  <si>
    <t>&gt;20</t>
  </si>
  <si>
    <t>https://en.wikipedia.org/wiki/Taurus_KEPD_350</t>
  </si>
  <si>
    <t>https://en.wikipedia.org/wiki/Taurus_KEPD_351</t>
  </si>
  <si>
    <t>https://en.wikipedia.org/wiki/Taurus_KEPD_353</t>
  </si>
  <si>
    <t>https://en.wikipedia.org/wiki/Taurus_KEPD_354</t>
  </si>
  <si>
    <t>https://english.elpais.com/international/2024-03-17/the-taurus-the-german-weapon-that-ukraine-wants-to-use-to-strike-russian-targets-away-from-the-front-lines.html#</t>
  </si>
  <si>
    <t>480</t>
  </si>
  <si>
    <t>28M</t>
  </si>
  <si>
    <t>https://euromaidanpress.com/2024/03/23/meet-liutyi-ukraines-homegrown-drone-behind-strikes-on-russian-oil-refineries/</t>
  </si>
  <si>
    <t>https://en.wikipedia.org/wiki/AGM-88_HARM</t>
  </si>
  <si>
    <t>68</t>
  </si>
  <si>
    <t>5M</t>
  </si>
  <si>
    <t>&gt;3000</t>
  </si>
  <si>
    <t>my gues see also https://en.wikipedia.org/wiki/AGM-88_HARM#Criticism</t>
  </si>
  <si>
    <t>Armement Air-Sol Modulaire - Wikipedia</t>
  </si>
  <si>
    <t>https://en.wikipedia.org/wiki/Armement_Air-Sol_Modulaire</t>
  </si>
  <si>
    <t>250</t>
  </si>
  <si>
    <t>I think the range claim on wiki is BS. More likely 1200km</t>
  </si>
  <si>
    <t>&gt;8.000</t>
  </si>
  <si>
    <t>See my video https://www.youtube.com/watch?v=bYiTZfBnXsY</t>
  </si>
  <si>
    <t>Not in production</t>
  </si>
  <si>
    <t>Mig-29 (Ukr main fighter)</t>
  </si>
  <si>
    <t xml:space="preserve"> - AGM-65 Maverick land rocket for F16 </t>
  </si>
  <si>
    <t xml:space="preserve"> - AMRAAM 120 anti-aircraft for F16</t>
  </si>
  <si>
    <t xml:space="preserve"> - AIM-9 Sidewinder anti-aircraft for F16</t>
  </si>
  <si>
    <t>Su-35 (Rus main fighter jet)</t>
  </si>
  <si>
    <t>&gt;151</t>
  </si>
  <si>
    <t>https://en.wikipedia.org/wiki/Sukhoi_Su-35#Specifications_(Su-35S)</t>
  </si>
  <si>
    <t>https://aerocorner.com/aircraft/sukhoi-su-35/</t>
  </si>
  <si>
    <t>Su-34 (other Rus  main fighter jet)</t>
  </si>
  <si>
    <t>https://en.wikipedia.org/wiki/Sukhoi_Su-34</t>
  </si>
  <si>
    <t>https://www.airplaneupdate.com/2019/04/sukhoi-su-34.html</t>
  </si>
  <si>
    <t xml:space="preserve"> - UMPK Russia’s JDAM on FAB-500</t>
  </si>
  <si>
    <t>https://en.wikipedia.org/wiki/FAB-500</t>
  </si>
  <si>
    <t>https://www.popularmechanics.com/military/weapons/a43571893/how-dumb-are-russias-winged-smart-bombs/</t>
  </si>
  <si>
    <t>500</t>
  </si>
  <si>
    <t>I assume same as US JDAM</t>
  </si>
  <si>
    <t>my guess Ukraine is hit daily with 20 of these and the number is increasing</t>
  </si>
  <si>
    <t>&gt;1,000</t>
  </si>
  <si>
    <t>https://simpleflying.com/how-much-does-an-f-35-cost/#:~:text=Summary%20The%20F-35%20Lightning%20II%20is%20a%20multirole,currently%20costs%20up%20to%20%24109%20million%20per%20aircraft.</t>
  </si>
  <si>
    <t>https://en.wikipedia.org/wiki/Lockheed_Martin_F-35_Lightning_II#Specifications_(F-35A)</t>
  </si>
  <si>
    <t>https://en.wikipedia.org/wiki/9K720_Iskander</t>
  </si>
  <si>
    <t>F35 NATO fighter jet radar invisible</t>
  </si>
  <si>
    <t>480-700</t>
  </si>
  <si>
    <t>Storm Shadow UK air launched cruise m.</t>
  </si>
  <si>
    <t>Taurus GE KEPD air launched cruise m.</t>
  </si>
  <si>
    <t>450-800</t>
  </si>
  <si>
    <t>https://euromaidanpress.com/2023/01/20/how-many-air-launched-kh-101-missiles-russia-is-able-to-produce-analysis/</t>
  </si>
  <si>
    <t xml:space="preserve">The larger warhead is achieved by reducing its range. </t>
  </si>
  <si>
    <t>https://en.wikipedia.org/wiki/Kh-55</t>
  </si>
  <si>
    <t>https://en.wikipedia.org/wiki/Kh-56</t>
  </si>
  <si>
    <t>https://en.wikipedia.org/wiki/Kh-58</t>
  </si>
  <si>
    <t>https://en.wikipedia.org/wiki/Kh-55#Kh-101/102_(X-101/102)</t>
  </si>
  <si>
    <t>3H</t>
  </si>
  <si>
    <t>310</t>
  </si>
  <si>
    <t>25M</t>
  </si>
  <si>
    <t>my guess production started in 2024 first use in february 2024 see https://euromaidanpress.com/2024/04/12/russias-new-kh-69-cruise-missiles-worse-than-kinzhal-used-in-trypilska-power-plant-strike/</t>
  </si>
  <si>
    <t>https://euromaidanpress.com/2024/04/12/russias-new-kh-69-cruise-missiles-worse-than-kinzhal-used-in-trypilska-power-plant-strike/</t>
  </si>
  <si>
    <t xml:space="preserve"> - Kh-69 small cruise missile</t>
  </si>
  <si>
    <t xml:space="preserve"> - 30mm Gryazev-Shipunov GSh-30-1</t>
  </si>
  <si>
    <t>https://en.wikipedia.org/wiki/Gryazev-Shipunov_GSh-30-1</t>
  </si>
  <si>
    <t>3 sec.</t>
  </si>
  <si>
    <t>2 sec.</t>
  </si>
  <si>
    <t>5 sec.</t>
  </si>
  <si>
    <t>1 sec.</t>
  </si>
  <si>
    <t xml:space="preserve"> - 25mm gun GAU-22/A</t>
  </si>
  <si>
    <t>3.5 sec.</t>
  </si>
  <si>
    <t>https://en.wikipedia.org/wiki/GAU-12_Equalizer#GAU-22/A</t>
  </si>
  <si>
    <t>https://en.wikipedia.org/wiki/Kh-47M2_Kinzhal</t>
  </si>
  <si>
    <t>my best guess can do nuclear or conventional</t>
  </si>
  <si>
    <t>my best estimate see https://twitter.com/oleksiireznikov/status/1594998365170896896</t>
  </si>
  <si>
    <t>&gt;1100</t>
  </si>
  <si>
    <t>https://en.defence-ua.com/weapon_and_tech/how_many_iskander_and_calibr_cruise_missiles_has_russia_left_quantitative_research-2825.html see also https://twitter.com/oleksiireznikov/status/1594998365170896896</t>
  </si>
  <si>
    <t>https://twitter.com/oleksiireznikov/status/1594998365170896896</t>
  </si>
  <si>
    <t>3m-55 Onyx P-800 Oniks Rus ground l.</t>
  </si>
  <si>
    <t>300</t>
  </si>
  <si>
    <t>11M</t>
  </si>
  <si>
    <t>https://en.wikipedia.org/wiki/P-800_Oniks</t>
  </si>
  <si>
    <t>https://en.wikipedia.org/wiki/Kalibr_(missile_family)</t>
  </si>
  <si>
    <t>&gt;800</t>
  </si>
  <si>
    <t>32M</t>
  </si>
  <si>
    <t>https://en.wikipedia.org/wiki/S-200_missile_system</t>
  </si>
  <si>
    <t>S-200 missile used by Ukr (legacy)</t>
  </si>
  <si>
    <t>&gt;2000</t>
  </si>
  <si>
    <t>https://en.wikipedia.org/wiki/S-300_missile_system#Specifications</t>
  </si>
  <si>
    <t>https://en.wikipedia.org/wiki/S-400_missile_system</t>
  </si>
  <si>
    <t>S-400 battery w. radar launchers&amp;control</t>
  </si>
  <si>
    <t>S-400 missile 40N6E many versions</t>
  </si>
  <si>
    <t>1 to 3 M</t>
  </si>
  <si>
    <t>best guess has been in production since 2001 and is a replacement for S-300 that nevertheless is still in production</t>
  </si>
  <si>
    <t>145</t>
  </si>
  <si>
    <t>https://en.wikipedia.org/wiki/Kh-35</t>
  </si>
  <si>
    <t>https://en.wikipedia.org/wiki/Kh-36</t>
  </si>
  <si>
    <t>https://en.wikipedia.org/wiki/Kh-37</t>
  </si>
  <si>
    <t>https://en.wikipedia.org/wiki/Kh-38</t>
  </si>
  <si>
    <t>&gt;1200</t>
  </si>
  <si>
    <t xml:space="preserve"> - Kh-35 small cruise missile</t>
  </si>
  <si>
    <t>17M</t>
  </si>
  <si>
    <t>https://en.wikipedia.org/wiki/Tupolev_Tu-22M#Specifications_(Tu-22M3)</t>
  </si>
  <si>
    <t>https://en.wikipedia.org/wiki/Boeing_B-52_Stratofortress#Specifications_(B-52H)</t>
  </si>
  <si>
    <t>B-52 US strategic bomber (legacy)</t>
  </si>
  <si>
    <t>Table 3: Comparing kill ratios - Entire war and last 10 months</t>
  </si>
  <si>
    <t>https://en.wikipedia.org/wiki/Beriev_A-50</t>
  </si>
  <si>
    <t>https://www.ukrainianworldcongress.org/belarus-partisans-blow-up-russias-330-million-beriev-a-50-aircraft/</t>
  </si>
  <si>
    <t>https://en.wikipedia.org/wiki/Beriev_A-51</t>
  </si>
  <si>
    <t>https://en.wikipedia.org/wiki/Boeing_E-3_Sentry</t>
  </si>
  <si>
    <t>https://militarymachine.com/boeing-e-3-sentry/#:~:text=Range%3A%20More%20than%205%2C000%20nautical%20miles%20%289%2C250%20kilometers%29,Cost%3A%20%24270%20million%20%28fiscal%2098%20constant%20dollars%20though%29</t>
  </si>
  <si>
    <t>Beriev A-50 (Russian AWACS, legacy)</t>
  </si>
  <si>
    <t xml:space="preserve"> - LMUR antitank missile</t>
  </si>
  <si>
    <t>https://www.businessinsider.com/russia-ka52m-helicopters-long-range-anti-tank-missile-ukraine-uk-2023-7</t>
  </si>
  <si>
    <t xml:space="preserve"> - Khrizantema-9M123 antitank missile</t>
  </si>
  <si>
    <t>https://en.wikipedia.org/wiki/9M123_Khrizantema</t>
  </si>
  <si>
    <t>8</t>
  </si>
  <si>
    <t>25 sec.</t>
  </si>
  <si>
    <t>https://en.wikipedia.org/wiki/LMUR</t>
  </si>
  <si>
    <t>https://en.wikipedia.org/wiki/LMUR (wiki say &gt;200 but it has been used a lot since summer 2023 so I guess over 1000)</t>
  </si>
  <si>
    <t>25</t>
  </si>
  <si>
    <t>https://en.wikipedia.org/wiki/Kamov_Ka-50#Specifications_(Ka-50)</t>
  </si>
  <si>
    <t>My best guess there are some evidence of orders on https://en.wikipedia.org/wiki/Kamov_Ka-50#Specifications_(Ka-50)</t>
  </si>
  <si>
    <t>&gt;126</t>
  </si>
  <si>
    <t>https://en.wikipedia.org/wiki/Mil_Mi-28#Specifications</t>
  </si>
  <si>
    <t>my best guees is same as Ka-52</t>
  </si>
  <si>
    <t>https://en.wikipedia.org/wiki/Northrop_B-2_Spirit</t>
  </si>
  <si>
    <t>https://en.wikipedia.org/wiki/AGM-158_JASSM</t>
  </si>
  <si>
    <t>&gt;3500</t>
  </si>
  <si>
    <t>https://www.airandspaceforces.com/weapons-platforms/agm-158-jassm/</t>
  </si>
  <si>
    <t>hours</t>
  </si>
  <si>
    <t>1H</t>
  </si>
  <si>
    <t>unknown</t>
  </si>
  <si>
    <t>24H</t>
  </si>
  <si>
    <t>https://www.youtube.com/watch?v=OFsJiZohVrI&amp;t=114s</t>
  </si>
  <si>
    <t>https://en.wikipedia.org/wiki/Northrop_Grumman_RQ-180</t>
  </si>
  <si>
    <t>IAI Heron Israeli armed drone</t>
  </si>
  <si>
    <t>45H</t>
  </si>
  <si>
    <t>https://en.wikipedia.org/wiki/IAI_Heron</t>
  </si>
  <si>
    <t>https://en.wikipedia.org/wiki/Precision_Strike_Missile</t>
  </si>
  <si>
    <t>seek and forget infrared camera</t>
  </si>
  <si>
    <t>https://en.wikipedia.org/wiki/Spike_(missile)#Variants</t>
  </si>
  <si>
    <t>&gt;40,000</t>
  </si>
  <si>
    <t>Javlin anti-tank missile</t>
  </si>
  <si>
    <t>11 sec.</t>
  </si>
  <si>
    <t>40 sec.</t>
  </si>
  <si>
    <t>https://www.army-technology.com/projects/spike-sr-anti-tank-guided-missile-system/?cf-view</t>
  </si>
  <si>
    <t xml:space="preserve"> is fire and forget infrared seeker 9kg rocket</t>
  </si>
  <si>
    <t xml:space="preserve"> - AGM-114 Hellfire missile, any aircraft</t>
  </si>
  <si>
    <t>https://en.wikipedia.org/wiki/AGM-114_Hellfire</t>
  </si>
  <si>
    <t>9</t>
  </si>
  <si>
    <t>&gt;24,000</t>
  </si>
  <si>
    <t xml:space="preserve"> - AGM-179 JAGM missile any aircraft</t>
  </si>
  <si>
    <t>https://en.wikipedia.org/wiki/AGM-179_JAGM</t>
  </si>
  <si>
    <t>I guess same as Hellfire that it replaces</t>
  </si>
  <si>
    <t>18 sec.</t>
  </si>
  <si>
    <t>Laser or radar guided. No internal radar require external laser or radar/radio to guide to target</t>
  </si>
  <si>
    <t>https://www.airforce-technology.com/projects/heron-uav/?cf-view</t>
  </si>
  <si>
    <t>&gt;1 billion</t>
  </si>
  <si>
    <t>price is my guess https://en.wikipedia.org/wiki/Northrop_Grumman_RQ-180</t>
  </si>
  <si>
    <t>&lt;20</t>
  </si>
  <si>
    <t>https://www.youtube.com/watch?v=1DXpPmpmcak</t>
  </si>
  <si>
    <t>https://www.rheinmetall.com/en/products/air-defence/air-defence-systems/networked-air-defence-skynex</t>
  </si>
  <si>
    <t>My guess. This weapon it brand new from 2024</t>
  </si>
  <si>
    <t>https://www.msn.com/en-us/news/world/german-skynex-air-defense-systems-start-protecting-ukrainian-skies/ar-AA1ofiEM?ocid=BingNewsSerp#</t>
  </si>
  <si>
    <t>3.4 sec.</t>
  </si>
  <si>
    <t>4.7 sec.</t>
  </si>
  <si>
    <t>Radar is 50 km fully automatic can shoot down even artillery shells. System is radar and control unit plus 4 units with the anti-aircraft guns.</t>
  </si>
  <si>
    <t xml:space="preserve"> is fire and forget infrared seeker 8kg rocket, system 10 kg and disposible</t>
  </si>
  <si>
    <t>Spike SR Israeli anti-tank/personel/structure</t>
  </si>
  <si>
    <t>Spike LR Israeli anti-tank/personel/structure</t>
  </si>
  <si>
    <t>&gt;3</t>
  </si>
  <si>
    <t>Newest 2022 german made 155mm gun fully automatic 9 rounds in a minute, can also be driven in remote control</t>
  </si>
  <si>
    <t>https://en.wikipedia.org/wiki/RCH_155</t>
  </si>
  <si>
    <t>https://en.wikipedia.org/wiki/RCH_156</t>
  </si>
  <si>
    <t>&gt;17000</t>
  </si>
  <si>
    <t>93/17</t>
  </si>
  <si>
    <t xml:space="preserve"> - GBU-39 Small Glider Bomb/GLSDB</t>
  </si>
  <si>
    <t>227 mm guided rocket GLSDB/GBU-39</t>
  </si>
  <si>
    <t>https://en.wikipedia.org/wiki/GBU-39_Small_Diameter_Bomb#Operators</t>
  </si>
  <si>
    <t>This bomb is also used with a rocket engine and launched by HIMARS called GLSDB</t>
  </si>
  <si>
    <t>Electronic warfare systems</t>
  </si>
  <si>
    <t>Krasukha 4, mobile Russian AWACS jammer</t>
  </si>
  <si>
    <t>https://en.wikipedia.org/wiki/Krasukha</t>
  </si>
  <si>
    <t>Ilyushin Il-78 Russian fuel tanker</t>
  </si>
  <si>
    <t>https://nationalinterest.org/blog/buzz/russian-air-forces-biggest-problem-not-f-22-or-f-35-43882</t>
  </si>
  <si>
    <t>https://en.wikipedia.org/wiki/Ilyushin_Il-78#Current_operators</t>
  </si>
  <si>
    <t>https://en.wikipedia.org/wiki/Ilyushin_Il-78#</t>
  </si>
  <si>
    <t>8.6H</t>
  </si>
  <si>
    <t>https://aerocorner.com/aircraft/ilyushin-il-76/</t>
  </si>
  <si>
    <t>&gt;78</t>
  </si>
  <si>
    <t>US have plans to make 179 of these tankes by 2027</t>
  </si>
  <si>
    <t>https://en.wikipedia.org/wiki/Boeing_KC-46_Pegasus</t>
  </si>
  <si>
    <t>13H</t>
  </si>
  <si>
    <t>Boeing KC-46 Pegasus, fuel tanker, transport</t>
  </si>
  <si>
    <t>Su-25 old Rus fighter no midair refuel</t>
  </si>
  <si>
    <t>https://en.wikipedia.org/wiki/Sukhoi_Su-25</t>
  </si>
  <si>
    <t>https://en.wikipedia.org/wiki/Sukhoi_Su-25#Specifications_(Su-25/Su-25K,_late_production)</t>
  </si>
  <si>
    <t>https://en.wikipedia.org/wiki/Sukhoi_Su-25#</t>
  </si>
  <si>
    <t>30M</t>
  </si>
  <si>
    <t>8H</t>
  </si>
  <si>
    <t>https://www.newsweek.com/russia-only-has-six-50-spy-planes-left-kyiv-1873164</t>
  </si>
  <si>
    <t>https://newsukraine.rbc.ua/news/critical-loss-of-tu-22m3-bombers-russia-s-1723804376.html</t>
  </si>
  <si>
    <t>1975–1994</t>
  </si>
  <si>
    <t>https://en.wikipedia.org/wiki/Mikoyan_MiG-31#</t>
  </si>
  <si>
    <t>https://en.wikipedia.org/wiki/Mikoyan_MiG-31#Specifications_(MiG-31)</t>
  </si>
  <si>
    <t>14M</t>
  </si>
  <si>
    <t>16M</t>
  </si>
  <si>
    <t>Ilyushin Il-76 Russian mil. transport</t>
  </si>
  <si>
    <t>https://en.wikipedia.org/wiki/Ilyushin_Il-76</t>
  </si>
  <si>
    <t>https://en.wikipedia.org/wiki/Ilyushin_Il-77</t>
  </si>
  <si>
    <t>https://en.wikipedia.org/wiki/Ilyushin_Il-78</t>
  </si>
  <si>
    <t>https://en.wikipedia.org/wiki/Ilyushin_Il-79</t>
  </si>
  <si>
    <t>https://en.wikipedia.org/wiki/Ilyushin_Il-80</t>
  </si>
  <si>
    <t>https://en.wikipedia.org/wiki/Ilyushin_Il-81</t>
  </si>
  <si>
    <t>My guess based on Il-76</t>
  </si>
  <si>
    <t>MiG-31 only version L can airfuel</t>
  </si>
  <si>
    <t>&gt;969</t>
  </si>
  <si>
    <t>5H</t>
  </si>
  <si>
    <t>Russia has exported this airplane and only has 19 in their own air force. Russia has 31 more in order</t>
  </si>
  <si>
    <t>https://en.wikipedia.org/wiki/Ilyushin_Il-76#Operators</t>
  </si>
  <si>
    <t>https://en.wikipedia.org/wiki/Boeing_C-17_Globemaster_III</t>
  </si>
  <si>
    <t>https://en.wikipedia.org/wiki/Lockheed_C-130_Hercules</t>
  </si>
  <si>
    <t>&gt;2,500</t>
  </si>
  <si>
    <t>7H</t>
  </si>
  <si>
    <t>https://aerocorner.com/aircraft/lockheed-martin-c-130j-super-hercules/</t>
  </si>
  <si>
    <t>Boeing C-17 US mil. Transport</t>
  </si>
  <si>
    <t>Lockheed C-130 Hercules US mil. Transport</t>
  </si>
  <si>
    <t>Tu-95 RUS strategic bomber (legacy)</t>
  </si>
  <si>
    <t>1952-1993</t>
  </si>
  <si>
    <t>https://en.wikipedia.org/wiki/Tupolev_Tu-95</t>
  </si>
  <si>
    <t>https://en.wikipedia.org/wiki/Tupolev_Tu-96</t>
  </si>
  <si>
    <t>https://en.wikipedia.org/wiki/Tupolev_Tu-98</t>
  </si>
  <si>
    <t>https://en.wikipedia.org/wiki/Tupolev_Tu-99</t>
  </si>
  <si>
    <t>1967–1993</t>
  </si>
  <si>
    <t>Su-24 (RUS legacy can refuel midair)</t>
  </si>
  <si>
    <t>https://en.wikipedia.org/wiki/Sukhoi_Su-24</t>
  </si>
  <si>
    <t>https://en.wikipedia.org/wiki/Sukhoi_Su-27</t>
  </si>
  <si>
    <t>https://en.wikipedia.org/wiki/Sukhoi_Su-28</t>
  </si>
  <si>
    <t>Mi-28NM Russian combat helicopter, no refuel midair</t>
  </si>
  <si>
    <t>Ka-52M Russian combat helicopter no refuel midair</t>
  </si>
  <si>
    <t>114 in active service and 30 more ordered</t>
  </si>
  <si>
    <t>https://en.wikipedia.org/wiki/List_of_active_Russian_military_aircraft</t>
  </si>
  <si>
    <t># in active</t>
  </si>
  <si>
    <t>service</t>
  </si>
  <si>
    <t>Tu 160 Rus strategic bomber</t>
  </si>
  <si>
    <t>https://en.wikipedia.org/wiki/Tupolev_Tu-160</t>
  </si>
  <si>
    <t>https://en.wikipedia.org/wiki/Tupolev_Tu-161</t>
  </si>
  <si>
    <t>https://en.wikipedia.org/wiki/Tupolev_Tu-163</t>
  </si>
  <si>
    <t>https://en.wikipedia.org/wiki/Tupolev_Tu-164</t>
  </si>
  <si>
    <t>1.6H</t>
  </si>
  <si>
    <t>Other source say 30 left in Rus air forceRussia only has about 30 left of these airplanes</t>
  </si>
  <si>
    <t>19 on order. As of 28 May 2024, at least six have been lost in the Russian Invasion of Ukraine.</t>
  </si>
  <si>
    <t>https://en.wikipedia.org/wiki/Saab_340_AEW%26C</t>
  </si>
  <si>
    <t>1994–1999</t>
  </si>
  <si>
    <t>400km</t>
  </si>
  <si>
    <t>650km</t>
  </si>
  <si>
    <t>https://en.wikipedia.org/wiki/Boeing_E-7_Wedgetail</t>
  </si>
  <si>
    <t>https://www.thedefensepost.com/2024/07/22/us-boeing-wedgetail-deal/?utm_content=cmp-true</t>
  </si>
  <si>
    <t>600km</t>
  </si>
  <si>
    <t>AWACS E3 Sentry (radar and command legacy)</t>
  </si>
  <si>
    <t>375km</t>
  </si>
  <si>
    <t>https://www.af.mil/About-Us/Fact-Sheets/Display/Article/104504/e-3-sentry-awacs/</t>
  </si>
  <si>
    <t>https://www.af.mil/About-Us/Fact-Sheets/Display/Article/104573/gbu-39b-small-diameter-bomb-weapon-system/#:~:text=Unit%20cost%3A%20Approximately%20%2440%2C000%20Initial%20operational%20capability%3A%20October,all-weather%2C%20day%20or%20night%20250-pound%20class%2C%20guided%20munition.</t>
  </si>
  <si>
    <t xml:space="preserve"># made </t>
  </si>
  <si>
    <t>per year</t>
  </si>
  <si>
    <t>Total Rus aircraft</t>
  </si>
  <si>
    <t>Time to target</t>
  </si>
  <si>
    <t>#of L variant that can refuel midair</t>
  </si>
  <si>
    <t># of RUS aircraft not suited for glider bombs</t>
  </si>
  <si>
    <t xml:space="preserve"># of Rus aircraft suited for glider bomb </t>
  </si>
  <si>
    <t>Kalibr RUS sea launched</t>
  </si>
  <si>
    <t>Kh-47M2 Kinzhal RUS air launched</t>
  </si>
  <si>
    <t xml:space="preserve"> million USD</t>
  </si>
  <si>
    <t>million USD</t>
  </si>
  <si>
    <t xml:space="preserve">Cost making </t>
  </si>
  <si>
    <t>in USD</t>
  </si>
  <si>
    <t>Unit cost</t>
  </si>
  <si>
    <t>Main</t>
  </si>
  <si>
    <t>source</t>
  </si>
  <si>
    <t>1987-</t>
  </si>
  <si>
    <t>2012-</t>
  </si>
  <si>
    <t>1994–</t>
  </si>
  <si>
    <t>1978–2017</t>
  </si>
  <si>
    <t>2007-</t>
  </si>
  <si>
    <t>2006-</t>
  </si>
  <si>
    <t>Links to all sources are available in sources table below</t>
  </si>
  <si>
    <t>US plans to make another 26</t>
  </si>
  <si>
    <t>Other sources say Russia only got 6 of these aircraft left</t>
  </si>
  <si>
    <t>1952–1962</t>
  </si>
  <si>
    <t>1987–2000</t>
  </si>
  <si>
    <t>1954-</t>
  </si>
  <si>
    <t>https://en.wikipedia.org/wiki/Kh-69</t>
  </si>
  <si>
    <t>1980-</t>
  </si>
  <si>
    <t>2003-</t>
  </si>
  <si>
    <t>Cost of bullets not machine gun</t>
  </si>
  <si>
    <t>1991–2015</t>
  </si>
  <si>
    <t>1984-</t>
  </si>
  <si>
    <t>1977–1992</t>
  </si>
  <si>
    <t>2023-</t>
  </si>
  <si>
    <t>2013-</t>
  </si>
  <si>
    <t>Years made</t>
  </si>
  <si>
    <t>1971-</t>
  </si>
  <si>
    <t>1978–1992</t>
  </si>
  <si>
    <t>1990-</t>
  </si>
  <si>
    <t>2005-</t>
  </si>
  <si>
    <t>2016-</t>
  </si>
  <si>
    <t>1982–</t>
  </si>
  <si>
    <t>Mi-26 Russian heavy transport helicopter</t>
  </si>
  <si>
    <t>https://en.wikipedia.org/wiki/Mil_Mi-26</t>
  </si>
  <si>
    <t>50M</t>
  </si>
  <si>
    <t>https://www.helicopterspecs.com/2019/09/mil-mi-26.html#:~:text=The%20price%20of%20the%20latest%20Mil%20Mi-26,helicopter%20is%20around%20US%20%24%2025%20Million.</t>
  </si>
  <si>
    <t>https://en.wikipedia.org/wiki/Mil_Mi-26#Specifications_(Mi-26)</t>
  </si>
  <si>
    <t>1961–</t>
  </si>
  <si>
    <t>&gt;17,000</t>
  </si>
  <si>
    <t>world's most-produced helicopter</t>
  </si>
  <si>
    <t>https://www.aircraft24.com/helicopter/mil/mi-8--xm1183.htm</t>
  </si>
  <si>
    <t>https://en.wikipedia.org/wiki/Mil_Mi-8</t>
  </si>
  <si>
    <t>https://en.wikipedia.org/wiki/Mil_Mi-9</t>
  </si>
  <si>
    <t>https://en.wikipedia.org/wiki/Mil_Mi-11</t>
  </si>
  <si>
    <t>https://en.wikipedia.org/wiki/Mil_Mi-12</t>
  </si>
  <si>
    <t>Mil Mi-8 RUS transport and medical helicopter</t>
  </si>
  <si>
    <t># of RUS attack helicopters</t>
  </si>
  <si>
    <t># of transport and medical helicopters</t>
  </si>
  <si>
    <t>Total Rus helicopters</t>
  </si>
  <si>
    <t>The number of Tomahawk built is a well guarded secreat could be quite numerous. One US nuclear submarine can carry 160 Tomahawk that can be launched from torpedo tubes under water.</t>
  </si>
  <si>
    <t>1977-</t>
  </si>
  <si>
    <t>2021-</t>
  </si>
  <si>
    <t>MAGURA V5 UKR navy drone</t>
  </si>
  <si>
    <t>2023, july -</t>
  </si>
  <si>
    <t>not done</t>
  </si>
  <si>
    <t>2020-</t>
  </si>
  <si>
    <t>2021 -</t>
  </si>
  <si>
    <t>Shahed when mass produced like a car</t>
  </si>
  <si>
    <t>Lancet when mass produced like a car</t>
  </si>
  <si>
    <t>Enterprise by AeroDrone UKR drone</t>
  </si>
  <si>
    <t>2024, Mar.</t>
  </si>
  <si>
    <t>2015-</t>
  </si>
  <si>
    <t>https://youtu.be/kvfDh_lnVLM?si=Gpeuv0Sus7O-de3i&amp;t=275</t>
  </si>
  <si>
    <t>https://youtu.be/kvfDh_lnVLM?si=Gpeuv0Sus7O-de3i&amp;t=276</t>
  </si>
  <si>
    <t>https://youtu.be/kvfDh_lnVLM?si=Gpeuv0Sus7O-de3i&amp;t=279</t>
  </si>
  <si>
    <t>miles</t>
  </si>
  <si>
    <t>https://youtu.be/kvfDh_lnVLM?si=hBhWntQiYpuXUzxa&amp;t=306</t>
  </si>
  <si>
    <t>https://youtu.be/kvfDh_lnVLM?si=2yhtBehlj7Cdb-O8&amp;t=332</t>
  </si>
  <si>
    <t>https://youtu.be/kvfDh_lnVLM?si=IJPN2sNNh1fQWoWk&amp;t=338</t>
  </si>
  <si>
    <t>B-1B US strategic bomber (legacy)</t>
  </si>
  <si>
    <t>https://youtu.be/kvfDh_lnVLM?si=K6P8Z1gXGli-4ABm&amp;t=72</t>
  </si>
  <si>
    <t>https://youtu.be/kvfDh_lnVLM?si=wNY1Wp4uYwDUAj2z&amp;t=105</t>
  </si>
  <si>
    <t>450/120</t>
  </si>
  <si>
    <t>https://youtu.be/kvfDh_lnVLM?si=vnFnFiBeCgkj3fpP&amp;t=254</t>
  </si>
  <si>
    <t>https://youtu.be/kvfDh_lnVLM?si=vnFnFiBeCgkj3fpP&amp;t=255</t>
  </si>
  <si>
    <t>https://youtu.be/kvfDh_lnVLM?si=vnFnFiBeCgkj3fpP&amp;t=256</t>
  </si>
  <si>
    <t>https://youtu.be/kvfDh_lnVLM?si=vnFnFiBeCgkj3fpP&amp;t=257</t>
  </si>
  <si>
    <t>https://youtu.be/EuAQ7jOyGGo?si=4RpfDiSmuxW5BQwD&amp;t=110</t>
  </si>
  <si>
    <t>2024, Jan.-</t>
  </si>
  <si>
    <t>1998-</t>
  </si>
  <si>
    <t>1983-</t>
  </si>
  <si>
    <t>https://www.youtube.com/watch?v=EuAQ7jOyGGo&amp;t=110s</t>
  </si>
  <si>
    <t>1991-2023</t>
  </si>
  <si>
    <t>2023, Dec. -</t>
  </si>
  <si>
    <t>PrSM (ATACMS replacement) US ballistic missile</t>
  </si>
  <si>
    <t>MGM-140 ATACMS, land launched bal. missile</t>
  </si>
  <si>
    <t>2006-2020</t>
  </si>
  <si>
    <t>?</t>
  </si>
  <si>
    <t>2006–</t>
  </si>
  <si>
    <t>2002–</t>
  </si>
  <si>
    <t>1981-</t>
  </si>
  <si>
    <t>2017–</t>
  </si>
  <si>
    <t>https://en.wikipedia.org/wiki/Rockwell_B-1_Lancer</t>
  </si>
  <si>
    <t>1974-1988</t>
  </si>
  <si>
    <t>3.5H</t>
  </si>
  <si>
    <t>B-2 Spirit US strategic stealth bomber</t>
  </si>
  <si>
    <t>B-21 Raider US strategic stealth bomber</t>
  </si>
  <si>
    <t>maiden 2023</t>
  </si>
  <si>
    <t>development, not expected operational until 2027</t>
  </si>
  <si>
    <t>Tu-22M3 RUS strategic bomber (legacy) likely less than 5 can refuel midair, first with this capability was delivered in 2020</t>
  </si>
  <si>
    <t>https://en.wikipedia.org/wiki/Northrop_Grumman_B-21_Raider</t>
  </si>
  <si>
    <t>&gt;5,500</t>
  </si>
  <si>
    <t>6H</t>
  </si>
  <si>
    <t>37M</t>
  </si>
  <si>
    <t>1967-2002</t>
  </si>
  <si>
    <t>1975-2011</t>
  </si>
  <si>
    <t>S-500 missile system</t>
  </si>
  <si>
    <t>https://en.wikipedia.org/wiki/S-500_missile_system</t>
  </si>
  <si>
    <t>Ukraine claims it is deployed at Kerch Bridge</t>
  </si>
  <si>
    <t>Rapid Dragon JASSM launcher by C17, C130</t>
  </si>
  <si>
    <t>2022-</t>
  </si>
  <si>
    <t>https://en.m.wikipedia.org/wiki/Rapid_Dragon_(missile_system)</t>
  </si>
  <si>
    <t>https://www.youtube.com/watch?v=a0jL1d7MscM&amp;t=256s</t>
  </si>
  <si>
    <t>my guess the container with parashutes is not expensive</t>
  </si>
  <si>
    <t>https://en.wikipedia.org/wiki/AGM-158C_LRASM</t>
  </si>
  <si>
    <t>https://x.com/HMexperienceDK/status/1827672906635116937</t>
  </si>
  <si>
    <t>Proprietary. © H. Mathiesen. This material can be used by others free of charge provided that the author H. Mathiesen is attributed and a clickable link is made visible to the location of used material on www.hmexperience.dk</t>
  </si>
  <si>
    <t>50-100</t>
  </si>
  <si>
    <t>I guess Russia is capable of making about 1000 cruise and ballistic missiles all kinds per year based on the launch rate of about 3 such missiles per day in Ukrine war as of late.</t>
  </si>
  <si>
    <t>https://www.airandspaceforces.com/usaf-to-start-buying-extreme-range-jassms-in-2021/</t>
  </si>
  <si>
    <t>19 were used in 2018 to destroy chemical weapons plant in Syria, 6 where used to kill ISIS leader in 2019 in Iraq</t>
  </si>
  <si>
    <t>Ukraine had 19 of these in 1991 but sold 8 to Russia and agreed to scrap the rest in return for US and UK security guaranties see https://en.wikipedia.org/wiki/Budapest_Memorandum</t>
  </si>
  <si>
    <t>https://www.pravda.com.ua/eng/news/2024/08/27/7472208/</t>
  </si>
  <si>
    <t>2006- 2024 aug</t>
  </si>
  <si>
    <t>&gt;1</t>
  </si>
  <si>
    <t>https://en.wikipedia.org/wiki/Hrim-2</t>
  </si>
  <si>
    <t>https://en.wikipedia.org/wiki/Hrim-5</t>
  </si>
  <si>
    <t>https://x.com/HMexperienceDK/status/1828426791733592153</t>
  </si>
  <si>
    <t>Hrim-2 UKR balistic missile dev. Project land launched</t>
  </si>
  <si>
    <t>AH-64 Apache US attack helicoper</t>
  </si>
  <si>
    <t>https://en.wikipedia.org/wiki/Boeing_AH-64_Apache</t>
  </si>
  <si>
    <t>1975-</t>
  </si>
  <si>
    <t xml:space="preserve"> - M230, 30mm machine gun 1200 rounds</t>
  </si>
  <si>
    <t>5S</t>
  </si>
  <si>
    <t>65S</t>
  </si>
  <si>
    <t>25S</t>
  </si>
  <si>
    <t>Hour, Sec</t>
  </si>
  <si>
    <t>see F16</t>
  </si>
  <si>
    <t>Build in laser and internal radar seaker</t>
  </si>
  <si>
    <t xml:space="preserve"> - 20mm gun M61 Vulcan for F16s, 325 rounds</t>
  </si>
  <si>
    <t>1959-</t>
  </si>
  <si>
    <t>1978-</t>
  </si>
  <si>
    <t>https://aerocorner.com/aircraft/boeing-ah-64d-apache-longbow/</t>
  </si>
  <si>
    <t>https://thegunzone.com/how-much-does-30-mm-ammo-cost/</t>
  </si>
  <si>
    <t>Spike NLOS anti-tank/personel/structure fire from ground vehicles or helicopters</t>
  </si>
  <si>
    <t>NLOS No line of sight. Target must be aquired by frontline infantry. Helicopter in the rear shot rocket that is optical wire guided for first 8 km then radio and my guess for final 2 km it is optical infrared with target info uploaded via radio.</t>
  </si>
  <si>
    <t>2011-</t>
  </si>
  <si>
    <t>2014-</t>
  </si>
  <si>
    <t>1953-</t>
  </si>
  <si>
    <t>https://en.wikipedia.org/wiki/VS-50_mine</t>
  </si>
  <si>
    <t>1985-</t>
  </si>
  <si>
    <t>Small anti-personel mine VS-50 mine</t>
  </si>
  <si>
    <t>https://youtu.be/TSZ3Gl4QqQ0?si=V_GH0N0qpqsz5xFu&amp;t=56</t>
  </si>
  <si>
    <t>2024 jan.</t>
  </si>
  <si>
    <t>https://www.iwavecomms.com/80km-long-range-drone-hdmi-and-sdi-video-transmitter-and-serial-data-downlink-product/</t>
  </si>
  <si>
    <t>calc.</t>
  </si>
  <si>
    <t>Video show winter weater in Ukrine so january and video appeared first with Palianytsia announcement https://youtu.be/TSZ3Gl4QqQ0?si=sq28iEUDBx7JTKYt&amp;t=57</t>
  </si>
  <si>
    <t>my gues the drone is 50 kg with no fuel likely 100 with fuel and warhead is 20 kg. video show 2 men easily carry it.</t>
  </si>
  <si>
    <t>my gues the drone is 40 kg with no fuel likely 120 kg with fuel and warhead is 20 kg. video show 2 men easily carry it.</t>
  </si>
  <si>
    <t>3500 USD for 24 kg thust engine likely 10000 usd for needed 48 kg thrust jet engine plus 30,000 USD for rest of drone mostly electronics https://pacificrcjets.com/collections/kingtech-turbines/products/kingtech-k240g5</t>
  </si>
  <si>
    <t>According to YT video two docen Russian airbases are witin range of this weapon. That would imply a range of about 600 kilometer. https://www.youtube.com/watch?v=TSZ3Gl4QqQ0 also see https://x.com/NOELreports/status/1829080786349232612</t>
  </si>
  <si>
    <t>follow link to naval weapons</t>
  </si>
  <si>
    <t>2010-</t>
  </si>
  <si>
    <t>1999-</t>
  </si>
  <si>
    <t>1991-</t>
  </si>
  <si>
    <t>1972-</t>
  </si>
  <si>
    <t>1956-</t>
  </si>
  <si>
    <t xml:space="preserve"> - AGM-179 JAGM missile any aircraft, replaces Hellfire</t>
  </si>
  <si>
    <t>https://en.wikipedia.org/wiki/MIM-104_Patriot#</t>
  </si>
  <si>
    <t>2000-</t>
  </si>
  <si>
    <t>1997-</t>
  </si>
  <si>
    <t>NASAMS system, Norway landbased midrange</t>
  </si>
  <si>
    <t>Iris-T SLM system, German mid-range</t>
  </si>
  <si>
    <t>https://en.wikipedia.org/wiki/IRIS-T</t>
  </si>
  <si>
    <t>IRIS-T SL missile</t>
  </si>
  <si>
    <t>2.4M</t>
  </si>
  <si>
    <t>1960-1994</t>
  </si>
  <si>
    <t>1976-2010</t>
  </si>
  <si>
    <t>1976-</t>
  </si>
  <si>
    <t>https://en.wikipedia.org/wiki/Skyshield</t>
  </si>
  <si>
    <t>2024-</t>
  </si>
  <si>
    <t>1930-</t>
  </si>
  <si>
    <t>https://en.wikipedia.org/wiki/Base_bleed</t>
  </si>
  <si>
    <t>Art.shells 155mm, rocket assist, M549</t>
  </si>
  <si>
    <t>1970-</t>
  </si>
  <si>
    <t>https://en.wikipedia.org/wiki/155_mm_caliber</t>
  </si>
  <si>
    <t>2004-</t>
  </si>
  <si>
    <t>1944-</t>
  </si>
  <si>
    <t>Mortar shells 60mm, M2 &amp; M224</t>
  </si>
  <si>
    <t>https://www.dday-overlord.com/en/material/artillery/m2-60mm-mortar</t>
  </si>
  <si>
    <t>Mortar shells 81mm, M1 &amp; M252</t>
  </si>
  <si>
    <t>https://en.wikipedia.org/wiki/M252_mortar#</t>
  </si>
  <si>
    <t>https://man.fas.org/dod-101/sys/land/m933.htm</t>
  </si>
  <si>
    <t>Mortar shells 120mm, M933, M934</t>
  </si>
  <si>
    <t>227 mm guided rocket GMLRS, M31</t>
  </si>
  <si>
    <t>https://en.wikipedia.org/wiki/M142_HIMARS#MLRS</t>
  </si>
  <si>
    <t>https://en.wikipedia.org/wiki/M270_Multiple_Launch_Rocket_System#MLRS</t>
  </si>
  <si>
    <t>https://en.wikipedia.org/wiki/M270_Multiple_Launch_Rocket_System#GMLRS</t>
  </si>
  <si>
    <t>1958-</t>
  </si>
  <si>
    <t>https://en.wikipedia.org/wiki/RPG-8</t>
  </si>
  <si>
    <t>https://en.wikipedia.org/wiki/RPG-9</t>
  </si>
  <si>
    <t>https://en.wikipedia.org/wiki/RPG-10</t>
  </si>
  <si>
    <t>https://en.wikipedia.org/wiki/RPG-11</t>
  </si>
  <si>
    <t>1996-</t>
  </si>
  <si>
    <t>&gt;50,000</t>
  </si>
  <si>
    <t>my guess missile is 30kg which is a lot</t>
  </si>
  <si>
    <t>&gt;6</t>
  </si>
  <si>
    <t>2008-</t>
  </si>
  <si>
    <t>takeoff weight of 12kg</t>
  </si>
  <si>
    <t>Mid-range drone 25&lt;x&lt;100km</t>
  </si>
  <si>
    <t>Short-range drone &lt;25km</t>
  </si>
  <si>
    <t>Long-range drone &gt;100kilometers</t>
  </si>
  <si>
    <t>Max FPV radio range 80km</t>
  </si>
  <si>
    <t>https://www.jetcat.de/en/productdetails/produkte/jetcat/produkte/Professionell/p400%20pro</t>
  </si>
  <si>
    <t>minutes of flight consuning 1140 grams of kerosene jet fuel per minute with 80 kg of jet fuel will have 43 kg of thrust enough to get 120 kg drone airborne at 80 km/h and top speed of about 300 km/h because low drag of missile shape.</t>
  </si>
  <si>
    <t>70M</t>
  </si>
  <si>
    <t>FPV with RPG-7 cheap battery, 4.5kg=2+2+.05</t>
  </si>
  <si>
    <t>FPV with RPG-7 expensive battery, 4.5kg total</t>
  </si>
  <si>
    <t>https://www.armyrecognition.com/news/army-news/army-news-2024/first-battle-proven-fpv-drone-made-in-nato-presented-by-german-industry</t>
  </si>
  <si>
    <t>1.8M</t>
  </si>
  <si>
    <t>9M</t>
  </si>
  <si>
    <t>&gt;13.5H</t>
  </si>
  <si>
    <t>https://www.reuters.com/graphics/UKRAINE-CRISIS/DRONES/dwpkeyjwkpm/</t>
  </si>
  <si>
    <t>https://www.dji.com/dk/mavic-3-pro/specs</t>
  </si>
  <si>
    <t>https://store.dji.com/dk/product/dji-mavic-3-pro?site=brandsite&amp;from=buy_now_bar&amp;vid=137691</t>
  </si>
  <si>
    <t>&gt;100,000</t>
  </si>
  <si>
    <t>https://en.wikipedia.org/wiki/Shark_(drone)</t>
  </si>
  <si>
    <t>2.1H</t>
  </si>
  <si>
    <t>thermal vid</t>
  </si>
  <si>
    <t>https://www.technology.org/2023/10/16/baba-yaga-drones-delivering-fear-to-russian-occupiers/</t>
  </si>
  <si>
    <t>https://en.wikipedia.org/wiki/Baba_Yaga_(aircraft)</t>
  </si>
  <si>
    <t>Baba Yaga FPV bomber, 35kg=15+15+5</t>
  </si>
  <si>
    <t>DJI Mavic 3 pro FPV for surveliance, 1 kg</t>
  </si>
  <si>
    <t>Lancet FPV attack drone, radio range 40km, 12 kg takeoff weight</t>
  </si>
  <si>
    <t>Shark FPV surveliance drone, 12.5kg, radio 80km</t>
  </si>
  <si>
    <t>Palianytsia "mini" FPV radio 80 km 120 kg, 80kg fuel, 20gk warhead</t>
  </si>
  <si>
    <t>https://en.wikipedia.org/wiki/Sypaq_Corvo_Precision_Payload_Delivery_System</t>
  </si>
  <si>
    <t>https://www.youtube.com/watch?app=desktop&amp;si=Vs2Fdzh0GZ0OZoR6&amp;v=5ckYz616rEc&amp;feature=youtu.be</t>
  </si>
  <si>
    <t>PPDS, Austrailian foambord attack, 13kg</t>
  </si>
  <si>
    <t>1.7H</t>
  </si>
  <si>
    <t>Liutyi UAV, attack, &gt;200kg</t>
  </si>
  <si>
    <t>15H</t>
  </si>
  <si>
    <t>https://en.wikipedia.org/wiki/Bober_(drone)</t>
  </si>
  <si>
    <t>https://www.kyivpost.com/post/20129</t>
  </si>
  <si>
    <t>5.3H</t>
  </si>
  <si>
    <t>dec, 2023</t>
  </si>
  <si>
    <t>Beaver Bober attack</t>
  </si>
  <si>
    <t>https://x.com/EuromaidanPress/status/1736559427866464628</t>
  </si>
  <si>
    <t>https://www.forbes.com/sites/davidhambling/2023/12/17/scythe-attack-drone-is-ukraines-answer-to-russias-shaheds/</t>
  </si>
  <si>
    <t>5.4H</t>
  </si>
  <si>
    <t>https://en.wikipedia.org/wiki/AQ-400_Scythe</t>
  </si>
  <si>
    <t>AQ-400 Scythe attack, 100kg</t>
  </si>
  <si>
    <t>RCH155 Remote Controlled Howitzer155 mm German</t>
  </si>
  <si>
    <t xml:space="preserve"> - HAMMER rocket assisted bomb, France</t>
  </si>
  <si>
    <t xml:space="preserve"> - 30mm timer shells for M230 cannon </t>
  </si>
  <si>
    <t>https://www.nationaldefensemagazine.org/articles/2023/5/22/us-made--counter-drone-trucks-head-for-ukraine</t>
  </si>
  <si>
    <t>Plan is to build 100 B-21</t>
  </si>
  <si>
    <t>https://t.me/astrapress/62407</t>
  </si>
  <si>
    <t>2S22 Bohdana self-propelled howitzer 155mm</t>
  </si>
  <si>
    <t>&gt;30</t>
  </si>
  <si>
    <t>https://en.wikipedia.org/wiki/2S22_Bohdana</t>
  </si>
  <si>
    <t>5 rounds per minute, Denmark has financed that Ukr build 18 of these vehicles for Ukraine</t>
  </si>
  <si>
    <t>CAESAR self-propelled howitzer, French</t>
  </si>
  <si>
    <t>Archer self-propelled howitzer, Swedish</t>
  </si>
  <si>
    <t>Panzerhaubitze 2000, German</t>
  </si>
  <si>
    <t>Sokil-300/Falcon-300 attack drone that fire missiles</t>
  </si>
  <si>
    <t>https://uk.wikipedia.org/wiki/%D0%A1%D0%BE%D0%BA%D1%96%D0%BB-300</t>
  </si>
  <si>
    <t>https://uk.wikipedia.org/wiki/%D0%A1%D0%BE%D0%BA%D1%96%D0%BB-301</t>
  </si>
  <si>
    <t>https://uk.wikipedia.org/wiki/%D0%A1%D0%BE%D0%BA%D1%96%D0%BB-303</t>
  </si>
  <si>
    <t>https://uk.wikipedia.org/wiki/%D0%A1%D0%BE%D0%BA%D1%96%D0%BB-304</t>
  </si>
  <si>
    <t>https://uk.wikipedia.org/wiki/%D0%A1%D0%BE%D0%BA%D1%96%D0%BB-305</t>
  </si>
  <si>
    <t>https://uk.wikipedia.org/wiki/%D0%A1%D0%BE%D0%BA%D1%96%D0%BB-306</t>
  </si>
  <si>
    <t>Bayraktar TB2, Turkish attack drone that fire missiles</t>
  </si>
  <si>
    <t>22H</t>
  </si>
  <si>
    <t>https://en.wikipedia.org/wiki/Bayraktar_TB2#Specifications_(TB2)</t>
  </si>
  <si>
    <t>MQ-1 Predator US attack drone that fire missiles</t>
  </si>
  <si>
    <t>1995-2018</t>
  </si>
  <si>
    <t>https://en.wikipedia.org/wiki/General_Atomics_MQ-1_Predator</t>
  </si>
  <si>
    <t>https://en.wikipedia.org/wiki/General_Atomics_MQ-1C_Gray_Eagle</t>
  </si>
  <si>
    <t>MQ-1C Gray Eagle replacement for Predator</t>
  </si>
  <si>
    <t>&gt;204</t>
  </si>
  <si>
    <t>25H</t>
  </si>
  <si>
    <t>https://warriorlodge.com/pages/general-atomics-mq-1c-gray-eagle#:~:text=Unit%20cost%20US%2421.5m%20%28FY13%29%20US%2431.2m%20%28inc%20R%26D%29%20Developed,a%20Thielert%20Centurion%201.7%20Heavy%20Fuel%20Engine%20%28HFE%29.</t>
  </si>
  <si>
    <t>https://www.newarab.com/analysis/bayraktar-tb2-rise-turkeys-drone-industry#:~:text=%22A%20TB2%20drone%20costs%20an%20estimated%20%241-2%20million%2C,the%20United%20Kingdom%20paid%20for%20US-built%20Protector%20drones%22</t>
  </si>
  <si>
    <t>https://en.wikipedia.org/wiki/Bayraktar_TB2</t>
  </si>
  <si>
    <t>https://en.wikipedia.org/wiki/Bayraktar_TB3</t>
  </si>
  <si>
    <t>https://en.wikipedia.org/wiki/Bayraktar_TB5</t>
  </si>
  <si>
    <t>https://en.wikipedia.org/wiki/Bayraktar_TB6</t>
  </si>
  <si>
    <t>my guess based on price from similar IAI Heron and Turkish Bayraktar</t>
  </si>
  <si>
    <t>27H</t>
  </si>
  <si>
    <t>&gt;600</t>
  </si>
  <si>
    <t>https://uk.wikipedia.org/wiki/UJ-22_Airborne</t>
  </si>
  <si>
    <t>UJ-22 Airborne attack, 85kg</t>
  </si>
  <si>
    <t xml:space="preserve">not used </t>
  </si>
  <si>
    <t>not used anymore by Ukrine</t>
  </si>
  <si>
    <t>6.7H</t>
  </si>
  <si>
    <t>my guess based on price from similar Beaver drone</t>
  </si>
  <si>
    <t>Kh-101 Rus cruise missile air launched, Ukr shoot 85% down</t>
  </si>
  <si>
    <t>Shahed 136, attack, 200kg, Ukr shoot 85% down</t>
  </si>
  <si>
    <t>https://en.wikipedia.org/wiki/S-300_missile_system#</t>
  </si>
  <si>
    <t>S-300 missile 48N6P RUS many versions, 1800kg also ground attack Ukr cant shoot it down</t>
  </si>
  <si>
    <t>2.2M</t>
  </si>
  <si>
    <t>8.2</t>
  </si>
  <si>
    <t>84</t>
  </si>
  <si>
    <t>2002-</t>
  </si>
  <si>
    <t>https://en.wikipedia.org/wiki/Teledyne_CAE_J402</t>
  </si>
  <si>
    <t>Fuel consumption is 1.2 lb/(lbf·h) and Maximum thrust: 660 lbf. In kg 1.2kg/kgf*h and 300 kgf. So missile use at most 1.2*300=360 kg jet fuel per hour</t>
  </si>
  <si>
    <t>Jet engine J402-CA-400 46kg</t>
  </si>
  <si>
    <t>44M</t>
  </si>
  <si>
    <t>Boeing E-7 Wedgetail AWACS replacement</t>
  </si>
  <si>
    <t>7.6H</t>
  </si>
  <si>
    <t>8.7H</t>
  </si>
  <si>
    <t>https://en.wikipedia.org/wiki/Northrop_Grumman_RQ-4_Global_Hawk#Specifications_(RQ-4B_Block_30/40)</t>
  </si>
  <si>
    <t>40H</t>
  </si>
  <si>
    <t>my guess, it used infrred camera plus synthetic aperture radar for 3D imaging</t>
  </si>
  <si>
    <t>Service ceiling: 18km</t>
  </si>
  <si>
    <t>120km</t>
  </si>
  <si>
    <t>1998-2027</t>
  </si>
  <si>
    <t>RQ-180 US surveillance stealth drone</t>
  </si>
  <si>
    <t>RQ-4 Global Hawk, US surveillance 14.6ton</t>
  </si>
  <si>
    <t>P400-Pro jet-engine use 1392ml/min kerosene at peak thrust 43 kg or same as 1140 grams/min see https://coolconversion.com/density-volume-mass/----ml--of--kerosene--in--gram this means its specific fuel comsumption is 1.6 = (1.114*60)/43 kg/kgf*h. So 80kg of fuel will last 80/1.14=70minutes</t>
  </si>
  <si>
    <t>https://x.com/HMexperienceDK/status/1827672906635116937 also confirmed by Claude sonet answer at https://claude.ai/chat/a231ac36-d1ea-41be-b687-5188473b63e3</t>
  </si>
  <si>
    <t>Iskander Rus ballistic missile ground l. 4ton, Ukr shoot 50% down</t>
  </si>
  <si>
    <t>my guess the missile look identical to RUS Iskandar missile so same specs</t>
  </si>
  <si>
    <t>4.2M</t>
  </si>
  <si>
    <t>https://en.wikipedia.org/wiki/Williams_F107#Specifications_(WR19)</t>
  </si>
  <si>
    <t>Jet engine J402-CA-400 30kg</t>
  </si>
  <si>
    <t>kg/h</t>
  </si>
  <si>
    <t>https://en.wikipedia.org/wiki/MS400_turbofan_engine</t>
  </si>
  <si>
    <t>Fuel consumption is 0.78 lb/(lbf·h) and Maximum thrust: 890 lbf. In kg 0.78kg/kgf*h and 404 kgf. So missile use at most 0.78*404=315 kg jet fuel per hour</t>
  </si>
  <si>
    <t>speed is subsonic so I assumene it is 900 km/h which is typical for subsonic cruise missiles https://www.airandspaceforces.com/weapons-platforms/agm-158-jassm/</t>
  </si>
  <si>
    <t>kg</t>
  </si>
  <si>
    <t>Test</t>
  </si>
  <si>
    <t>12M</t>
  </si>
  <si>
    <t>https://www.youtube.com/watch?v=DZ5xoJfqXA4&amp;t=46s</t>
  </si>
  <si>
    <t>https://www.youtube.com/watch?v=ycP05g-clX8&amp;list=FLZCT9hB-Visphsp0Ne3D-xA</t>
  </si>
  <si>
    <t xml:space="preserve">Jet engine P400-Pro jet-engine costing 11,000 USD at 4010grams see https://www.armyrecognition.com/focus-analysis-conflicts/army/conflicts-in-the-world/ukraine-russia-conflict/ukraine-deploys-new-palianytsia-missile-drone-in-strike-on-russian-military-base </t>
  </si>
  <si>
    <t>Fuel consumption is  1.6 kg/kgf*h and 43 kgf. So missile use at most 1.6*43=68.8 kg jet fuel per hour</t>
  </si>
  <si>
    <t>Jet engine MS400 turbofan engine, 86kg</t>
  </si>
  <si>
    <t>follow links in cells to naval weapons</t>
  </si>
  <si>
    <t>Costs and specs of weapons used in Ukraine war and other wars</t>
  </si>
  <si>
    <t xml:space="preserve">Speed estimated by chat prompt: What is the top speed in km/h of cruise missile given the following conditions: 1) It has 404 kgf thrust, 2) Its drag coefficient is Cd = 0.12, 3) The air density at sea level is rho = 1.225 kg/m^3, 4) Its frontal area is A = 0.5 m^2. </t>
  </si>
  <si>
    <t>2025 spring?</t>
  </si>
  <si>
    <t>Palianytsia "biggest"  Cruise m. 1.2 ton by Neptune engineers using imported JASSM-ER jet engine, warhead, navigation, homing and EW systems</t>
  </si>
  <si>
    <t>kg fuel consumption given time to target</t>
  </si>
  <si>
    <t>Adjustment made to public available info: Wiki say warkead is 150kg and range is between 200 and 300km. That is not true given other publicly available info plus physics. I have changed range to 600 km and warhead to 300 kg to make it realistic</t>
  </si>
  <si>
    <t>40M</t>
  </si>
  <si>
    <t>Palianytsia "big" Neptune-MD Cruise m. 980 kg by Neptune engineers using Neptune jet engine</t>
  </si>
  <si>
    <t>Weight of missile witout fuel 133kg, engine 86 kg and warhead 300kg This calculation is used to judge the realism of publicly available info (like range, speed and warhead of weapon) that may be deceptive and not fit with other known physics characteristics of weapon</t>
  </si>
  <si>
    <t>Weight of missile witout fuel 208kg, engine 86 kg and warhead 300kg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</si>
  <si>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300 kgf thrust, 2) Its drag coefficient is Cd = 0.18, 3) The air density at sea level is rho = 1.225 kg/m^3, 4) Its frontal area is A = 0.6 m^2. Answear: 760km/h</t>
  </si>
  <si>
    <t>29M</t>
  </si>
  <si>
    <t>Chat prompt: What is the top speed in km/h of cruise missile given the following conditions: 1) It has 635 kgf thrust, 2) Its drag coefficient is Cd = 0.18, 3) The air density at sea level is rho = 1.225 kg/m^3, 4) Its frontal area is A = 0.6 m^2. Answear: 1105 km/h</t>
  </si>
  <si>
    <t>Notes in my chat prompt I use Cd=0.18 wich is not the best for cruise missiles that are typically between 0.1 and 0.3. Reason is this is a stealth missile where shape need to be less aurodynamically to have hisest level of stealth</t>
  </si>
  <si>
    <t>Adjustment made to public available info: I had to calculate speed as that is not publicly available</t>
  </si>
  <si>
    <t>Adjustment made to public available info: Wiki say warhead is 150kg and range is between 200 and 300km. That is not true given other publicly available info plus physics. I have changed range to 500 km and warhead to 300 kg to make it realistic</t>
  </si>
  <si>
    <t>Adjustment made to public available info: Not much because not much publicly available info and I filled in the blanks with numbers that fit everything else we know. The chat prompt for top speed has been changed with increased drag and frontal area to account for the wings needed relative to Neptune missile to create more uplift because of higher weight of missile that carry more fuel and structural weight to have more range so Cd and A increases</t>
  </si>
  <si>
    <t>Jet engine Williams F107, 30kg</t>
  </si>
  <si>
    <t>If jet engine is Williams F107, 30kg (no public info on which jet engine is used. However, I speculate same as for JASSM-ER will do because very powerful and a larger fuel tank and bigger wings for better uplift to keep it flying will more weight from more fuel</t>
  </si>
  <si>
    <t>Notes in my chat prompt I use Cd=0.18 wich is not the best for cruise missiles that are typically between 0.1 and 0.3. Reason is this is a stealth missile where shape need to be less aurodynamically to have hisest level of stealth. Also note that compared to JASSMa I have not changed Cd or A because it has been said that the physical dimentions of weapon is identical as JASSMb and I expect the much higher thrust and speed is plenty to keep missile airborne despite higher weight so no need to increase A or Cd</t>
  </si>
  <si>
    <t>Jet engine is Williams F107, 30kg. Missile is identical to JASSM-ER except for the homing and navigation electronics is more advanced as it need to destroy ships that move at speed and water navigation cant be done using maps as water is the same everywhere with no distinct landscape to use for navigation</t>
  </si>
  <si>
    <t>currently</t>
  </si>
  <si>
    <t>Weight of missile witout fuel 175kg, engine 46 kg and warhead 450kg. This calculation is used to judge the realism of publicly available info (like range, speed and warhead of weapon) that may be deceptive and not fit with other known physics characteristics of weapon</t>
  </si>
  <si>
    <t>Weight of missile witout fuel 363kg, engine 30 kg and warhead 450kg. This calculation is used to judge the realism of publicly available info (like range, speed and warhead of weapon) that may be deceptive and not fit with other known physics characteristics of weapon</t>
  </si>
  <si>
    <t>Notes in my chat prompt I  increase Cd to 0.2 up from 0.18 for the JASSM-ER. I also increase frontal area to A=0.7 up from 0.6 for the JASSM-ER. The reason is that missile need more fuel to fly the longer range and that will require larger wings to provide more lift for the added weight.</t>
  </si>
  <si>
    <t>Chat prompt: What is the top speed in km/h of cruise missile given the following conditions: 1) It has 635 kgf thrust, 2) Its drag coefficient is Cd = 0.2, 3) The air density at sea level is rho = 1.225 kg/m^3, 4) Its frontal area is A = 0.7 m^2. Answear: 970.42 km/h</t>
  </si>
  <si>
    <t>111M</t>
  </si>
  <si>
    <t>Chat prompt: What is the top speed in km/h of cruise missile given the following conditions: 1) It has 404 kgf thrust, 2) Its drag coefficient is Cd = 0.17, 3) The air density at sea level is rho = 1.225 kg/m^3, 4) Its frontal area is A = 0.6 m^2. Answer: 908 km/h</t>
  </si>
  <si>
    <t>45M</t>
  </si>
  <si>
    <t>Fuel consumption is 0.683 lb/(lbf·h) and Maximum thrust: 1400 lbf. In kg 0.683kg/kgf*h and 635 kgf. So missile use at most 0.683*635=434 kg jet fuel per hour</t>
  </si>
  <si>
    <t>The Neptune jet engine is not powerfull enough for class "JASSM-ER" missile. However, if I was Ukr I would buy jet engine and warhead and navigation system from US makers of JASSM-ER. That will save time and make it realistic to make a UKR JASSM-ER in time for use in war that can do the same but witout the stealth that the US will definetely keep to themself.</t>
  </si>
  <si>
    <t>Chat prompt: What is the top speed in km/h of cruise missile given the following conditions: 1) It has 635 kgf thrust, 2) Its drag coefficient is Cd = 0.15, 3) The air density at sea level is rho = 1.225 kg/m^3, 4) Its frontal area is A = 0.6 m^2. Answear: 1210 km/h</t>
  </si>
  <si>
    <t>Adjustment made to public available info: I had to calculate speed as that is not publicly available. Also wiki say range is 370 kilometer or same as JASSMa that has a very different jet engine that is inefficient by comparison. Real range is that reported for JASSMb also because the jet engine is identical and only diffferenc is the navigation and homing system that need to navigate over water and hit moving targets instead of stationary land targets</t>
  </si>
  <si>
    <t>Notes in my chat prompt I use Cd=0.15 instead of Cd=0.17. Otherwise the prompt is identical to that for the JASSM-ER because this hypotetical Ukraine made missile use the same jet engine and warhead as JASSM-ER. However, it is not stealth so Ukraine can optimise for lowest Cd when stealth is not a design objective as Ukraine will not be expected to get US stealth tech for this missile.</t>
  </si>
  <si>
    <t>Weight of missile without fuel 434kg, engine 30 kg and warhead 450kg.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</si>
  <si>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404 kgf thrust, 2) Its drag coefficient is Cd = 0.12, 3) The air density at sea level is rho = 1.225 kg/m^3, 4) Its frontal area is A = 0.5 m^2. Answear: 1182 km/h</t>
  </si>
  <si>
    <t>See sources for weapon below under "Large long-range missiles</t>
  </si>
  <si>
    <t>2023, Aug.-</t>
  </si>
  <si>
    <t>https://tradingeconomics.com/india/population</t>
  </si>
  <si>
    <t>https://tradingeconomics.com/iran/population</t>
  </si>
  <si>
    <t>South Korea</t>
  </si>
  <si>
    <t>https://en.wikipedia.org/wiki/North_Korea</t>
  </si>
  <si>
    <t>https://tradingeconomics.com/taiwan/population</t>
  </si>
  <si>
    <t>https://tradingeconomics.com/china/population</t>
  </si>
  <si>
    <t>https://tradingeconomics.com/turkey/population</t>
  </si>
  <si>
    <t>https://tradingeconomics.com/israel/population</t>
  </si>
  <si>
    <t>https://tradingeconomics.com/pakistan/population</t>
  </si>
  <si>
    <t>https://tradingeconomics.com/south-korea/population</t>
  </si>
  <si>
    <t>https://tradingeconomics.com/south-korea/gdp</t>
  </si>
  <si>
    <t>https://tradingeconomics.com/india/military-expenditure-percent-of-gdp-wb-data.html</t>
  </si>
  <si>
    <t>https://tradingeconomics.com/south-korea/military-expenditure-percent-of-gdp-wb-data.html</t>
  </si>
  <si>
    <t>Philippines</t>
  </si>
  <si>
    <t>https://tradingeconomics.com/philippines/gdp</t>
  </si>
  <si>
    <t>https://tradingeconomics.com/philippines/population</t>
  </si>
  <si>
    <t>https://tradingeconomics.com/philippines/military-expenditure-percent-of-gdp-wb-data.html</t>
  </si>
  <si>
    <t>in % of</t>
  </si>
  <si>
    <t>GDP</t>
  </si>
  <si>
    <t>Exports</t>
  </si>
  <si>
    <t>https://tradingeconomics.com/united-states/exports-of-goods-and-services-percent-of-gdp-wb-data.html</t>
  </si>
  <si>
    <t>https://tradingeconomics.com/euro-area/exports-of-goods-and-services-percent-of-gdp-wb-data.html</t>
  </si>
  <si>
    <t>https://tradingeconomics.com/china/exports-of-goods-and-services-percent-of-gdp-wb-data.html</t>
  </si>
  <si>
    <t>https://tradingeconomics.com/russia/exports-of-goods-and-services-percent-of-gdp-wb-data.html</t>
  </si>
  <si>
    <t>https://tradingeconomics.com/ukraine/exports-of-goods-and-services-percent-of-gdp-wb-data.html</t>
  </si>
  <si>
    <t>https://tradingeconomics.com/germany/exports-of-goods-and-services-percent-of-gdp-wb-data.html</t>
  </si>
  <si>
    <t>https://tradingeconomics.com/united-kingdom/exports-of-goods-and-services-percent-of-gdp-wb-data.html</t>
  </si>
  <si>
    <t>https://tradingeconomics.com/denmark/exports-of-goods-and-services-percent-of-gdp-wb-data.html</t>
  </si>
  <si>
    <t>https://tradingeconomics.com/norway/exports-of-goods-and-services-percent-of-gdp-wb-data.html</t>
  </si>
  <si>
    <t>https://tradingeconomics.com/japan/exports-of-goods-and-services-percent-of-gdp-wb-data.html</t>
  </si>
  <si>
    <t>https://tradingeconomics.com/canada/exports-of-goods-and-services-percent-of-gdp-wb-data.html</t>
  </si>
  <si>
    <t>https://tradingeconomics.com/poland/exports-of-goods-and-services-percent-of-gdp-wb-data.html</t>
  </si>
  <si>
    <t>https://tradingeconomics.com/netherlands/exports-of-goods-and-services-percent-of-gdp-wb-data.html</t>
  </si>
  <si>
    <t>https://tradingeconomics.com/sweden/exports-of-goods-and-services-percent-of-gdp-wb-data.html</t>
  </si>
  <si>
    <t>https://tradingeconomics.com/switzerland/exports-of-goods-and-services-percent-of-gdp-wb-data.html</t>
  </si>
  <si>
    <t>https://tradingeconomics.com/france/exports-of-goods-and-services-percent-of-gdp-wb-data.html</t>
  </si>
  <si>
    <t>https://tradingeconomics.com/finland/exports-of-goods-and-services-percent-of-gdp-wb-data.html</t>
  </si>
  <si>
    <t>https://tradingeconomics.com/czech-republic/exports-of-goods-and-services-percent-of-gdp-wb-data.html</t>
  </si>
  <si>
    <t>https://tradingeconomics.com/italy/exports-of-goods-and-services-percent-of-gdp-wb-data.html</t>
  </si>
  <si>
    <t>https://tradingeconomics.com/israel/exports-of-goods-and-services-percent-of-gdp-wb-data.html</t>
  </si>
  <si>
    <t>https://tradingeconomics.com/iran/exports-of-goods-and-services-percent-of-gdp-wb-data.html</t>
  </si>
  <si>
    <t>https://tradingeconomics.com/south-korea/exports-of-goods-and-services-percent-of-gdp-wb-data.html</t>
  </si>
  <si>
    <t>https://tradingeconomics.com/pakistan/exports-of-goods-and-services-percent-of-gdp-wb-data.html</t>
  </si>
  <si>
    <t>https://tradingeconomics.com/india/exports-of-goods-and-services-percent-of-gdp-wb-data.html</t>
  </si>
  <si>
    <t>https://tradingeconomics.com/turkey/exports-of-goods-and-services-percent-of-gdp-wb-data.html</t>
  </si>
  <si>
    <t>https://tradingeconomics.com/philippines/exports-of-goods-and-services-percent-of-gdp-wb-data.html</t>
  </si>
  <si>
    <t>https://tradingeconomics.com/taiwan/exports</t>
  </si>
  <si>
    <t>https://en.wikipedia.org/wiki/Typhon_missile_launcher</t>
  </si>
  <si>
    <t>2009-</t>
  </si>
  <si>
    <t>https://en.wikipedia.org/wiki/RIM-174_Standard_ERAM</t>
  </si>
  <si>
    <t>64</t>
  </si>
  <si>
    <t>1800 ordered, blast fragmentation warhead</t>
  </si>
  <si>
    <t>my guess of extra cost per missile launch from ground require rocket booster on rear of each missile</t>
  </si>
  <si>
    <t>7M</t>
  </si>
  <si>
    <t>Japan has ordered this system as well as US army</t>
  </si>
  <si>
    <t>The US have ordered 380 more will have 450 by 2026. Australia has ordered 200</t>
  </si>
  <si>
    <t>M1000 Heavy Equipment Transport Semi-Trailer</t>
  </si>
  <si>
    <t>https://www.leonardodrs.com/what-we-do/products-and-services/m1000-heavy-equipment-transport-semi-trailer/</t>
  </si>
  <si>
    <t>70 tons all weather, all-roads</t>
  </si>
  <si>
    <t>https://en.wikipedia.org/wiki/Heavy_Equipment_Transport_System</t>
  </si>
  <si>
    <t>1989-</t>
  </si>
  <si>
    <t>https://www.leonardodrs.com/wp-content/uploads/2023/09/m1000-datasheet.pdf</t>
  </si>
  <si>
    <t>https://en.wikipedia.org/wiki/Mark_41_vertical_launching_system</t>
  </si>
  <si>
    <t>1986–</t>
  </si>
  <si>
    <t>200,000 per missile launch because needs a booster rocket on rear of each rocket</t>
  </si>
  <si>
    <t xml:space="preserve"> - Joint Strike Missile cruise missile, F35 can carry 2 in its internal weapons bay with 4 more externally </t>
  </si>
  <si>
    <t>https://en.wikipedia.org/wiki/Sikorsky_CH-53E_Super_Stallion#Specifications_(CH-53E)</t>
  </si>
  <si>
    <t>Sikorsky CH-53K-E, heavy lift helicopter, US</t>
  </si>
  <si>
    <t>1978–</t>
  </si>
  <si>
    <t>&gt;172</t>
  </si>
  <si>
    <t>The United States Marine Corps plans to receive 200 helicopters CH-53K at a total cost of $25 billion. By February 2023, nearly 20 CH-53K King Stallions have been produced</t>
  </si>
  <si>
    <t>Range is combat range meaning fully loaded round trip</t>
  </si>
  <si>
    <t>Mark 41 VLS vertical launching system, 15 tons 8 missilie navy ship launcher for LRASM, Tomahawk, others 7.7 meters tall *5*5 meters for largest rockets</t>
  </si>
  <si>
    <t>https://en.wikipedia.org/wiki/Williams_F107</t>
  </si>
  <si>
    <t>Jet engine, Williams International F107-WR-402 turbofan</t>
  </si>
  <si>
    <t>https://en.wikipedia.org/wiki/AGM-86_ALCM</t>
  </si>
  <si>
    <t>200,000 per missile launch</t>
  </si>
  <si>
    <t>50,000 per missile launched</t>
  </si>
  <si>
    <t>F107-WR-101</t>
  </si>
  <si>
    <t>540</t>
  </si>
  <si>
    <t>2.7H</t>
  </si>
  <si>
    <t>1982-86</t>
  </si>
  <si>
    <t>0 all has been decommissioned</t>
  </si>
  <si>
    <t>https://en.wikipedia.org/wiki/Virginia-class_submarine</t>
  </si>
  <si>
    <t>unlimitted</t>
  </si>
  <si>
    <t>&gt;24</t>
  </si>
  <si>
    <t>The US has ordered 66 in all and Australia has ordered 8</t>
  </si>
  <si>
    <t>65 missiles and torpedos</t>
  </si>
  <si>
    <t>https://www.lockheedmartin.com/content/dam/lockheed-martin/rms/documents/naval-launchers-and-munitions/Mk70_Product_Card.pdf</t>
  </si>
  <si>
    <t>1000 for all variants most likely only c and d that I suspect of being all purpose cruise missiles for land and sea targets including moving targets on land like an airplane shuttling around on airbase</t>
  </si>
  <si>
    <t>AGM-86 ALCM-B/C/D US air to ground cruise missile 1430 kg, now replaced by JASSM fired from B52</t>
  </si>
  <si>
    <t>&gt;1000 most likely much higher like 5000 or so have been build because this weapon has been uned many hundreds of times in Iraq and Afganistan and most US submarines and ships carry them and missile can also be ground and air launched</t>
  </si>
  <si>
    <t>Typhon Mk 70 Mod 1 ground launcher, f. Tomahawk &amp; SM6 &amp; and most likely LRASM because the Mk 70 Mod 1 is a variant of the Mk41 that is confirmed to launch LRASMs</t>
  </si>
  <si>
    <t>2017-</t>
  </si>
  <si>
    <t>AGM-158D will enhance performance with new wing and chine designs, the integration of a line of sight and beyond line of sight Weapon Data Link (WDL) for post-launch retargeting capability, and software updates for increased survivability. Source wiki. The WDL is also a nessesity for the AGM-158C or it will not be able to hit a moving target at sea.</t>
  </si>
  <si>
    <t>1998-2016</t>
  </si>
  <si>
    <t>https://en.wikipedia.org/wiki/AGM-158_JASSM and end in 2016 see https://www.airandspaceforces.com/weapons-platforms/agm-158-jassm/</t>
  </si>
  <si>
    <r>
      <t xml:space="preserve">Large long-range missiles </t>
    </r>
    <r>
      <rPr>
        <sz val="11"/>
        <color theme="1"/>
        <rFont val="Calibri"/>
        <family val="2"/>
        <scheme val="minor"/>
      </rPr>
      <t>(ground attack)</t>
    </r>
  </si>
  <si>
    <t>1.9S</t>
  </si>
  <si>
    <t>Skynex 35 mm anti-aircraft gun system, 4 guns, 1 radar, 1 control</t>
  </si>
  <si>
    <t xml:space="preserve">Anti-aircraft systems </t>
  </si>
  <si>
    <t>Saab 340 AEW&amp;C radar and control airplane, 2 pledged for Ukraine by Sweden on May 2024</t>
  </si>
  <si>
    <t>&gt;135</t>
  </si>
  <si>
    <t>kg note the AGM-158c frame is 50kg heavier than AGM-158b it is similar too. Reason is AGM-158c is made to also be launched from ships or land (Typhon) using rocket booster and that require missile to have more structural integrity as it possible experience very high G-forces during that launch that the AGM-158b does not experience because it is air launched</t>
  </si>
  <si>
    <t>Notes in my chat prompt I use Cd=0.19 wich is not the best for cruise missiles that are typically between 0.1 and 0.3. Reason is this is a stealth missile where shape need to be less aurodynamically to have hisest level of stealth. Also note that compared to JASSMa I have not changed Cd or A because it has been said that the physical dimentions of weapon is identical as JASSMb and I expect the much higher thrust and speed is plenty to keep missile airborne despite higher weight so no need to increase A or Cd</t>
  </si>
  <si>
    <t>Note 2 I have bumbed the Cd to 0.19 up from 0.18 to adjust for the 50kg weight increase</t>
  </si>
  <si>
    <t>Chat prompt: What is the top speed in km/h of cruise missile given the following conditions: 1) It has 635 kgf thrust, 2) Its drag coefficient is Cd = 0.19, 3) The air density at sea level is rho = 1.225 kg/m^3, 4) Its frontal area is A = 0.6 m^2. Answear: 1075 km/h</t>
  </si>
  <si>
    <t>Production in 2023 was 500 per year on 1 assembling line but UKR war and Taiwan tension has US increase production to 1000 per year see https://www.airandspaceforces.com/lockheed-martin-double-lrasm-production/</t>
  </si>
  <si>
    <t>AGM-158a JASSM stealth cruise m., 1021kg, can be launched from air only specifically B1, B2, B52, F15, F16, F18 and in process to be certified for launch with F35, B21 and P8 poseidon</t>
  </si>
  <si>
    <t>AGM-158b JASSM-ER stealth cruise, 1200kg, can be launched from air only specifically B1, B2, B52, F15, F16, F18 and in process to be certified for launch with F35, B21 and P8 poseidon</t>
  </si>
  <si>
    <t>AGM-158d JASSM-XR stealth cruise, 1700 kg, problem is missile is most likely currently only able to launch from US strategic bombers because US always start with those for weapons integration and it takes years to get ready for other launch platforms. Plus almost certainly too heavy to be launched ever from F16 or F35 or other fighters.</t>
  </si>
  <si>
    <t>AGM-158c LRASM stealth navy cruise m. 1250kg, air launch limitted to F15, F18, B-1B, Boing P-8 currently but in process of being expanded to other airplanes, part of JASSMs family. Also ground fired from ships using Mk 41,and most likely also land using Typhon Mk 70 Mod 1</t>
  </si>
  <si>
    <t>Types of navigation technologies</t>
  </si>
  <si>
    <t>Description</t>
  </si>
  <si>
    <t>Year first</t>
  </si>
  <si>
    <t>appeared</t>
  </si>
  <si>
    <t>today</t>
  </si>
  <si>
    <t>GPS, GLONASS, Galileo, QZSS, BeiDou og NavIC</t>
  </si>
  <si>
    <t>Inertial navigation</t>
  </si>
  <si>
    <t>Landscape navigation infraread camera</t>
  </si>
  <si>
    <t xml:space="preserve">Landscape navigation </t>
  </si>
  <si>
    <t>main source</t>
  </si>
  <si>
    <t>Accuracy</t>
  </si>
  <si>
    <t>kilometers</t>
  </si>
  <si>
    <t>meters</t>
  </si>
  <si>
    <t>Star</t>
  </si>
  <si>
    <t>Needed</t>
  </si>
  <si>
    <t>infrastructure</t>
  </si>
  <si>
    <t>Jamming</t>
  </si>
  <si>
    <t>methods</t>
  </si>
  <si>
    <t>Technologies in weapons used for target acquisition, navigation and homing</t>
  </si>
  <si>
    <t>Types of homing technologies</t>
  </si>
  <si>
    <t>Types of target acquisition technologies</t>
  </si>
  <si>
    <t>640km</t>
  </si>
  <si>
    <t>The Hawkeye 2000 version can track over 2,000 targets simultaneously while also detecting 20,000 targets to a range greater than 400 mi (640 km) and simultaneously guide 40–100 air-to-air intercepts or air-to-surface engagements</t>
  </si>
  <si>
    <t>https://en.wikipedia.org/wiki/Grumman_E-2_Hawkeye#</t>
  </si>
  <si>
    <t>https://en.wikipedia.org/wiki/Grumman_E-2_Hawkeye</t>
  </si>
  <si>
    <t>&gt;150</t>
  </si>
  <si>
    <t>&gt;4</t>
  </si>
  <si>
    <t>&gt;313 total; 88 E-2D</t>
  </si>
  <si>
    <t>https://thediplomat.com/2019/06/japan-takes-delivery-of-first-e-2d-advanced-hawkeye-aircraft/</t>
  </si>
  <si>
    <t>5.6H</t>
  </si>
  <si>
    <t>1964-,2010- (E2D)</t>
  </si>
  <si>
    <t>The E-2D was designed to help defend aircraft carrier strike groups (CSG) against any type of long-range aerial threats, with each CSG deploying four E-2Cs or E-2Ds. According to Northrop Grumman, the E-2D is capable of detecting a ground-to-air cruise missile launch and stealth aircraft. Also The [JASDF] will also base its aircraft on land allowing it to take off with extra fuel, which will allow the service to operate the aircraft for up to 8 hours, instead of a standard 5 hours (without refueling)</t>
  </si>
  <si>
    <t>E-2D Hawkeye Navy version, radar and command aircraft. Every US aircraft carrier has 4 Hawkeye aircraft</t>
  </si>
  <si>
    <t>E-2D Hawkeye Air F. version, radar and command aircraft. Used from land airports has more fuel because less structure is needed when not used on carrier. Increases flight time to 8H up from 6H. Otherwise the same.</t>
  </si>
  <si>
    <t>known</t>
  </si>
  <si>
    <t>https://en.wikipedia.org/wiki/MIM-104_Patriot#SkyCeptor_(PAAC-4)</t>
  </si>
  <si>
    <t>kinetic</t>
  </si>
  <si>
    <t>1.6M</t>
  </si>
  <si>
    <t>Patriot SkyCeptor (PAAC-4) US, Israel, two stage rocket, IR seeker; active radar seeker</t>
  </si>
  <si>
    <t>Patriot PAC-3 MSE missile active radar seeker</t>
  </si>
  <si>
    <t>Patriot E PAC-2 MSE missile semi active radar depend on external radar illuninating target</t>
  </si>
  <si>
    <t xml:space="preserve"> - AGM-88G HARM anti-radar missile, US</t>
  </si>
  <si>
    <t>under development</t>
  </si>
  <si>
    <t>https://www.iiss.org/online-analysis/online-analysis/2024/08/the-return-of-long-range-us-missiles-to-europe/</t>
  </si>
  <si>
    <t>Dark Eagle, Long-Range Hypersonic Weapon, 7.4ton</t>
  </si>
  <si>
    <t>https://en.wikipedia.org/wiki/Long-Range_Hypersonic_Weapon</t>
  </si>
  <si>
    <t xml:space="preserve">PrSM Increment 4 MRBM US ballistic missile </t>
  </si>
  <si>
    <t>https://en.wikipedia.org/wiki/Kh-22</t>
  </si>
  <si>
    <t>https://en.wikipedia.org/wiki/Kh-23</t>
  </si>
  <si>
    <t>https://en.wikipedia.org/wiki/Kh-25</t>
  </si>
  <si>
    <t>https://en.wikipedia.org/wiki/Kh-26</t>
  </si>
  <si>
    <t>1962-</t>
  </si>
  <si>
    <t>It was designed for use against aircraft carriers and carrier battle groups, with either a conventional or nuclear warhead</t>
  </si>
  <si>
    <t>6.4M</t>
  </si>
  <si>
    <t>Virginia-class US submarine, nuclear powered</t>
  </si>
  <si>
    <t>https://youtu.be/pdv5PeqtWfY?si=FZmitvImqwcq2MBX&amp;t=450</t>
  </si>
  <si>
    <t xml:space="preserve">Total </t>
  </si>
  <si>
    <t>weight</t>
  </si>
  <si>
    <t>Launch</t>
  </si>
  <si>
    <t>platforms</t>
  </si>
  <si>
    <t>Navigation</t>
  </si>
  <si>
    <t xml:space="preserve">Terminal </t>
  </si>
  <si>
    <t>homing</t>
  </si>
  <si>
    <t>systems</t>
  </si>
  <si>
    <t>Target</t>
  </si>
  <si>
    <t>acquisition</t>
  </si>
  <si>
    <t>sea</t>
  </si>
  <si>
    <t>GPS</t>
  </si>
  <si>
    <t>Data-</t>
  </si>
  <si>
    <t xml:space="preserve">link </t>
  </si>
  <si>
    <t>Sattelite</t>
  </si>
  <si>
    <t>FPV IR camera</t>
  </si>
  <si>
    <t>FPV, sattelite, local spys</t>
  </si>
  <si>
    <t>R-360 UKR Neptune anti-ship cruise missile</t>
  </si>
  <si>
    <t>Ground with rocket boost</t>
  </si>
  <si>
    <t>GPS, inertial navigation, data-link</t>
  </si>
  <si>
    <t>Ground radio</t>
  </si>
  <si>
    <t>Airbourne radar</t>
  </si>
  <si>
    <t>&lt;1000</t>
  </si>
  <si>
    <t>Kh-22 anti-ship ballistic missile, can also hit ground targets</t>
  </si>
  <si>
    <t>Active radar</t>
  </si>
  <si>
    <t>Radar</t>
  </si>
  <si>
    <t>Air by strategic bombers, Tu-22M, Тu-22К, Тu-95К22</t>
  </si>
  <si>
    <t>Harpoon US anti-ship missile</t>
  </si>
  <si>
    <t xml:space="preserve">AGM-158c LRASM stealth navy cruise m. </t>
  </si>
  <si>
    <t>Ship and air launched, air limitted to F15, F18, B-1B, Boing P-8 currently but in process of being expanded to other airplanes, part of JASSMs family. Also ground fired from Mk 41,and most likely also the Typhon Mk 70 Mod 1</t>
  </si>
  <si>
    <t>Navigation: Magnetic Anomaly Detection (MAD) is used by submarines to navigate under or above water to detect minute differences in Earth magnetic field that can fix position with say 5 to 10 kilometers accuracy if you compare to a detailed map of the earth magnetic fields. The technique can also detect other ships or submarines that are nearby like 1 kilometer</t>
  </si>
  <si>
    <t>Submarines that are submerged can only receive Extremely low frequency radio waves in the 3-300 Hz spectrum dragging kilometer long cables behind them as antenna. Data speed is very limitted to a few characters per minute.</t>
  </si>
  <si>
    <t>https://en.wikipedia.org/wiki/Communication_with_submarines</t>
  </si>
  <si>
    <t>2003–</t>
  </si>
  <si>
    <t>Mirage 2000, Rafale, Su-24, Tornado, Typhoon, Gripen</t>
  </si>
  <si>
    <t>GPS, INS, IIR &amp; TERPROM (altimeter)</t>
  </si>
  <si>
    <t>none</t>
  </si>
  <si>
    <t>IR</t>
  </si>
  <si>
    <t>Sattelite and, spy drones and local intelligence</t>
  </si>
  <si>
    <t xml:space="preserve">Surface ships, Mark 41 Vertical Launching System, Torpedo tubes Submarines, on land from Typhon launch vehicle 2 tubes </t>
  </si>
  <si>
    <t>RIM-174 US (SM-6) ballistic missile air, sea &amp; land targets, 370 km range on air targets and 500km for land targets</t>
  </si>
  <si>
    <t>https://www.naval-technology.com/projects/standard-missile-6/</t>
  </si>
  <si>
    <t>RIM-174 US (SM-6) ballistic missile air, sea &amp; land targets, 370km range on air targets and 500km for land targets, mostly used by ships</t>
  </si>
  <si>
    <t xml:space="preserve"> terminal active and Semi-active radar homing</t>
  </si>
  <si>
    <t>Inertial guidance, Data-link to land or airborne radar</t>
  </si>
  <si>
    <t>Data-link, to airbourne radar, sattelite?</t>
  </si>
  <si>
    <t>Sattelite, ground and airbourne radar, surveliance drones and aircraft</t>
  </si>
  <si>
    <t xml:space="preserve">Typhon Mk 70 Mod 1 ground launcher, Mk 41 VLS (surface ship), Typhon Mk 70 Mod 1 ground launcher, Strategic Midrange Fires (ground launcher), Boeing F/A-18E/F Super Hornet </t>
  </si>
  <si>
    <t xml:space="preserve"> - JDAM glider bomb for F16, GBU-31 kit</t>
  </si>
  <si>
    <t>A mass of 1500kg is reported on Wiki and I guess it is 1200 for missile and 300 kg for booster which is standard. The SM 6 has been filmed on F/A 18F fighter jet and I think the max weight is about 1200 kg so that is why I guess as I do https://aviationweek.com/defense/missile-defense-weapons/weekly-debrief-air-launched-sm-6-missile-exposed-new-test-photo</t>
  </si>
  <si>
    <t>GPS, INS, TERCOM Terrain contour matching, DSMAC (this is now AI homing and navigation using IR and radar imaging, active radar homing (RGM/UGM-109B)</t>
  </si>
  <si>
    <t>Tomahawk Block V US navy cruise missile, 1300kg and 1600 kg, 6.25m with booster. It cant be launched from F16 and a reason given is that it is too heavy at 1300 kg. It may also be because no one have tried to do so because of alternatives like JASSM that weight less</t>
  </si>
  <si>
    <t>text</t>
  </si>
  <si>
    <t xml:space="preserve">Main </t>
  </si>
  <si>
    <t>video</t>
  </si>
  <si>
    <t>notes</t>
  </si>
  <si>
    <t>https://www.youtube.com/watch?app=desktop&amp;si=gD0n1t8T9_PivR9Q&amp;v=GqZOaUpORjo&amp;feature=youtu.be</t>
  </si>
  <si>
    <t>https://en.wikipedia.org/wiki/Boeing_MQ-25_Stingray</t>
  </si>
  <si>
    <t>2019 first flight still in development</t>
  </si>
  <si>
    <t>Boeing MQ-25 unmanned stealth fuel tanker</t>
  </si>
  <si>
    <t xml:space="preserve">It is an unmanned stealth aircraft that can launch from aircraft carriers and be used for refueling and survilience. It very likely can also direct missiles to their target like the Tomahawk and the SM-6 using a radio-data link. That will not reveil location of aircraft as you do not need a continuous radio signal just a few miliseconds at a time to send target coordinates to incomming missiles and drones. </t>
  </si>
  <si>
    <t>The game changing weapon no one talks about that directly can stop Russian glider bombs #63/90</t>
  </si>
  <si>
    <t>https://www.youtube.com/watch?v=ThNxRoDbuDE</t>
  </si>
  <si>
    <t>https://youtu.be/5JdT1GrplhI?si=CHkg27rnL6Dg1mNQ&amp;t=39</t>
  </si>
  <si>
    <t>&gt;30,000</t>
  </si>
  <si>
    <t>https://www.bbc.com/news/articles/cz5drkr8l1ko</t>
  </si>
  <si>
    <t>5.2M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</si>
</sst>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409]d\-mmm\-yy;@"/>
    <numFmt numFmtId="167" formatCode="0.000"/>
    <numFmt numFmtId="168" formatCode="#,##0.000"/>
  </numFmts>
  <fonts count="16" x14ac:knownFonts="1">
    <font>
      <sz val="11"/>
      <color theme="1"/>
      <name val="Calibri"/>
      <family val="2"/>
      <scheme val="minor"/>
    </font>
    <font>
      <b/>
      <sz val="11"/>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sz val="9"/>
      <color theme="1"/>
      <name val="Calibri"/>
      <family val="2"/>
      <scheme val="minor"/>
    </font>
    <font>
      <sz val="8"/>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8"/>
      <color theme="1"/>
      <name val="Calibri"/>
      <family val="2"/>
      <scheme val="minor"/>
    </font>
    <font>
      <b/>
      <sz val="12"/>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s>
  <borders count="18">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s>
  <cellStyleXfs count="2">
    <xf numFmtId="0" fontId="0" fillId="0" borderId="0"/>
    <xf numFmtId="0" fontId="4" fillId="0" borderId="0" applyNumberFormat="0" applyFill="0" applyBorder="0" applyAlignment="0" applyProtection="0"/>
  </cellStyleXfs>
  <cellXfs count="602">
    <xf numFmtId="0" fontId="0" fillId="0" borderId="0" xfId="0"/>
    <xf numFmtId="0" fontId="2" fillId="0" borderId="0" xfId="0" applyFont="1"/>
    <xf numFmtId="0" fontId="3" fillId="0" borderId="0" xfId="0" applyFont="1"/>
    <xf numFmtId="0" fontId="1" fillId="0" borderId="0" xfId="0" applyFont="1"/>
    <xf numFmtId="0" fontId="4" fillId="0" borderId="0" xfId="1"/>
    <xf numFmtId="0" fontId="0" fillId="0" borderId="2" xfId="0" applyBorder="1"/>
    <xf numFmtId="0" fontId="1" fillId="0" borderId="3" xfId="0" applyFont="1" applyBorder="1"/>
    <xf numFmtId="0" fontId="1" fillId="0" borderId="4" xfId="0" applyFont="1" applyBorder="1"/>
    <xf numFmtId="2" fontId="0" fillId="0" borderId="0" xfId="0" applyNumberFormat="1"/>
    <xf numFmtId="4" fontId="0" fillId="0" borderId="0" xfId="0" applyNumberFormat="1"/>
    <xf numFmtId="0" fontId="1" fillId="2" borderId="4" xfId="0" applyFont="1" applyFill="1" applyBorder="1"/>
    <xf numFmtId="2" fontId="0" fillId="2" borderId="0" xfId="0" applyNumberFormat="1" applyFill="1"/>
    <xf numFmtId="4" fontId="0" fillId="2" borderId="0" xfId="0" applyNumberFormat="1" applyFill="1"/>
    <xf numFmtId="0" fontId="1" fillId="0" borderId="5" xfId="0" applyFont="1" applyBorder="1"/>
    <xf numFmtId="0" fontId="0" fillId="0" borderId="6" xfId="0" applyBorder="1"/>
    <xf numFmtId="0" fontId="1" fillId="0" borderId="2" xfId="0" applyFont="1" applyBorder="1"/>
    <xf numFmtId="4" fontId="0" fillId="0" borderId="4" xfId="0" applyNumberFormat="1" applyBorder="1"/>
    <xf numFmtId="0" fontId="0" fillId="0" borderId="5" xfId="0" applyBorder="1"/>
    <xf numFmtId="0" fontId="1" fillId="0" borderId="6" xfId="0" applyFont="1" applyBorder="1"/>
    <xf numFmtId="0" fontId="0" fillId="0" borderId="3" xfId="0" applyBorder="1"/>
    <xf numFmtId="0" fontId="4" fillId="0" borderId="0" xfId="1" applyFill="1" applyBorder="1"/>
    <xf numFmtId="0" fontId="1" fillId="0" borderId="1" xfId="0" applyFont="1" applyBorder="1"/>
    <xf numFmtId="0" fontId="0" fillId="0" borderId="7" xfId="0" applyBorder="1"/>
    <xf numFmtId="2" fontId="4" fillId="0" borderId="3" xfId="1" applyNumberFormat="1" applyBorder="1"/>
    <xf numFmtId="0" fontId="0" fillId="0" borderId="9" xfId="0" applyBorder="1"/>
    <xf numFmtId="0" fontId="0" fillId="0" borderId="10" xfId="0" applyBorder="1"/>
    <xf numFmtId="2" fontId="4" fillId="0" borderId="0" xfId="1" applyNumberFormat="1" applyBorder="1"/>
    <xf numFmtId="2" fontId="4" fillId="0" borderId="6" xfId="1" applyNumberFormat="1" applyBorder="1"/>
    <xf numFmtId="0" fontId="0" fillId="0" borderId="11" xfId="0" applyBorder="1"/>
    <xf numFmtId="0" fontId="4" fillId="0" borderId="2" xfId="1" applyBorder="1"/>
    <xf numFmtId="2" fontId="0" fillId="0" borderId="4" xfId="0" applyNumberFormat="1" applyBorder="1"/>
    <xf numFmtId="0" fontId="4" fillId="0" borderId="4" xfId="1" applyBorder="1"/>
    <xf numFmtId="0" fontId="4" fillId="0" borderId="5" xfId="1" applyBorder="1"/>
    <xf numFmtId="0" fontId="4" fillId="0" borderId="7" xfId="1" applyFill="1" applyBorder="1"/>
    <xf numFmtId="0" fontId="4" fillId="2" borderId="0" xfId="1" applyFill="1" applyBorder="1"/>
    <xf numFmtId="2" fontId="0" fillId="2" borderId="4" xfId="0" applyNumberFormat="1" applyFill="1" applyBorder="1"/>
    <xf numFmtId="0" fontId="0" fillId="2" borderId="10" xfId="0" applyFill="1" applyBorder="1"/>
    <xf numFmtId="2" fontId="4" fillId="2" borderId="0" xfId="1" applyNumberFormat="1" applyFill="1" applyBorder="1"/>
    <xf numFmtId="0" fontId="4" fillId="2" borderId="4" xfId="1" applyFill="1" applyBorder="1"/>
    <xf numFmtId="0" fontId="1" fillId="0" borderId="9" xfId="0" applyFont="1" applyBorder="1"/>
    <xf numFmtId="0" fontId="1" fillId="0" borderId="11" xfId="0" applyFont="1" applyBorder="1"/>
    <xf numFmtId="10" fontId="0" fillId="0" borderId="10" xfId="0" applyNumberFormat="1" applyBorder="1"/>
    <xf numFmtId="0" fontId="0" fillId="0" borderId="0" xfId="0" applyAlignment="1">
      <alignment horizontal="right"/>
    </xf>
    <xf numFmtId="4" fontId="1" fillId="2" borderId="0" xfId="0" applyNumberFormat="1" applyFont="1" applyFill="1"/>
    <xf numFmtId="4" fontId="1" fillId="0" borderId="4" xfId="0" applyNumberFormat="1" applyFont="1" applyBorder="1"/>
    <xf numFmtId="10" fontId="1" fillId="0" borderId="10" xfId="0" applyNumberFormat="1" applyFont="1" applyBorder="1"/>
    <xf numFmtId="2" fontId="1" fillId="2" borderId="0" xfId="0" applyNumberFormat="1" applyFont="1" applyFill="1"/>
    <xf numFmtId="0" fontId="0" fillId="0" borderId="7" xfId="0" applyBorder="1" applyAlignment="1">
      <alignment horizontal="right"/>
    </xf>
    <xf numFmtId="0" fontId="0" fillId="0" borderId="3" xfId="0" applyBorder="1" applyAlignment="1">
      <alignment horizontal="right"/>
    </xf>
    <xf numFmtId="4" fontId="0" fillId="0" borderId="3" xfId="0" applyNumberFormat="1" applyBorder="1"/>
    <xf numFmtId="4" fontId="0" fillId="0" borderId="6" xfId="0" applyNumberFormat="1" applyBorder="1"/>
    <xf numFmtId="0" fontId="0" fillId="0" borderId="4" xfId="0" applyBorder="1"/>
    <xf numFmtId="4" fontId="4" fillId="0" borderId="3" xfId="1" applyNumberFormat="1" applyBorder="1"/>
    <xf numFmtId="4" fontId="5" fillId="0" borderId="0" xfId="1" applyNumberFormat="1" applyFont="1" applyBorder="1"/>
    <xf numFmtId="0" fontId="4" fillId="0" borderId="7" xfId="1" applyBorder="1"/>
    <xf numFmtId="4" fontId="1" fillId="0" borderId="6" xfId="0" applyNumberFormat="1" applyFont="1" applyBorder="1"/>
    <xf numFmtId="2" fontId="1" fillId="0" borderId="7" xfId="0" applyNumberFormat="1" applyFont="1" applyBorder="1"/>
    <xf numFmtId="4" fontId="1" fillId="0" borderId="7" xfId="0" applyNumberFormat="1" applyFont="1" applyBorder="1"/>
    <xf numFmtId="4" fontId="0" fillId="0" borderId="0" xfId="0" applyNumberFormat="1" applyAlignment="1">
      <alignment horizontal="right"/>
    </xf>
    <xf numFmtId="2" fontId="0" fillId="0" borderId="2" xfId="0" applyNumberFormat="1" applyBorder="1"/>
    <xf numFmtId="0" fontId="4" fillId="0" borderId="1" xfId="1" applyBorder="1"/>
    <xf numFmtId="2" fontId="1" fillId="0" borderId="11" xfId="0" applyNumberFormat="1" applyFont="1" applyBorder="1"/>
    <xf numFmtId="2" fontId="1" fillId="0" borderId="8" xfId="0" applyNumberFormat="1" applyFont="1" applyBorder="1"/>
    <xf numFmtId="4" fontId="1" fillId="0" borderId="1" xfId="0" applyNumberFormat="1" applyFont="1" applyBorder="1"/>
    <xf numFmtId="10" fontId="1" fillId="0" borderId="8" xfId="0" applyNumberFormat="1" applyFont="1" applyBorder="1"/>
    <xf numFmtId="0" fontId="1" fillId="3" borderId="4" xfId="0" applyFont="1" applyFill="1" applyBorder="1"/>
    <xf numFmtId="10" fontId="0" fillId="3" borderId="10" xfId="0" applyNumberFormat="1" applyFill="1" applyBorder="1"/>
    <xf numFmtId="0" fontId="5" fillId="0" borderId="5" xfId="1" applyFont="1" applyBorder="1"/>
    <xf numFmtId="2" fontId="0" fillId="0" borderId="6" xfId="0" applyNumberFormat="1" applyBorder="1" applyAlignment="1">
      <alignment horizontal="right"/>
    </xf>
    <xf numFmtId="2" fontId="0" fillId="0" borderId="3" xfId="0" applyNumberFormat="1" applyBorder="1" applyAlignment="1">
      <alignment horizontal="right"/>
    </xf>
    <xf numFmtId="2" fontId="0" fillId="0" borderId="0" xfId="0" applyNumberFormat="1" applyAlignment="1">
      <alignment horizontal="right"/>
    </xf>
    <xf numFmtId="2" fontId="0" fillId="2" borderId="0" xfId="0" applyNumberFormat="1" applyFill="1" applyAlignment="1">
      <alignment horizontal="right"/>
    </xf>
    <xf numFmtId="0" fontId="1" fillId="3" borderId="2" xfId="0" applyFont="1" applyFill="1" applyBorder="1"/>
    <xf numFmtId="4" fontId="1" fillId="3" borderId="0" xfId="0" applyNumberFormat="1" applyFont="1" applyFill="1"/>
    <xf numFmtId="2" fontId="1" fillId="3" borderId="0" xfId="0" applyNumberFormat="1" applyFont="1" applyFill="1"/>
    <xf numFmtId="2" fontId="1" fillId="3" borderId="11" xfId="0" applyNumberFormat="1" applyFont="1" applyFill="1" applyBorder="1"/>
    <xf numFmtId="10" fontId="1" fillId="3" borderId="10" xfId="0" applyNumberFormat="1" applyFont="1" applyFill="1" applyBorder="1"/>
    <xf numFmtId="0" fontId="0" fillId="0" borderId="8" xfId="0" applyBorder="1"/>
    <xf numFmtId="0" fontId="0" fillId="0" borderId="1" xfId="0" applyBorder="1"/>
    <xf numFmtId="0" fontId="1" fillId="0" borderId="3" xfId="0" applyFont="1" applyBorder="1" applyAlignment="1">
      <alignment horizontal="right"/>
    </xf>
    <xf numFmtId="0" fontId="1" fillId="0" borderId="12" xfId="0" applyFont="1" applyBorder="1"/>
    <xf numFmtId="4" fontId="1" fillId="0" borderId="0" xfId="0" applyNumberFormat="1" applyFont="1"/>
    <xf numFmtId="4" fontId="1" fillId="0" borderId="3" xfId="0" applyNumberFormat="1" applyFont="1" applyBorder="1"/>
    <xf numFmtId="4" fontId="1" fillId="0" borderId="9" xfId="0" applyNumberFormat="1" applyFont="1" applyBorder="1"/>
    <xf numFmtId="2" fontId="4" fillId="0" borderId="0" xfId="1" applyNumberFormat="1" applyFill="1" applyBorder="1"/>
    <xf numFmtId="0" fontId="4" fillId="0" borderId="4" xfId="1" applyFill="1" applyBorder="1"/>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0" fontId="5" fillId="0" borderId="2" xfId="1" applyFont="1" applyBorder="1"/>
    <xf numFmtId="0" fontId="5" fillId="0" borderId="4" xfId="1" applyFont="1" applyBorder="1"/>
    <xf numFmtId="4" fontId="1" fillId="0" borderId="3" xfId="0" applyNumberFormat="1" applyFont="1" applyBorder="1" applyAlignment="1">
      <alignment horizontal="right"/>
    </xf>
    <xf numFmtId="10" fontId="0" fillId="0" borderId="10" xfId="0" applyNumberFormat="1" applyBorder="1" applyAlignment="1">
      <alignment horizontal="right"/>
    </xf>
    <xf numFmtId="10" fontId="4" fillId="0" borderId="10" xfId="1" applyNumberFormat="1" applyBorder="1"/>
    <xf numFmtId="10" fontId="0" fillId="0" borderId="4" xfId="0" applyNumberFormat="1" applyBorder="1"/>
    <xf numFmtId="10" fontId="1" fillId="0" borderId="0" xfId="0" applyNumberFormat="1" applyFont="1"/>
    <xf numFmtId="10" fontId="0" fillId="0" borderId="0" xfId="0" applyNumberFormat="1"/>
    <xf numFmtId="0" fontId="4" fillId="0" borderId="0" xfId="1" applyBorder="1"/>
    <xf numFmtId="10" fontId="1" fillId="0" borderId="10" xfId="0" applyNumberFormat="1" applyFont="1" applyBorder="1" applyAlignment="1">
      <alignment horizontal="right"/>
    </xf>
    <xf numFmtId="3" fontId="0" fillId="0" borderId="4" xfId="0" applyNumberFormat="1" applyBorder="1"/>
    <xf numFmtId="3" fontId="1" fillId="0" borderId="4" xfId="0" applyNumberFormat="1" applyFont="1" applyBorder="1"/>
    <xf numFmtId="3" fontId="1" fillId="0" borderId="2" xfId="0" applyNumberFormat="1" applyFont="1" applyBorder="1"/>
    <xf numFmtId="10" fontId="1" fillId="0" borderId="11" xfId="0" applyNumberFormat="1" applyFont="1" applyBorder="1" applyAlignment="1">
      <alignment horizontal="right"/>
    </xf>
    <xf numFmtId="0" fontId="1" fillId="0" borderId="12" xfId="0" applyFont="1" applyBorder="1" applyAlignment="1">
      <alignment horizontal="right"/>
    </xf>
    <xf numFmtId="0" fontId="1" fillId="0" borderId="14" xfId="0" applyFont="1" applyBorder="1"/>
    <xf numFmtId="3" fontId="0" fillId="0" borderId="14" xfId="0" applyNumberFormat="1" applyBorder="1"/>
    <xf numFmtId="0" fontId="1" fillId="0" borderId="13" xfId="0" applyFont="1" applyBorder="1"/>
    <xf numFmtId="2" fontId="1" fillId="0" borderId="6" xfId="0" applyNumberFormat="1" applyFont="1" applyBorder="1" applyAlignment="1">
      <alignment horizontal="right"/>
    </xf>
    <xf numFmtId="0" fontId="0" fillId="0" borderId="6" xfId="0" applyBorder="1" applyAlignment="1">
      <alignment horizontal="right"/>
    </xf>
    <xf numFmtId="0" fontId="1" fillId="0" borderId="6" xfId="0" applyFont="1" applyBorder="1" applyAlignment="1">
      <alignment horizontal="right"/>
    </xf>
    <xf numFmtId="3" fontId="0" fillId="0" borderId="12" xfId="0" applyNumberFormat="1" applyBorder="1"/>
    <xf numFmtId="0" fontId="4" fillId="0" borderId="12" xfId="1" applyBorder="1"/>
    <xf numFmtId="0" fontId="0" fillId="0" borderId="13" xfId="0" applyBorder="1"/>
    <xf numFmtId="2" fontId="1" fillId="0" borderId="9" xfId="0" applyNumberFormat="1" applyFont="1" applyBorder="1" applyAlignment="1">
      <alignment horizontal="right"/>
    </xf>
    <xf numFmtId="10" fontId="1" fillId="0" borderId="9" xfId="0" applyNumberFormat="1" applyFont="1" applyBorder="1" applyAlignment="1">
      <alignment horizontal="right"/>
    </xf>
    <xf numFmtId="10" fontId="1" fillId="0" borderId="2" xfId="0" applyNumberFormat="1" applyFont="1" applyBorder="1"/>
    <xf numFmtId="10" fontId="1" fillId="0" borderId="3" xfId="0" applyNumberFormat="1" applyFont="1" applyBorder="1"/>
    <xf numFmtId="4"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4" fillId="0" borderId="3" xfId="1" applyFill="1" applyBorder="1"/>
    <xf numFmtId="10" fontId="0" fillId="0" borderId="9" xfId="0" applyNumberFormat="1" applyBorder="1"/>
    <xf numFmtId="4" fontId="4" fillId="0" borderId="0" xfId="1" applyNumberFormat="1" applyBorder="1"/>
    <xf numFmtId="0" fontId="0" fillId="0" borderId="14" xfId="0" applyBorder="1"/>
    <xf numFmtId="10" fontId="0" fillId="0" borderId="2" xfId="0" applyNumberFormat="1" applyBorder="1" applyAlignment="1">
      <alignment horizontal="right"/>
    </xf>
    <xf numFmtId="10" fontId="0" fillId="0" borderId="3" xfId="0" applyNumberFormat="1" applyBorder="1" applyAlignment="1">
      <alignment horizontal="right"/>
    </xf>
    <xf numFmtId="10" fontId="0" fillId="0" borderId="0" xfId="0" applyNumberFormat="1" applyAlignment="1">
      <alignment horizontal="right"/>
    </xf>
    <xf numFmtId="10" fontId="1" fillId="0" borderId="4" xfId="0" applyNumberFormat="1" applyFont="1" applyBorder="1" applyAlignment="1">
      <alignment horizontal="right"/>
    </xf>
    <xf numFmtId="10" fontId="1" fillId="0" borderId="0" xfId="0" applyNumberFormat="1" applyFont="1" applyAlignment="1">
      <alignment horizontal="right"/>
    </xf>
    <xf numFmtId="3" fontId="0" fillId="0" borderId="5" xfId="0" applyNumberFormat="1" applyBorder="1"/>
    <xf numFmtId="10" fontId="0" fillId="0" borderId="5" xfId="0" applyNumberFormat="1" applyBorder="1"/>
    <xf numFmtId="10" fontId="0" fillId="0" borderId="6" xfId="0" applyNumberFormat="1" applyBorder="1"/>
    <xf numFmtId="10" fontId="0" fillId="0" borderId="11" xfId="0" applyNumberFormat="1" applyBorder="1"/>
    <xf numFmtId="3" fontId="1" fillId="0" borderId="0" xfId="0" applyNumberFormat="1" applyFont="1"/>
    <xf numFmtId="0" fontId="1" fillId="0" borderId="2" xfId="0" applyFont="1" applyBorder="1" applyAlignment="1">
      <alignment horizontal="right"/>
    </xf>
    <xf numFmtId="10" fontId="0" fillId="0" borderId="11" xfId="0" applyNumberFormat="1" applyBorder="1" applyAlignment="1">
      <alignment horizontal="right"/>
    </xf>
    <xf numFmtId="3" fontId="4" fillId="0" borderId="5" xfId="1" applyNumberFormat="1" applyBorder="1"/>
    <xf numFmtId="0" fontId="0" fillId="0" borderId="12" xfId="0" applyBorder="1"/>
    <xf numFmtId="0" fontId="1" fillId="3" borderId="14" xfId="0" applyFont="1" applyFill="1" applyBorder="1"/>
    <xf numFmtId="0" fontId="1" fillId="3" borderId="12" xfId="0" applyFont="1" applyFill="1" applyBorder="1"/>
    <xf numFmtId="0" fontId="1" fillId="0" borderId="10" xfId="0" applyFont="1" applyBorder="1"/>
    <xf numFmtId="0" fontId="1" fillId="0" borderId="14" xfId="0" applyFont="1" applyBorder="1" applyAlignment="1">
      <alignment horizontal="right"/>
    </xf>
    <xf numFmtId="2" fontId="0" fillId="0" borderId="10" xfId="0" applyNumberFormat="1" applyBorder="1"/>
    <xf numFmtId="4" fontId="0" fillId="0" borderId="10" xfId="0" applyNumberFormat="1" applyBorder="1"/>
    <xf numFmtId="4" fontId="1" fillId="0" borderId="10" xfId="0" applyNumberFormat="1" applyFont="1" applyBorder="1"/>
    <xf numFmtId="0" fontId="1" fillId="0" borderId="9" xfId="0" applyFont="1" applyBorder="1" applyAlignment="1">
      <alignment horizontal="right"/>
    </xf>
    <xf numFmtId="0" fontId="1" fillId="0" borderId="10" xfId="0" applyFon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4" xfId="1" applyBorder="1"/>
    <xf numFmtId="4" fontId="0" fillId="0" borderId="4" xfId="0" applyNumberFormat="1" applyBorder="1" applyAlignment="1">
      <alignment horizontal="right"/>
    </xf>
    <xf numFmtId="4" fontId="1" fillId="0" borderId="2" xfId="0" applyNumberFormat="1" applyFont="1" applyBorder="1" applyAlignment="1">
      <alignment horizontal="right"/>
    </xf>
    <xf numFmtId="4" fontId="1" fillId="0" borderId="4" xfId="0" applyNumberFormat="1" applyFont="1" applyBorder="1" applyAlignment="1">
      <alignment horizontal="right"/>
    </xf>
    <xf numFmtId="4" fontId="0" fillId="0" borderId="5" xfId="0" applyNumberFormat="1" applyBorder="1" applyAlignment="1">
      <alignment horizontal="right"/>
    </xf>
    <xf numFmtId="2" fontId="0" fillId="0" borderId="2" xfId="0" applyNumberFormat="1" applyBorder="1" applyAlignment="1">
      <alignment horizontal="right"/>
    </xf>
    <xf numFmtId="2" fontId="0" fillId="0" borderId="4" xfId="0" applyNumberFormat="1" applyBorder="1" applyAlignment="1">
      <alignment horizontal="right"/>
    </xf>
    <xf numFmtId="2" fontId="0" fillId="0" borderId="5" xfId="0" applyNumberFormat="1" applyBorder="1" applyAlignment="1">
      <alignment horizontal="right"/>
    </xf>
    <xf numFmtId="4" fontId="1" fillId="0" borderId="5" xfId="0" applyNumberFormat="1" applyFont="1" applyBorder="1" applyAlignment="1">
      <alignment horizontal="right"/>
    </xf>
    <xf numFmtId="2" fontId="1" fillId="0" borderId="5" xfId="0" applyNumberFormat="1" applyFont="1" applyBorder="1" applyAlignment="1">
      <alignment horizontal="right"/>
    </xf>
    <xf numFmtId="3" fontId="0" fillId="0" borderId="0" xfId="0" applyNumberFormat="1"/>
    <xf numFmtId="3" fontId="0" fillId="0" borderId="6" xfId="0" applyNumberFormat="1" applyBorder="1"/>
    <xf numFmtId="0" fontId="4" fillId="0" borderId="3" xfId="1" applyBorder="1"/>
    <xf numFmtId="3" fontId="4" fillId="0" borderId="6" xfId="1" applyNumberFormat="1" applyBorder="1"/>
    <xf numFmtId="0" fontId="1" fillId="0" borderId="12" xfId="0" applyFont="1" applyBorder="1" applyAlignment="1">
      <alignment horizontal="left"/>
    </xf>
    <xf numFmtId="10" fontId="0" fillId="0" borderId="9" xfId="0" applyNumberFormat="1" applyBorder="1" applyAlignment="1">
      <alignment horizontal="right"/>
    </xf>
    <xf numFmtId="0" fontId="1" fillId="0" borderId="14" xfId="0" applyFont="1" applyBorder="1" applyAlignment="1">
      <alignment horizontal="left"/>
    </xf>
    <xf numFmtId="3" fontId="0" fillId="0" borderId="10" xfId="0" applyNumberFormat="1" applyBorder="1" applyAlignment="1">
      <alignment horizontal="right"/>
    </xf>
    <xf numFmtId="3" fontId="0" fillId="0" borderId="10" xfId="0" applyNumberFormat="1" applyBorder="1"/>
    <xf numFmtId="3" fontId="1" fillId="0" borderId="10" xfId="0" applyNumberFormat="1" applyFont="1" applyBorder="1"/>
    <xf numFmtId="3" fontId="0" fillId="0" borderId="11" xfId="0" applyNumberFormat="1" applyBorder="1"/>
    <xf numFmtId="3" fontId="0" fillId="0" borderId="2" xfId="0" applyNumberFormat="1" applyBorder="1" applyAlignment="1">
      <alignment horizontal="right"/>
    </xf>
    <xf numFmtId="1" fontId="0" fillId="0" borderId="10" xfId="0" applyNumberFormat="1" applyBorder="1"/>
    <xf numFmtId="1" fontId="0" fillId="0" borderId="6" xfId="0" applyNumberFormat="1" applyBorder="1"/>
    <xf numFmtId="1" fontId="0" fillId="0" borderId="11" xfId="0" applyNumberFormat="1" applyBorder="1"/>
    <xf numFmtId="3" fontId="0" fillId="0" borderId="0" xfId="0" applyNumberFormat="1" applyAlignment="1">
      <alignment horizontal="right"/>
    </xf>
    <xf numFmtId="164" fontId="0" fillId="0" borderId="0" xfId="0" applyNumberFormat="1"/>
    <xf numFmtId="164" fontId="0" fillId="0" borderId="0" xfId="0" applyNumberFormat="1" applyAlignment="1">
      <alignment horizontal="right"/>
    </xf>
    <xf numFmtId="0" fontId="0" fillId="0" borderId="14" xfId="0" applyBorder="1" applyAlignment="1">
      <alignment horizontal="right"/>
    </xf>
    <xf numFmtId="1" fontId="0" fillId="0" borderId="10" xfId="0" applyNumberFormat="1" applyBorder="1" applyAlignment="1">
      <alignment horizontal="right"/>
    </xf>
    <xf numFmtId="3" fontId="7" fillId="0" borderId="0" xfId="0" applyNumberFormat="1" applyFont="1"/>
    <xf numFmtId="165" fontId="0" fillId="0" borderId="14" xfId="0" applyNumberFormat="1" applyBorder="1" applyAlignment="1">
      <alignment horizontal="right"/>
    </xf>
    <xf numFmtId="49" fontId="0" fillId="0" borderId="14" xfId="0" applyNumberFormat="1" applyBorder="1" applyAlignment="1">
      <alignment horizontal="right"/>
    </xf>
    <xf numFmtId="0" fontId="5" fillId="0" borderId="0" xfId="1" applyFont="1"/>
    <xf numFmtId="0" fontId="1" fillId="4" borderId="4" xfId="0" applyFont="1" applyFill="1" applyBorder="1"/>
    <xf numFmtId="3" fontId="0" fillId="4" borderId="0" xfId="0" applyNumberFormat="1" applyFill="1" applyAlignment="1">
      <alignment horizontal="right"/>
    </xf>
    <xf numFmtId="3" fontId="0" fillId="4" borderId="0" xfId="0" applyNumberFormat="1" applyFill="1"/>
    <xf numFmtId="1" fontId="0" fillId="4" borderId="10" xfId="0" applyNumberFormat="1" applyFill="1" applyBorder="1"/>
    <xf numFmtId="0" fontId="0" fillId="4" borderId="14" xfId="0" applyFill="1" applyBorder="1"/>
    <xf numFmtId="3" fontId="0" fillId="4" borderId="4" xfId="0" applyNumberFormat="1" applyFill="1" applyBorder="1"/>
    <xf numFmtId="164" fontId="0" fillId="4" borderId="0" xfId="0" applyNumberFormat="1" applyFill="1"/>
    <xf numFmtId="4" fontId="0" fillId="4" borderId="0" xfId="0" applyNumberFormat="1" applyFill="1"/>
    <xf numFmtId="0" fontId="1" fillId="4" borderId="14" xfId="0" applyFont="1" applyFill="1" applyBorder="1"/>
    <xf numFmtId="49" fontId="0" fillId="4" borderId="14" xfId="0" applyNumberFormat="1" applyFill="1" applyBorder="1" applyAlignment="1">
      <alignment horizontal="right"/>
    </xf>
    <xf numFmtId="2" fontId="0" fillId="4" borderId="0" xfId="0" applyNumberFormat="1" applyFill="1" applyAlignment="1">
      <alignment horizontal="right"/>
    </xf>
    <xf numFmtId="0" fontId="0" fillId="4" borderId="0" xfId="0" applyFill="1"/>
    <xf numFmtId="4" fontId="0" fillId="4" borderId="0" xfId="0" applyNumberFormat="1" applyFill="1" applyAlignment="1">
      <alignment horizontal="right"/>
    </xf>
    <xf numFmtId="10" fontId="0" fillId="0" borderId="4" xfId="0" applyNumberFormat="1" applyBorder="1" applyAlignment="1">
      <alignment horizontal="right"/>
    </xf>
    <xf numFmtId="2" fontId="1" fillId="0" borderId="4" xfId="0" applyNumberFormat="1" applyFont="1" applyBorder="1" applyAlignment="1">
      <alignment horizontal="right"/>
    </xf>
    <xf numFmtId="10" fontId="1" fillId="0" borderId="4" xfId="0" applyNumberFormat="1" applyFont="1" applyBorder="1"/>
    <xf numFmtId="0" fontId="1" fillId="3" borderId="15" xfId="0" applyFont="1" applyFill="1" applyBorder="1"/>
    <xf numFmtId="4" fontId="0" fillId="0" borderId="15" xfId="0" applyNumberFormat="1" applyBorder="1"/>
    <xf numFmtId="4" fontId="0" fillId="0" borderId="16" xfId="0" applyNumberFormat="1" applyBorder="1"/>
    <xf numFmtId="4" fontId="1" fillId="0" borderId="15" xfId="0" applyNumberFormat="1" applyFont="1" applyBorder="1"/>
    <xf numFmtId="4" fontId="1" fillId="0" borderId="17" xfId="0" applyNumberFormat="1" applyFont="1" applyBorder="1"/>
    <xf numFmtId="3" fontId="1" fillId="0" borderId="16" xfId="0" applyNumberFormat="1" applyFont="1" applyBorder="1"/>
    <xf numFmtId="10" fontId="1" fillId="3" borderId="17" xfId="0" applyNumberFormat="1" applyFont="1" applyFill="1" applyBorder="1"/>
    <xf numFmtId="10" fontId="1" fillId="0" borderId="15" xfId="0" applyNumberFormat="1" applyFont="1" applyBorder="1" applyAlignment="1">
      <alignment horizontal="right"/>
    </xf>
    <xf numFmtId="10" fontId="1" fillId="0" borderId="16" xfId="0" applyNumberFormat="1" applyFont="1" applyBorder="1" applyAlignment="1">
      <alignment horizontal="right"/>
    </xf>
    <xf numFmtId="10" fontId="1" fillId="0" borderId="17" xfId="0" applyNumberFormat="1" applyFont="1" applyBorder="1" applyAlignment="1">
      <alignment horizontal="right"/>
    </xf>
    <xf numFmtId="3" fontId="1" fillId="0" borderId="15" xfId="0" applyNumberFormat="1" applyFont="1" applyBorder="1"/>
    <xf numFmtId="3" fontId="1" fillId="0" borderId="17" xfId="0" applyNumberFormat="1" applyFont="1" applyBorder="1"/>
    <xf numFmtId="4" fontId="4" fillId="0" borderId="6" xfId="1" applyNumberFormat="1" applyBorder="1"/>
    <xf numFmtId="0" fontId="4" fillId="0" borderId="6" xfId="1" applyBorder="1"/>
    <xf numFmtId="10" fontId="4" fillId="0" borderId="11" xfId="1" applyNumberFormat="1" applyBorder="1"/>
    <xf numFmtId="2" fontId="1" fillId="0" borderId="14" xfId="0" applyNumberFormat="1" applyFont="1" applyBorder="1" applyAlignment="1">
      <alignment horizontal="right"/>
    </xf>
    <xf numFmtId="2" fontId="1" fillId="0" borderId="13" xfId="0" applyNumberFormat="1" applyFont="1" applyBorder="1" applyAlignment="1">
      <alignment horizontal="right"/>
    </xf>
    <xf numFmtId="10" fontId="4" fillId="0" borderId="0" xfId="1" applyNumberFormat="1" applyBorder="1"/>
    <xf numFmtId="10" fontId="6" fillId="0" borderId="0" xfId="1" applyNumberFormat="1" applyFont="1" applyBorder="1" applyAlignment="1">
      <alignment horizontal="right"/>
    </xf>
    <xf numFmtId="10" fontId="4" fillId="0" borderId="6" xfId="1" applyNumberFormat="1" applyBorder="1"/>
    <xf numFmtId="3" fontId="1" fillId="0" borderId="4" xfId="0" applyNumberFormat="1" applyFont="1" applyBorder="1" applyAlignment="1">
      <alignment horizontal="right"/>
    </xf>
    <xf numFmtId="3" fontId="1" fillId="0" borderId="0" xfId="0" applyNumberFormat="1" applyFont="1" applyAlignment="1">
      <alignment horizontal="right"/>
    </xf>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11" xfId="0" applyNumberFormat="1" applyFont="1" applyBorder="1" applyAlignment="1">
      <alignment horizontal="right"/>
    </xf>
    <xf numFmtId="9" fontId="1" fillId="5" borderId="5" xfId="0" applyNumberFormat="1" applyFont="1" applyFill="1" applyBorder="1"/>
    <xf numFmtId="9" fontId="1" fillId="5" borderId="11" xfId="0" applyNumberFormat="1" applyFont="1" applyFill="1" applyBorder="1"/>
    <xf numFmtId="164" fontId="1" fillId="0" borderId="0" xfId="0" applyNumberFormat="1" applyFont="1"/>
    <xf numFmtId="164" fontId="1" fillId="0" borderId="3" xfId="0" applyNumberFormat="1" applyFont="1" applyBorder="1"/>
    <xf numFmtId="164" fontId="1" fillId="0" borderId="0" xfId="0" applyNumberFormat="1" applyFont="1" applyAlignment="1">
      <alignment horizontal="right"/>
    </xf>
    <xf numFmtId="164" fontId="1" fillId="0" borderId="6" xfId="0" applyNumberFormat="1" applyFont="1" applyBorder="1" applyAlignment="1">
      <alignment horizontal="right"/>
    </xf>
    <xf numFmtId="164" fontId="0" fillId="0" borderId="6" xfId="0" applyNumberFormat="1" applyBorder="1"/>
    <xf numFmtId="10" fontId="0" fillId="0" borderId="15" xfId="0" applyNumberFormat="1" applyBorder="1"/>
    <xf numFmtId="0" fontId="1" fillId="4" borderId="2" xfId="0" applyFont="1" applyFill="1" applyBorder="1"/>
    <xf numFmtId="0" fontId="1" fillId="4" borderId="3" xfId="0" applyFont="1" applyFill="1" applyBorder="1"/>
    <xf numFmtId="0" fontId="1" fillId="4" borderId="12" xfId="0" applyFont="1" applyFill="1" applyBorder="1"/>
    <xf numFmtId="0" fontId="1" fillId="4" borderId="9" xfId="0" applyFont="1" applyFill="1" applyBorder="1"/>
    <xf numFmtId="0" fontId="9" fillId="0" borderId="0" xfId="0" applyFont="1"/>
    <xf numFmtId="0" fontId="0" fillId="7" borderId="2" xfId="0" applyFill="1" applyBorder="1" applyAlignment="1">
      <alignment horizontal="right"/>
    </xf>
    <xf numFmtId="0" fontId="1" fillId="7" borderId="3" xfId="0" applyFont="1" applyFill="1" applyBorder="1"/>
    <xf numFmtId="0" fontId="1" fillId="9" borderId="7" xfId="0" applyFont="1" applyFill="1" applyBorder="1"/>
    <xf numFmtId="0" fontId="0" fillId="9" borderId="7" xfId="0" applyFill="1" applyBorder="1"/>
    <xf numFmtId="0" fontId="1" fillId="10" borderId="1" xfId="0" applyFont="1" applyFill="1" applyBorder="1" applyAlignment="1">
      <alignment horizontal="left"/>
    </xf>
    <xf numFmtId="0" fontId="0" fillId="10" borderId="7" xfId="0" applyFill="1" applyBorder="1"/>
    <xf numFmtId="0" fontId="0" fillId="10" borderId="8" xfId="0" applyFill="1" applyBorder="1"/>
    <xf numFmtId="0" fontId="1" fillId="11" borderId="7" xfId="0" applyFont="1" applyFill="1" applyBorder="1"/>
    <xf numFmtId="0" fontId="0" fillId="11" borderId="7" xfId="0" applyFill="1" applyBorder="1"/>
    <xf numFmtId="0" fontId="0" fillId="11" borderId="8" xfId="0" applyFill="1" applyBorder="1"/>
    <xf numFmtId="0" fontId="1" fillId="8" borderId="2" xfId="0" applyFont="1" applyFill="1" applyBorder="1"/>
    <xf numFmtId="0" fontId="1" fillId="9" borderId="3" xfId="0" applyFont="1" applyFill="1" applyBorder="1"/>
    <xf numFmtId="0" fontId="1" fillId="9" borderId="9" xfId="0" applyFont="1" applyFill="1" applyBorder="1"/>
    <xf numFmtId="0" fontId="1" fillId="10" borderId="2" xfId="0" applyFont="1" applyFill="1" applyBorder="1"/>
    <xf numFmtId="0" fontId="1" fillId="10" borderId="3" xfId="0" applyFont="1" applyFill="1" applyBorder="1"/>
    <xf numFmtId="0" fontId="1" fillId="10" borderId="9" xfId="0" applyFont="1" applyFill="1" applyBorder="1"/>
    <xf numFmtId="0" fontId="1" fillId="11" borderId="2" xfId="0" applyFont="1" applyFill="1" applyBorder="1"/>
    <xf numFmtId="0" fontId="1" fillId="11" borderId="3" xfId="0" applyFont="1" applyFill="1" applyBorder="1"/>
    <xf numFmtId="0" fontId="1" fillId="11" borderId="9" xfId="0" applyFont="1" applyFill="1" applyBorder="1"/>
    <xf numFmtId="0" fontId="0" fillId="7" borderId="4" xfId="0" applyFill="1" applyBorder="1" applyAlignment="1">
      <alignment horizontal="center"/>
    </xf>
    <xf numFmtId="0" fontId="1" fillId="7" borderId="0" xfId="0" applyFont="1" applyFill="1"/>
    <xf numFmtId="0" fontId="1" fillId="8" borderId="4" xfId="0" applyFont="1" applyFill="1" applyBorder="1"/>
    <xf numFmtId="0" fontId="1" fillId="8" borderId="0" xfId="0" applyFont="1" applyFill="1"/>
    <xf numFmtId="0" fontId="1" fillId="8" borderId="10" xfId="0" applyFont="1" applyFill="1" applyBorder="1"/>
    <xf numFmtId="0" fontId="1" fillId="9" borderId="0" xfId="0" applyFont="1" applyFill="1"/>
    <xf numFmtId="0" fontId="1" fillId="9" borderId="10" xfId="0" applyFont="1" applyFill="1" applyBorder="1"/>
    <xf numFmtId="0" fontId="1" fillId="10" borderId="4" xfId="0" applyFont="1" applyFill="1" applyBorder="1"/>
    <xf numFmtId="0" fontId="1" fillId="10" borderId="0" xfId="0" applyFont="1" applyFill="1"/>
    <xf numFmtId="0" fontId="1" fillId="10" borderId="10" xfId="0" applyFont="1" applyFill="1" applyBorder="1"/>
    <xf numFmtId="0" fontId="1" fillId="11" borderId="4" xfId="0" applyFont="1" applyFill="1" applyBorder="1"/>
    <xf numFmtId="0" fontId="1" fillId="11" borderId="0" xfId="0" applyFont="1" applyFill="1"/>
    <xf numFmtId="0" fontId="1" fillId="11" borderId="10" xfId="0" applyFont="1" applyFill="1" applyBorder="1"/>
    <xf numFmtId="0" fontId="0" fillId="7" borderId="5" xfId="0" applyFill="1" applyBorder="1" applyAlignment="1">
      <alignment horizontal="center"/>
    </xf>
    <xf numFmtId="0" fontId="1" fillId="7" borderId="6" xfId="0" applyFont="1" applyFill="1" applyBorder="1"/>
    <xf numFmtId="0" fontId="1" fillId="8" borderId="6" xfId="0" applyFont="1" applyFill="1" applyBorder="1"/>
    <xf numFmtId="0" fontId="1" fillId="9" borderId="6" xfId="0" applyFont="1" applyFill="1" applyBorder="1"/>
    <xf numFmtId="0" fontId="1" fillId="9" borderId="11" xfId="0" applyFont="1" applyFill="1" applyBorder="1"/>
    <xf numFmtId="0" fontId="1" fillId="10" borderId="5" xfId="0" applyFont="1" applyFill="1" applyBorder="1"/>
    <xf numFmtId="0" fontId="1" fillId="10" borderId="6" xfId="0" applyFont="1" applyFill="1" applyBorder="1"/>
    <xf numFmtId="0" fontId="1" fillId="10" borderId="11" xfId="0" applyFont="1" applyFill="1" applyBorder="1"/>
    <xf numFmtId="0" fontId="1" fillId="11" borderId="5" xfId="0" applyFont="1" applyFill="1" applyBorder="1"/>
    <xf numFmtId="0" fontId="1" fillId="11" borderId="6" xfId="0" applyFont="1" applyFill="1" applyBorder="1"/>
    <xf numFmtId="0" fontId="1" fillId="11" borderId="11" xfId="0" applyFont="1" applyFill="1" applyBorder="1"/>
    <xf numFmtId="0" fontId="0" fillId="7" borderId="4" xfId="0" applyFill="1" applyBorder="1"/>
    <xf numFmtId="3" fontId="1" fillId="12" borderId="4" xfId="0" applyNumberFormat="1" applyFont="1" applyFill="1" applyBorder="1"/>
    <xf numFmtId="3" fontId="1" fillId="12" borderId="0" xfId="0" applyNumberFormat="1" applyFont="1" applyFill="1"/>
    <xf numFmtId="165" fontId="1" fillId="12" borderId="10" xfId="0" applyNumberFormat="1" applyFont="1" applyFill="1" applyBorder="1"/>
    <xf numFmtId="0" fontId="0" fillId="7" borderId="0" xfId="0" applyFill="1"/>
    <xf numFmtId="3" fontId="0" fillId="12" borderId="4" xfId="0" applyNumberFormat="1" applyFill="1" applyBorder="1"/>
    <xf numFmtId="3" fontId="0" fillId="12" borderId="0" xfId="0" applyNumberFormat="1" applyFill="1"/>
    <xf numFmtId="165" fontId="0" fillId="12" borderId="10" xfId="0" applyNumberFormat="1" applyFill="1" applyBorder="1"/>
    <xf numFmtId="165" fontId="0" fillId="12" borderId="10" xfId="0" applyNumberFormat="1" applyFill="1" applyBorder="1" applyAlignment="1">
      <alignment horizontal="right"/>
    </xf>
    <xf numFmtId="165" fontId="0" fillId="0" borderId="10" xfId="0" applyNumberFormat="1" applyBorder="1"/>
    <xf numFmtId="165" fontId="0" fillId="0" borderId="10" xfId="0" applyNumberFormat="1" applyBorder="1" applyAlignment="1">
      <alignment horizontal="right"/>
    </xf>
    <xf numFmtId="3" fontId="1" fillId="12" borderId="0" xfId="0" applyNumberFormat="1" applyFont="1" applyFill="1" applyAlignment="1">
      <alignment horizontal="right"/>
    </xf>
    <xf numFmtId="165" fontId="1" fillId="12" borderId="10" xfId="0" applyNumberFormat="1" applyFont="1" applyFill="1" applyBorder="1" applyAlignment="1">
      <alignment horizontal="right"/>
    </xf>
    <xf numFmtId="3" fontId="1" fillId="5" borderId="4" xfId="0" applyNumberFormat="1" applyFont="1" applyFill="1" applyBorder="1"/>
    <xf numFmtId="3" fontId="1" fillId="5" borderId="0" xfId="0" applyNumberFormat="1" applyFont="1" applyFill="1"/>
    <xf numFmtId="165" fontId="1" fillId="13" borderId="10" xfId="0" applyNumberFormat="1" applyFont="1" applyFill="1" applyBorder="1"/>
    <xf numFmtId="0" fontId="0" fillId="13" borderId="4" xfId="0" applyFill="1" applyBorder="1"/>
    <xf numFmtId="0" fontId="0" fillId="13" borderId="0" xfId="0" applyFill="1"/>
    <xf numFmtId="3" fontId="1" fillId="13" borderId="0" xfId="0" applyNumberFormat="1" applyFont="1" applyFill="1"/>
    <xf numFmtId="0" fontId="0" fillId="13" borderId="5" xfId="0" applyFill="1" applyBorder="1"/>
    <xf numFmtId="0" fontId="0" fillId="13" borderId="6" xfId="0" applyFill="1" applyBorder="1"/>
    <xf numFmtId="3" fontId="1" fillId="13" borderId="6" xfId="0" applyNumberFormat="1" applyFont="1" applyFill="1" applyBorder="1"/>
    <xf numFmtId="165" fontId="1" fillId="13" borderId="11" xfId="0" applyNumberFormat="1" applyFont="1" applyFill="1" applyBorder="1"/>
    <xf numFmtId="3" fontId="1" fillId="5" borderId="6" xfId="0" applyNumberFormat="1" applyFont="1" applyFill="1" applyBorder="1"/>
    <xf numFmtId="0" fontId="0" fillId="6" borderId="0" xfId="0" applyFill="1"/>
    <xf numFmtId="165" fontId="0" fillId="0" borderId="0" xfId="0" applyNumberFormat="1"/>
    <xf numFmtId="0" fontId="11" fillId="0" borderId="0" xfId="0" applyFont="1"/>
    <xf numFmtId="15" fontId="1" fillId="9" borderId="3" xfId="0" applyNumberFormat="1" applyFont="1" applyFill="1" applyBorder="1"/>
    <xf numFmtId="0" fontId="0" fillId="9" borderId="2" xfId="0" applyFill="1" applyBorder="1" applyAlignment="1">
      <alignment horizontal="center"/>
    </xf>
    <xf numFmtId="0" fontId="1" fillId="9" borderId="2" xfId="0" applyFont="1" applyFill="1" applyBorder="1"/>
    <xf numFmtId="0" fontId="0" fillId="9" borderId="4" xfId="0" applyFill="1" applyBorder="1" applyAlignment="1">
      <alignment horizontal="center"/>
    </xf>
    <xf numFmtId="0" fontId="1" fillId="9" borderId="4" xfId="0" applyFont="1" applyFill="1" applyBorder="1"/>
    <xf numFmtId="0" fontId="0" fillId="9" borderId="5" xfId="0" applyFill="1" applyBorder="1" applyAlignment="1">
      <alignment horizontal="center"/>
    </xf>
    <xf numFmtId="3" fontId="4" fillId="12" borderId="4" xfId="1" applyNumberFormat="1" applyFill="1" applyBorder="1"/>
    <xf numFmtId="3" fontId="4" fillId="12" borderId="0" xfId="1" applyNumberFormat="1" applyFill="1" applyBorder="1"/>
    <xf numFmtId="3" fontId="0" fillId="12" borderId="10" xfId="0" applyNumberFormat="1" applyFill="1" applyBorder="1"/>
    <xf numFmtId="3" fontId="6" fillId="12" borderId="0" xfId="1" applyNumberFormat="1" applyFont="1" applyFill="1" applyBorder="1"/>
    <xf numFmtId="3" fontId="12" fillId="0" borderId="4" xfId="1" applyNumberFormat="1" applyFont="1" applyFill="1" applyBorder="1"/>
    <xf numFmtId="165" fontId="1" fillId="12" borderId="0" xfId="0" applyNumberFormat="1" applyFont="1" applyFill="1"/>
    <xf numFmtId="3" fontId="0" fillId="12" borderId="6" xfId="0" applyNumberFormat="1" applyFill="1" applyBorder="1"/>
    <xf numFmtId="3" fontId="0" fillId="12" borderId="11" xfId="0" applyNumberFormat="1" applyFill="1" applyBorder="1"/>
    <xf numFmtId="0" fontId="1" fillId="6" borderId="3" xfId="0" applyFont="1" applyFill="1" applyBorder="1"/>
    <xf numFmtId="4" fontId="0" fillId="12" borderId="0" xfId="0" applyNumberFormat="1" applyFill="1"/>
    <xf numFmtId="0" fontId="0" fillId="0" borderId="0" xfId="0" applyAlignment="1">
      <alignment horizontal="center"/>
    </xf>
    <xf numFmtId="0" fontId="1" fillId="8" borderId="12" xfId="0" applyFont="1" applyFill="1" applyBorder="1"/>
    <xf numFmtId="0" fontId="1" fillId="8" borderId="14" xfId="0" applyFont="1" applyFill="1" applyBorder="1"/>
    <xf numFmtId="3" fontId="0" fillId="12" borderId="14" xfId="0" applyNumberFormat="1" applyFill="1" applyBorder="1"/>
    <xf numFmtId="3" fontId="1" fillId="12" borderId="14" xfId="0" applyNumberFormat="1" applyFont="1" applyFill="1" applyBorder="1"/>
    <xf numFmtId="3" fontId="1" fillId="12" borderId="14" xfId="0" applyNumberFormat="1" applyFont="1" applyFill="1" applyBorder="1" applyAlignment="1">
      <alignment horizontal="right"/>
    </xf>
    <xf numFmtId="3" fontId="1" fillId="5" borderId="14" xfId="0" applyNumberFormat="1" applyFont="1" applyFill="1" applyBorder="1"/>
    <xf numFmtId="0" fontId="0" fillId="13" borderId="13" xfId="0" applyFill="1" applyBorder="1"/>
    <xf numFmtId="164" fontId="1" fillId="12" borderId="0" xfId="0" applyNumberFormat="1" applyFont="1" applyFill="1"/>
    <xf numFmtId="3" fontId="1" fillId="12" borderId="3" xfId="0" applyNumberFormat="1" applyFont="1" applyFill="1" applyBorder="1"/>
    <xf numFmtId="164" fontId="1" fillId="12" borderId="9" xfId="0" applyNumberFormat="1" applyFont="1" applyFill="1" applyBorder="1"/>
    <xf numFmtId="164" fontId="1" fillId="12" borderId="10" xfId="0" applyNumberFormat="1" applyFont="1" applyFill="1" applyBorder="1"/>
    <xf numFmtId="164" fontId="1" fillId="12" borderId="10" xfId="0" applyNumberFormat="1" applyFont="1" applyFill="1" applyBorder="1" applyAlignment="1">
      <alignment horizontal="right"/>
    </xf>
    <xf numFmtId="164" fontId="1" fillId="5" borderId="10" xfId="0" applyNumberFormat="1" applyFont="1" applyFill="1" applyBorder="1"/>
    <xf numFmtId="164" fontId="1" fillId="5" borderId="11" xfId="0" applyNumberFormat="1" applyFont="1" applyFill="1" applyBorder="1"/>
    <xf numFmtId="166" fontId="1" fillId="8" borderId="5" xfId="0" applyNumberFormat="1" applyFont="1" applyFill="1" applyBorder="1"/>
    <xf numFmtId="166" fontId="1" fillId="8" borderId="6" xfId="0" applyNumberFormat="1" applyFont="1" applyFill="1" applyBorder="1"/>
    <xf numFmtId="166" fontId="1" fillId="8" borderId="11" xfId="0" applyNumberFormat="1" applyFont="1" applyFill="1" applyBorder="1"/>
    <xf numFmtId="0" fontId="5" fillId="0" borderId="0" xfId="1" applyFont="1" applyBorder="1"/>
    <xf numFmtId="166" fontId="1" fillId="8" borderId="13" xfId="0" applyNumberFormat="1" applyFont="1" applyFill="1" applyBorder="1"/>
    <xf numFmtId="0" fontId="1" fillId="7" borderId="0" xfId="0" applyFont="1" applyFill="1" applyAlignment="1">
      <alignment horizontal="left"/>
    </xf>
    <xf numFmtId="2" fontId="1" fillId="12" borderId="0" xfId="0" applyNumberFormat="1" applyFont="1" applyFill="1"/>
    <xf numFmtId="4" fontId="1" fillId="12" borderId="0" xfId="0" applyNumberFormat="1" applyFont="1" applyFill="1"/>
    <xf numFmtId="164" fontId="1" fillId="5" borderId="0" xfId="0" applyNumberFormat="1" applyFont="1" applyFill="1"/>
    <xf numFmtId="164" fontId="1" fillId="5" borderId="6" xfId="0" applyNumberFormat="1" applyFont="1" applyFill="1" applyBorder="1"/>
    <xf numFmtId="165" fontId="0" fillId="12" borderId="0" xfId="0" applyNumberFormat="1" applyFill="1"/>
    <xf numFmtId="165" fontId="1" fillId="5" borderId="0" xfId="0" applyNumberFormat="1" applyFont="1" applyFill="1"/>
    <xf numFmtId="165" fontId="1" fillId="5" borderId="6" xfId="0" applyNumberFormat="1" applyFont="1" applyFill="1" applyBorder="1"/>
    <xf numFmtId="164" fontId="1" fillId="12" borderId="3" xfId="0" applyNumberFormat="1" applyFont="1" applyFill="1" applyBorder="1"/>
    <xf numFmtId="0" fontId="0" fillId="7" borderId="4" xfId="0" applyFill="1" applyBorder="1" applyAlignment="1">
      <alignment horizontal="right"/>
    </xf>
    <xf numFmtId="0" fontId="1" fillId="7" borderId="9" xfId="0" applyFont="1" applyFill="1" applyBorder="1"/>
    <xf numFmtId="0" fontId="1" fillId="7" borderId="10" xfId="0" applyFont="1" applyFill="1" applyBorder="1"/>
    <xf numFmtId="0" fontId="11" fillId="8" borderId="3" xfId="0" applyFont="1" applyFill="1" applyBorder="1"/>
    <xf numFmtId="0" fontId="0" fillId="8" borderId="9" xfId="0" applyFill="1" applyBorder="1"/>
    <xf numFmtId="0" fontId="0" fillId="7" borderId="5" xfId="0" applyFill="1" applyBorder="1" applyAlignment="1">
      <alignment horizontal="right"/>
    </xf>
    <xf numFmtId="0" fontId="1" fillId="7" borderId="11" xfId="0" applyFont="1" applyFill="1" applyBorder="1"/>
    <xf numFmtId="0" fontId="1" fillId="8" borderId="3" xfId="0" applyFont="1" applyFill="1" applyBorder="1"/>
    <xf numFmtId="0" fontId="1" fillId="8" borderId="9" xfId="0" applyFont="1" applyFill="1" applyBorder="1"/>
    <xf numFmtId="0" fontId="11" fillId="7" borderId="11" xfId="0" applyFont="1" applyFill="1" applyBorder="1"/>
    <xf numFmtId="0" fontId="1" fillId="7" borderId="10" xfId="0" applyFont="1" applyFill="1" applyBorder="1" applyAlignment="1">
      <alignment horizontal="left"/>
    </xf>
    <xf numFmtId="0" fontId="1" fillId="7" borderId="2" xfId="0" applyFont="1" applyFill="1" applyBorder="1" applyAlignment="1">
      <alignment horizontal="left"/>
    </xf>
    <xf numFmtId="0" fontId="1" fillId="7" borderId="4" xfId="0" applyFont="1" applyFill="1" applyBorder="1" applyAlignment="1">
      <alignment horizontal="right"/>
    </xf>
    <xf numFmtId="0" fontId="0" fillId="7" borderId="10" xfId="0" applyFill="1" applyBorder="1" applyAlignment="1">
      <alignment horizontal="left"/>
    </xf>
    <xf numFmtId="0" fontId="0" fillId="7" borderId="9" xfId="0" applyFill="1" applyBorder="1"/>
    <xf numFmtId="0" fontId="13" fillId="6" borderId="3" xfId="0" applyFont="1" applyFill="1" applyBorder="1"/>
    <xf numFmtId="4" fontId="1" fillId="12" borderId="0" xfId="0" applyNumberFormat="1" applyFont="1" applyFill="1" applyAlignment="1">
      <alignment horizontal="right"/>
    </xf>
    <xf numFmtId="0" fontId="1" fillId="8" borderId="13" xfId="0" applyFont="1" applyFill="1" applyBorder="1"/>
    <xf numFmtId="3" fontId="1" fillId="12" borderId="2" xfId="0" applyNumberFormat="1" applyFont="1" applyFill="1" applyBorder="1"/>
    <xf numFmtId="3" fontId="1" fillId="12" borderId="4" xfId="0" applyNumberFormat="1" applyFont="1" applyFill="1" applyBorder="1" applyAlignment="1">
      <alignment horizontal="right"/>
    </xf>
    <xf numFmtId="0" fontId="1" fillId="10" borderId="7" xfId="0" applyFont="1" applyFill="1" applyBorder="1" applyAlignment="1">
      <alignment horizontal="left"/>
    </xf>
    <xf numFmtId="4" fontId="1" fillId="12" borderId="14" xfId="0" applyNumberFormat="1" applyFont="1" applyFill="1" applyBorder="1"/>
    <xf numFmtId="4" fontId="0" fillId="12" borderId="14" xfId="0" applyNumberFormat="1" applyFill="1" applyBorder="1"/>
    <xf numFmtId="4" fontId="0" fillId="0" borderId="14" xfId="0" applyNumberFormat="1" applyBorder="1"/>
    <xf numFmtId="4" fontId="1" fillId="12" borderId="14" xfId="0" applyNumberFormat="1" applyFont="1" applyFill="1" applyBorder="1" applyAlignment="1">
      <alignment horizontal="right"/>
    </xf>
    <xf numFmtId="164" fontId="0" fillId="12" borderId="0" xfId="0" applyNumberFormat="1" applyFill="1"/>
    <xf numFmtId="164" fontId="0" fillId="12" borderId="10" xfId="0" applyNumberFormat="1" applyFill="1" applyBorder="1" applyAlignment="1">
      <alignment horizontal="right"/>
    </xf>
    <xf numFmtId="164" fontId="0" fillId="0" borderId="10" xfId="0" applyNumberFormat="1" applyBorder="1"/>
    <xf numFmtId="164" fontId="0" fillId="0" borderId="10" xfId="0" applyNumberFormat="1" applyBorder="1" applyAlignment="1">
      <alignment horizontal="right"/>
    </xf>
    <xf numFmtId="164" fontId="0" fillId="12" borderId="10" xfId="0" applyNumberFormat="1" applyFill="1" applyBorder="1"/>
    <xf numFmtId="2" fontId="0" fillId="0" borderId="14" xfId="0" applyNumberFormat="1" applyBorder="1" applyAlignment="1">
      <alignment horizontal="right"/>
    </xf>
    <xf numFmtId="165" fontId="0" fillId="0" borderId="13" xfId="0" applyNumberFormat="1" applyBorder="1" applyAlignment="1">
      <alignment horizontal="right"/>
    </xf>
    <xf numFmtId="165" fontId="0" fillId="4" borderId="14" xfId="0" applyNumberFormat="1" applyFill="1" applyBorder="1"/>
    <xf numFmtId="165" fontId="0" fillId="4" borderId="14" xfId="0" applyNumberFormat="1" applyFill="1" applyBorder="1" applyAlignment="1">
      <alignment horizontal="right"/>
    </xf>
    <xf numFmtId="0" fontId="0" fillId="4" borderId="4" xfId="0" applyFill="1" applyBorder="1"/>
    <xf numFmtId="165" fontId="0" fillId="4" borderId="4" xfId="0" applyNumberFormat="1" applyFill="1" applyBorder="1" applyAlignment="1">
      <alignment horizontal="right"/>
    </xf>
    <xf numFmtId="0" fontId="0" fillId="4" borderId="14" xfId="0" applyFill="1" applyBorder="1" applyAlignment="1">
      <alignment horizontal="right"/>
    </xf>
    <xf numFmtId="2" fontId="0" fillId="4" borderId="14" xfId="0" applyNumberFormat="1" applyFill="1" applyBorder="1" applyAlignment="1">
      <alignment horizontal="right"/>
    </xf>
    <xf numFmtId="0" fontId="5" fillId="0" borderId="14" xfId="1" applyFont="1" applyBorder="1"/>
    <xf numFmtId="3" fontId="0" fillId="0" borderId="13" xfId="0" applyNumberFormat="1" applyBorder="1"/>
    <xf numFmtId="3" fontId="0" fillId="4" borderId="14" xfId="0" applyNumberFormat="1" applyFill="1" applyBorder="1"/>
    <xf numFmtId="3" fontId="0" fillId="0" borderId="14" xfId="0" applyNumberFormat="1" applyBorder="1" applyAlignment="1">
      <alignment horizontal="right"/>
    </xf>
    <xf numFmtId="3" fontId="0" fillId="4" borderId="14" xfId="0" applyNumberFormat="1" applyFill="1" applyBorder="1" applyAlignment="1">
      <alignment horizontal="right"/>
    </xf>
    <xf numFmtId="3" fontId="0" fillId="0" borderId="13" xfId="0" applyNumberFormat="1" applyBorder="1" applyAlignment="1">
      <alignment horizontal="right"/>
    </xf>
    <xf numFmtId="0" fontId="4" fillId="0" borderId="0" xfId="1" applyFill="1"/>
    <xf numFmtId="0" fontId="1" fillId="13" borderId="13" xfId="0" applyFont="1" applyFill="1" applyBorder="1"/>
    <xf numFmtId="4" fontId="1" fillId="5" borderId="0" xfId="0" applyNumberFormat="1" applyFont="1" applyFill="1"/>
    <xf numFmtId="4" fontId="1" fillId="5" borderId="14" xfId="0" applyNumberFormat="1" applyFont="1" applyFill="1" applyBorder="1"/>
    <xf numFmtId="14" fontId="1" fillId="9" borderId="5" xfId="0" applyNumberFormat="1" applyFont="1" applyFill="1" applyBorder="1"/>
    <xf numFmtId="14" fontId="1" fillId="9" borderId="6" xfId="0" applyNumberFormat="1" applyFont="1" applyFill="1" applyBorder="1"/>
    <xf numFmtId="3" fontId="0" fillId="12" borderId="0" xfId="0" applyNumberFormat="1" applyFill="1" applyAlignment="1">
      <alignment horizontal="right"/>
    </xf>
    <xf numFmtId="165" fontId="1" fillId="5" borderId="10" xfId="0" applyNumberFormat="1" applyFont="1" applyFill="1" applyBorder="1"/>
    <xf numFmtId="0" fontId="4" fillId="13" borderId="0" xfId="1" applyFill="1"/>
    <xf numFmtId="1" fontId="1" fillId="13" borderId="0" xfId="0" applyNumberFormat="1" applyFont="1" applyFill="1"/>
    <xf numFmtId="3" fontId="1" fillId="13" borderId="14" xfId="0" applyNumberFormat="1" applyFont="1" applyFill="1" applyBorder="1"/>
    <xf numFmtId="0" fontId="1" fillId="13" borderId="5" xfId="0" applyFont="1" applyFill="1" applyBorder="1"/>
    <xf numFmtId="3" fontId="1" fillId="13" borderId="4" xfId="0" applyNumberFormat="1" applyFont="1" applyFill="1" applyBorder="1"/>
    <xf numFmtId="1" fontId="1" fillId="13" borderId="14" xfId="0" applyNumberFormat="1" applyFont="1" applyFill="1" applyBorder="1"/>
    <xf numFmtId="164" fontId="0" fillId="12" borderId="6" xfId="0" applyNumberFormat="1" applyFill="1" applyBorder="1"/>
    <xf numFmtId="165" fontId="0" fillId="12" borderId="0" xfId="0" applyNumberFormat="1" applyFill="1" applyAlignment="1">
      <alignment horizontal="right"/>
    </xf>
    <xf numFmtId="165" fontId="1" fillId="12" borderId="0" xfId="0" applyNumberFormat="1" applyFont="1" applyFill="1" applyAlignment="1">
      <alignment horizontal="right"/>
    </xf>
    <xf numFmtId="167" fontId="1" fillId="12" borderId="0" xfId="0" applyNumberFormat="1" applyFont="1" applyFill="1"/>
    <xf numFmtId="168" fontId="1" fillId="12" borderId="0" xfId="0" applyNumberFormat="1" applyFont="1" applyFill="1"/>
    <xf numFmtId="164" fontId="0" fillId="4" borderId="0" xfId="0" applyNumberFormat="1" applyFill="1" applyAlignment="1">
      <alignment horizontal="right"/>
    </xf>
    <xf numFmtId="1" fontId="0" fillId="4" borderId="10" xfId="0" applyNumberFormat="1" applyFill="1" applyBorder="1" applyAlignment="1">
      <alignment horizontal="right"/>
    </xf>
    <xf numFmtId="1" fontId="0" fillId="4" borderId="0" xfId="0" applyNumberFormat="1" applyFill="1" applyAlignment="1">
      <alignment horizontal="right"/>
    </xf>
    <xf numFmtId="0" fontId="0" fillId="0" borderId="14" xfId="0" applyBorder="1" applyAlignment="1">
      <alignment horizontal="left"/>
    </xf>
    <xf numFmtId="0" fontId="0" fillId="0" borderId="4" xfId="0" applyBorder="1" applyAlignment="1">
      <alignment horizontal="right"/>
    </xf>
    <xf numFmtId="0" fontId="5" fillId="0" borderId="14" xfId="1" applyFont="1" applyBorder="1" applyAlignment="1">
      <alignment horizontal="right"/>
    </xf>
    <xf numFmtId="0" fontId="5" fillId="0" borderId="14" xfId="0" applyFont="1" applyBorder="1"/>
    <xf numFmtId="0" fontId="4" fillId="0" borderId="14" xfId="1" applyFill="1" applyBorder="1"/>
    <xf numFmtId="2" fontId="5" fillId="0" borderId="0" xfId="0" applyNumberFormat="1" applyFont="1" applyAlignment="1">
      <alignment horizontal="right"/>
    </xf>
    <xf numFmtId="1" fontId="0" fillId="0" borderId="14" xfId="0" applyNumberFormat="1" applyBorder="1" applyAlignment="1">
      <alignment horizontal="right"/>
    </xf>
    <xf numFmtId="1" fontId="0" fillId="0" borderId="0" xfId="0" applyNumberFormat="1" applyAlignment="1">
      <alignment horizontal="right"/>
    </xf>
    <xf numFmtId="164" fontId="0" fillId="0" borderId="14" xfId="0" applyNumberFormat="1" applyBorder="1"/>
    <xf numFmtId="2" fontId="4" fillId="0" borderId="0" xfId="1" applyNumberFormat="1" applyAlignment="1">
      <alignment horizontal="left"/>
    </xf>
    <xf numFmtId="164" fontId="0" fillId="0" borderId="14" xfId="0" applyNumberFormat="1" applyBorder="1" applyAlignment="1">
      <alignment horizontal="right"/>
    </xf>
    <xf numFmtId="3" fontId="0" fillId="0" borderId="0" xfId="0" applyNumberFormat="1" applyAlignment="1">
      <alignment horizontal="left"/>
    </xf>
    <xf numFmtId="0" fontId="4" fillId="0" borderId="14" xfId="1" applyBorder="1" applyAlignment="1">
      <alignment horizontal="left"/>
    </xf>
    <xf numFmtId="3" fontId="0" fillId="0" borderId="10" xfId="0" applyNumberFormat="1" applyBorder="1" applyAlignment="1">
      <alignment horizontal="left"/>
    </xf>
    <xf numFmtId="0" fontId="5" fillId="0" borderId="4" xfId="0" applyFont="1" applyBorder="1"/>
    <xf numFmtId="49" fontId="0" fillId="4" borderId="4" xfId="0" applyNumberFormat="1" applyFill="1" applyBorder="1" applyAlignment="1">
      <alignment horizontal="right"/>
    </xf>
    <xf numFmtId="0" fontId="0" fillId="0" borderId="4" xfId="0" applyBorder="1" applyAlignment="1">
      <alignment horizontal="left"/>
    </xf>
    <xf numFmtId="0" fontId="0" fillId="4" borderId="2" xfId="0" applyFill="1" applyBorder="1"/>
    <xf numFmtId="0" fontId="7" fillId="0" borderId="0" xfId="0" applyFont="1"/>
    <xf numFmtId="0" fontId="14" fillId="10" borderId="0" xfId="0" applyFont="1" applyFill="1"/>
    <xf numFmtId="0" fontId="0" fillId="5" borderId="2" xfId="0" applyFill="1" applyBorder="1"/>
    <xf numFmtId="0" fontId="1" fillId="5" borderId="2" xfId="0" applyFont="1" applyFill="1" applyBorder="1"/>
    <xf numFmtId="0" fontId="1" fillId="5" borderId="3" xfId="0" applyFont="1" applyFill="1" applyBorder="1"/>
    <xf numFmtId="0" fontId="1" fillId="5" borderId="12" xfId="0" applyFont="1" applyFill="1" applyBorder="1"/>
    <xf numFmtId="0" fontId="0" fillId="5" borderId="4" xfId="0" applyFill="1" applyBorder="1"/>
    <xf numFmtId="0" fontId="1" fillId="5" borderId="0" xfId="0" applyFont="1" applyFill="1"/>
    <xf numFmtId="3" fontId="1" fillId="5" borderId="10" xfId="0" applyNumberFormat="1" applyFont="1" applyFill="1" applyBorder="1"/>
    <xf numFmtId="0" fontId="1" fillId="5" borderId="14" xfId="0" applyFont="1" applyFill="1" applyBorder="1"/>
    <xf numFmtId="0" fontId="0" fillId="5" borderId="5" xfId="0" applyFill="1" applyBorder="1"/>
    <xf numFmtId="0" fontId="1" fillId="5" borderId="6" xfId="0" applyFont="1" applyFill="1" applyBorder="1"/>
    <xf numFmtId="0" fontId="1" fillId="5" borderId="11" xfId="0" applyFont="1" applyFill="1" applyBorder="1"/>
    <xf numFmtId="0" fontId="10" fillId="5" borderId="0" xfId="0" applyFont="1" applyFill="1"/>
    <xf numFmtId="0" fontId="0" fillId="5" borderId="0" xfId="0" applyFill="1"/>
    <xf numFmtId="0" fontId="3" fillId="5" borderId="0" xfId="0" applyFont="1" applyFill="1"/>
    <xf numFmtId="3" fontId="0" fillId="0" borderId="4" xfId="0" applyNumberFormat="1" applyBorder="1" applyAlignment="1">
      <alignment horizontal="right"/>
    </xf>
    <xf numFmtId="0" fontId="5" fillId="0" borderId="0" xfId="1" applyFont="1" applyFill="1" applyBorder="1"/>
    <xf numFmtId="0" fontId="5" fillId="0" borderId="0" xfId="0" applyFont="1"/>
    <xf numFmtId="165" fontId="0" fillId="0" borderId="0" xfId="0" applyNumberFormat="1" applyAlignment="1">
      <alignment horizontal="right"/>
    </xf>
    <xf numFmtId="49" fontId="0" fillId="0" borderId="0" xfId="0" applyNumberFormat="1" applyAlignment="1">
      <alignment horizontal="right"/>
    </xf>
    <xf numFmtId="0" fontId="0" fillId="0" borderId="0" xfId="0" applyAlignment="1">
      <alignment horizontal="left"/>
    </xf>
    <xf numFmtId="0" fontId="13" fillId="14" borderId="0" xfId="0" applyFont="1" applyFill="1"/>
    <xf numFmtId="0" fontId="1" fillId="14" borderId="0" xfId="0" applyFont="1" applyFill="1"/>
    <xf numFmtId="0" fontId="0" fillId="14" borderId="0" xfId="0" applyFill="1"/>
    <xf numFmtId="0" fontId="15" fillId="14" borderId="0" xfId="0" applyFont="1" applyFill="1"/>
    <xf numFmtId="165" fontId="0" fillId="4" borderId="4" xfId="0" applyNumberFormat="1" applyFill="1" applyBorder="1"/>
    <xf numFmtId="0" fontId="4" fillId="0" borderId="4" xfId="1" applyBorder="1" applyAlignment="1">
      <alignment horizontal="left"/>
    </xf>
    <xf numFmtId="0" fontId="5" fillId="0" borderId="4" xfId="1" applyFont="1" applyFill="1" applyBorder="1"/>
    <xf numFmtId="0" fontId="1" fillId="4" borderId="4" xfId="0" applyFont="1" applyFill="1" applyBorder="1" applyAlignment="1">
      <alignment horizontal="right"/>
    </xf>
    <xf numFmtId="0" fontId="1" fillId="4" borderId="0" xfId="0" applyFont="1" applyFill="1" applyAlignment="1">
      <alignment horizontal="right"/>
    </xf>
    <xf numFmtId="4" fontId="0" fillId="0" borderId="0" xfId="0" applyNumberFormat="1" applyAlignment="1">
      <alignment horizontal="left"/>
    </xf>
    <xf numFmtId="3" fontId="0" fillId="5" borderId="14" xfId="0" applyNumberFormat="1" applyFill="1" applyBorder="1" applyAlignment="1">
      <alignment horizontal="right"/>
    </xf>
    <xf numFmtId="0" fontId="5" fillId="0" borderId="0" xfId="1" applyFont="1" applyFill="1"/>
    <xf numFmtId="3" fontId="4" fillId="0" borderId="0" xfId="1" applyNumberFormat="1" applyAlignment="1">
      <alignment horizontal="left"/>
    </xf>
    <xf numFmtId="3" fontId="1" fillId="4" borderId="0" xfId="0" applyNumberFormat="1" applyFont="1" applyFill="1"/>
    <xf numFmtId="3" fontId="1" fillId="4" borderId="0" xfId="0" applyNumberFormat="1" applyFont="1" applyFill="1" applyAlignment="1">
      <alignment horizontal="right"/>
    </xf>
    <xf numFmtId="2" fontId="1" fillId="4" borderId="0" xfId="0" applyNumberFormat="1" applyFont="1" applyFill="1"/>
    <xf numFmtId="2" fontId="1" fillId="4" borderId="10" xfId="0" applyNumberFormat="1" applyFont="1" applyFill="1" applyBorder="1"/>
    <xf numFmtId="3" fontId="1" fillId="4" borderId="14" xfId="0" applyNumberFormat="1" applyFont="1" applyFill="1" applyBorder="1"/>
    <xf numFmtId="3" fontId="1" fillId="4" borderId="14" xfId="0" applyNumberFormat="1" applyFont="1" applyFill="1" applyBorder="1" applyAlignment="1">
      <alignment horizontal="right"/>
    </xf>
    <xf numFmtId="0" fontId="1" fillId="4" borderId="0" xfId="0" applyFont="1" applyFill="1"/>
    <xf numFmtId="0" fontId="12" fillId="4" borderId="0" xfId="1" applyFont="1" applyFill="1"/>
    <xf numFmtId="4" fontId="1" fillId="4" borderId="0" xfId="0" applyNumberFormat="1" applyFont="1" applyFill="1" applyAlignment="1">
      <alignment horizontal="right"/>
    </xf>
    <xf numFmtId="2" fontId="1" fillId="4" borderId="0" xfId="0" applyNumberFormat="1" applyFont="1" applyFill="1" applyAlignment="1">
      <alignment horizontal="right"/>
    </xf>
    <xf numFmtId="0" fontId="0" fillId="8" borderId="4" xfId="0" applyFill="1" applyBorder="1"/>
    <xf numFmtId="0" fontId="0" fillId="8" borderId="4" xfId="0" applyFill="1" applyBorder="1" applyAlignment="1">
      <alignment horizontal="right"/>
    </xf>
    <xf numFmtId="3" fontId="0" fillId="8" borderId="0" xfId="0" applyNumberFormat="1" applyFill="1"/>
    <xf numFmtId="3" fontId="0" fillId="8" borderId="0" xfId="0" applyNumberFormat="1" applyFill="1" applyAlignment="1">
      <alignment horizontal="right"/>
    </xf>
    <xf numFmtId="1" fontId="0" fillId="8" borderId="10" xfId="0" applyNumberFormat="1" applyFill="1" applyBorder="1" applyAlignment="1">
      <alignment horizontal="right"/>
    </xf>
    <xf numFmtId="3" fontId="0" fillId="8" borderId="14" xfId="0" applyNumberFormat="1" applyFill="1" applyBorder="1"/>
    <xf numFmtId="0" fontId="0" fillId="8" borderId="14" xfId="0" applyFill="1" applyBorder="1" applyAlignment="1">
      <alignment horizontal="right"/>
    </xf>
    <xf numFmtId="0" fontId="0" fillId="8" borderId="14" xfId="0" applyFill="1" applyBorder="1"/>
    <xf numFmtId="3" fontId="0" fillId="8" borderId="14" xfId="0" applyNumberFormat="1" applyFill="1" applyBorder="1" applyAlignment="1">
      <alignment horizontal="right"/>
    </xf>
    <xf numFmtId="0" fontId="0" fillId="8" borderId="0" xfId="0" applyFill="1" applyAlignment="1">
      <alignment horizontal="right"/>
    </xf>
    <xf numFmtId="2" fontId="0" fillId="8" borderId="0" xfId="0" applyNumberFormat="1" applyFill="1" applyAlignment="1">
      <alignment horizontal="right"/>
    </xf>
    <xf numFmtId="0" fontId="0" fillId="15" borderId="14" xfId="0" applyFill="1" applyBorder="1"/>
    <xf numFmtId="0" fontId="0" fillId="15" borderId="0" xfId="0" applyFill="1" applyAlignment="1">
      <alignment horizontal="right"/>
    </xf>
    <xf numFmtId="3" fontId="0" fillId="15" borderId="0" xfId="0" applyNumberFormat="1" applyFill="1"/>
    <xf numFmtId="3" fontId="0" fillId="15" borderId="0" xfId="0" applyNumberFormat="1" applyFill="1" applyAlignment="1">
      <alignment horizontal="right"/>
    </xf>
    <xf numFmtId="1" fontId="0" fillId="15" borderId="10" xfId="0" applyNumberFormat="1" applyFill="1" applyBorder="1" applyAlignment="1">
      <alignment horizontal="right"/>
    </xf>
    <xf numFmtId="3" fontId="0" fillId="15" borderId="14" xfId="0" applyNumberFormat="1" applyFill="1" applyBorder="1"/>
    <xf numFmtId="165" fontId="0" fillId="15" borderId="14" xfId="0" applyNumberFormat="1" applyFill="1" applyBorder="1" applyAlignment="1">
      <alignment horizontal="right"/>
    </xf>
    <xf numFmtId="1" fontId="0" fillId="15" borderId="14" xfId="0" applyNumberFormat="1" applyFill="1" applyBorder="1" applyAlignment="1">
      <alignment horizontal="right"/>
    </xf>
    <xf numFmtId="3" fontId="0" fillId="15" borderId="14" xfId="0" applyNumberFormat="1" applyFill="1" applyBorder="1" applyAlignment="1">
      <alignment horizontal="right"/>
    </xf>
    <xf numFmtId="2" fontId="0" fillId="15" borderId="0" xfId="0" applyNumberFormat="1" applyFill="1"/>
    <xf numFmtId="2" fontId="0" fillId="15" borderId="10" xfId="0" applyNumberFormat="1" applyFill="1" applyBorder="1" applyAlignment="1">
      <alignment horizontal="right"/>
    </xf>
    <xf numFmtId="2" fontId="0" fillId="15" borderId="10" xfId="0" applyNumberFormat="1" applyFill="1" applyBorder="1"/>
    <xf numFmtId="4" fontId="0" fillId="15" borderId="14" xfId="0" applyNumberFormat="1" applyFill="1" applyBorder="1" applyAlignment="1">
      <alignment horizontal="right"/>
    </xf>
    <xf numFmtId="0" fontId="0" fillId="15" borderId="14" xfId="0" applyFill="1" applyBorder="1" applyAlignment="1">
      <alignment horizontal="right"/>
    </xf>
    <xf numFmtId="49" fontId="0" fillId="15" borderId="14" xfId="0" applyNumberFormat="1" applyFill="1" applyBorder="1" applyAlignment="1">
      <alignment horizontal="right"/>
    </xf>
    <xf numFmtId="2" fontId="0" fillId="15" borderId="0" xfId="0" applyNumberFormat="1" applyFill="1" applyAlignment="1">
      <alignment horizontal="right"/>
    </xf>
    <xf numFmtId="165" fontId="0" fillId="8" borderId="14" xfId="0" applyNumberFormat="1" applyFill="1" applyBorder="1" applyAlignment="1">
      <alignment horizontal="right"/>
    </xf>
    <xf numFmtId="1" fontId="0" fillId="8" borderId="14" xfId="0" applyNumberFormat="1" applyFill="1" applyBorder="1" applyAlignment="1">
      <alignment horizontal="right"/>
    </xf>
    <xf numFmtId="2" fontId="0" fillId="8" borderId="0" xfId="0" applyNumberFormat="1" applyFill="1"/>
    <xf numFmtId="2" fontId="0" fillId="8" borderId="10" xfId="0" applyNumberFormat="1" applyFill="1" applyBorder="1"/>
    <xf numFmtId="3" fontId="0" fillId="8" borderId="14" xfId="0" applyNumberFormat="1" applyFill="1" applyBorder="1" applyAlignment="1">
      <alignment horizontal="left"/>
    </xf>
    <xf numFmtId="0" fontId="0" fillId="8" borderId="0" xfId="0" applyFill="1"/>
    <xf numFmtId="0" fontId="5" fillId="8" borderId="0" xfId="1" applyFont="1" applyFill="1"/>
    <xf numFmtId="4" fontId="0" fillId="8" borderId="0" xfId="0" applyNumberFormat="1" applyFill="1" applyAlignment="1">
      <alignment horizontal="right"/>
    </xf>
    <xf numFmtId="0" fontId="0" fillId="15" borderId="4" xfId="0" applyFill="1" applyBorder="1"/>
    <xf numFmtId="0" fontId="0" fillId="15" borderId="0" xfId="0" applyFill="1"/>
    <xf numFmtId="0" fontId="4" fillId="15" borderId="4" xfId="1" applyFill="1" applyBorder="1"/>
    <xf numFmtId="4" fontId="0" fillId="15" borderId="0" xfId="0" applyNumberFormat="1" applyFill="1" applyAlignment="1">
      <alignment horizontal="right"/>
    </xf>
    <xf numFmtId="2" fontId="0" fillId="15" borderId="14" xfId="0" applyNumberFormat="1" applyFill="1" applyBorder="1" applyAlignment="1">
      <alignment horizontal="right"/>
    </xf>
    <xf numFmtId="2" fontId="0" fillId="8" borderId="14" xfId="0" applyNumberFormat="1" applyFill="1" applyBorder="1" applyAlignment="1">
      <alignment horizontal="right"/>
    </xf>
    <xf numFmtId="0" fontId="4" fillId="8" borderId="0" xfId="1" applyFill="1"/>
    <xf numFmtId="0" fontId="4" fillId="8" borderId="4" xfId="1" applyFill="1" applyBorder="1"/>
    <xf numFmtId="0" fontId="4" fillId="8" borderId="14" xfId="1" applyFill="1" applyBorder="1"/>
    <xf numFmtId="0" fontId="7" fillId="8" borderId="0" xfId="0" applyFont="1" applyFill="1" applyAlignment="1">
      <alignment horizontal="right"/>
    </xf>
    <xf numFmtId="164" fontId="0" fillId="8" borderId="14" xfId="0" applyNumberFormat="1" applyFill="1" applyBorder="1"/>
    <xf numFmtId="49" fontId="0" fillId="8" borderId="14" xfId="0" applyNumberFormat="1" applyFill="1" applyBorder="1" applyAlignment="1">
      <alignment horizontal="right"/>
    </xf>
    <xf numFmtId="164" fontId="0" fillId="15" borderId="14" xfId="0" applyNumberFormat="1" applyFill="1" applyBorder="1"/>
    <xf numFmtId="1" fontId="0" fillId="15" borderId="10" xfId="0" applyNumberFormat="1" applyFill="1" applyBorder="1"/>
    <xf numFmtId="4" fontId="4" fillId="8" borderId="0" xfId="1" applyNumberFormat="1" applyFill="1" applyBorder="1"/>
    <xf numFmtId="0" fontId="5" fillId="8" borderId="4" xfId="1" applyFont="1" applyFill="1" applyBorder="1"/>
    <xf numFmtId="0" fontId="5" fillId="8" borderId="14" xfId="1" applyFont="1" applyFill="1" applyBorder="1"/>
    <xf numFmtId="0" fontId="4" fillId="15" borderId="14" xfId="1" applyFill="1" applyBorder="1"/>
    <xf numFmtId="3" fontId="0" fillId="15" borderId="4" xfId="0" applyNumberFormat="1" applyFill="1" applyBorder="1" applyAlignment="1">
      <alignment horizontal="right"/>
    </xf>
    <xf numFmtId="0" fontId="4" fillId="15" borderId="0" xfId="1" applyFill="1"/>
    <xf numFmtId="0" fontId="0" fillId="15" borderId="4" xfId="0" applyFill="1" applyBorder="1" applyAlignment="1">
      <alignment horizontal="right"/>
    </xf>
    <xf numFmtId="3" fontId="0" fillId="8" borderId="4" xfId="0" applyNumberFormat="1" applyFill="1" applyBorder="1" applyAlignment="1">
      <alignment horizontal="right"/>
    </xf>
    <xf numFmtId="0" fontId="0" fillId="8" borderId="14" xfId="0" applyFill="1" applyBorder="1" applyAlignment="1">
      <alignment horizontal="left"/>
    </xf>
    <xf numFmtId="1" fontId="0" fillId="8" borderId="0" xfId="0" applyNumberFormat="1" applyFill="1" applyAlignment="1">
      <alignment horizontal="right"/>
    </xf>
    <xf numFmtId="2" fontId="5" fillId="8" borderId="0" xfId="0" applyNumberFormat="1" applyFont="1" applyFill="1" applyAlignment="1">
      <alignment horizontal="right"/>
    </xf>
    <xf numFmtId="2" fontId="5" fillId="15" borderId="0" xfId="0" applyNumberFormat="1" applyFont="1" applyFill="1" applyAlignment="1">
      <alignment horizontal="right"/>
    </xf>
    <xf numFmtId="164" fontId="0" fillId="15" borderId="0" xfId="0" applyNumberFormat="1" applyFill="1" applyAlignment="1">
      <alignment horizontal="right"/>
    </xf>
    <xf numFmtId="4" fontId="4" fillId="15" borderId="0" xfId="1" applyNumberFormat="1" applyFill="1" applyAlignment="1">
      <alignment horizontal="right"/>
    </xf>
    <xf numFmtId="0" fontId="4" fillId="15" borderId="10" xfId="1" applyFill="1" applyBorder="1"/>
    <xf numFmtId="4" fontId="0" fillId="15" borderId="0" xfId="0" applyNumberFormat="1" applyFill="1" applyAlignment="1">
      <alignment horizontal="left"/>
    </xf>
    <xf numFmtId="0" fontId="0" fillId="15" borderId="4" xfId="0" applyFill="1" applyBorder="1" applyAlignment="1">
      <alignment horizontal="left"/>
    </xf>
    <xf numFmtId="0" fontId="0" fillId="15" borderId="14" xfId="0" applyFill="1" applyBorder="1" applyAlignment="1">
      <alignment horizontal="left"/>
    </xf>
    <xf numFmtId="1" fontId="0" fillId="15" borderId="0" xfId="0" applyNumberFormat="1" applyFill="1" applyAlignment="1">
      <alignment horizontal="right"/>
    </xf>
    <xf numFmtId="0" fontId="0" fillId="8" borderId="4" xfId="0" applyFill="1" applyBorder="1" applyAlignment="1">
      <alignment horizontal="left"/>
    </xf>
    <xf numFmtId="164" fontId="0" fillId="8" borderId="0" xfId="0" applyNumberFormat="1" applyFill="1" applyAlignment="1">
      <alignment horizontal="right"/>
    </xf>
    <xf numFmtId="0" fontId="4" fillId="8" borderId="4" xfId="1" applyFill="1" applyBorder="1" applyAlignment="1">
      <alignment horizontal="left"/>
    </xf>
    <xf numFmtId="3" fontId="4" fillId="8" borderId="0" xfId="1" applyNumberFormat="1" applyFill="1" applyBorder="1" applyAlignment="1">
      <alignment horizontal="left"/>
    </xf>
    <xf numFmtId="0" fontId="4" fillId="8" borderId="0" xfId="1" applyFill="1" applyBorder="1"/>
    <xf numFmtId="3" fontId="0" fillId="0" borderId="14" xfId="0" applyNumberFormat="1" applyBorder="1" applyAlignment="1">
      <alignment horizontal="left"/>
    </xf>
    <xf numFmtId="3" fontId="0" fillId="16" borderId="14" xfId="0" applyNumberFormat="1" applyFill="1" applyBorder="1" applyAlignment="1">
      <alignment horizontal="right"/>
    </xf>
    <xf numFmtId="1" fontId="0" fillId="0" borderId="0" xfId="0" applyNumberFormat="1"/>
    <xf numFmtId="0" fontId="1" fillId="5" borderId="13" xfId="0" applyFont="1" applyFill="1" applyBorder="1"/>
    <xf numFmtId="0" fontId="0" fillId="16" borderId="0" xfId="0" applyFill="1"/>
    <xf numFmtId="0" fontId="7" fillId="8" borderId="4" xfId="0" applyFont="1" applyFill="1" applyBorder="1" applyAlignment="1">
      <alignment horizontal="right"/>
    </xf>
    <xf numFmtId="10" fontId="4" fillId="0" borderId="0" xfId="1" applyNumberFormat="1"/>
    <xf numFmtId="10" fontId="4" fillId="0" borderId="4" xfId="1" applyNumberFormat="1" applyBorder="1"/>
    <xf numFmtId="10" fontId="1" fillId="0" borderId="2" xfId="0" applyNumberFormat="1" applyFont="1" applyBorder="1" applyAlignment="1">
      <alignment horizontal="right"/>
    </xf>
    <xf numFmtId="10" fontId="1" fillId="0" borderId="5" xfId="0" applyNumberFormat="1" applyFont="1" applyBorder="1" applyAlignment="1">
      <alignment horizontal="right"/>
    </xf>
    <xf numFmtId="3" fontId="4" fillId="0" borderId="0" xfId="1" applyNumberFormat="1"/>
    <xf numFmtId="3" fontId="4" fillId="0" borderId="4" xfId="1" applyNumberFormat="1" applyBorder="1"/>
    <xf numFmtId="10" fontId="1" fillId="0" borderId="6" xfId="0" applyNumberFormat="1" applyFont="1" applyBorder="1" applyAlignment="1">
      <alignment horizontal="right"/>
    </xf>
    <xf numFmtId="49" fontId="0" fillId="0" borderId="14" xfId="0" applyNumberFormat="1" applyBorder="1" applyAlignment="1">
      <alignment horizontal="left"/>
    </xf>
    <xf numFmtId="3" fontId="0" fillId="5" borderId="14" xfId="0" applyNumberFormat="1" applyFill="1" applyBorder="1" applyAlignment="1">
      <alignment horizontal="left"/>
    </xf>
    <xf numFmtId="0" fontId="4" fillId="0" borderId="0" xfId="1" applyBorder="1" applyAlignment="1">
      <alignment horizontal="left"/>
    </xf>
    <xf numFmtId="0" fontId="4" fillId="0" borderId="0" xfId="1" applyFill="1" applyBorder="1" applyAlignment="1">
      <alignment horizontal="left"/>
    </xf>
    <xf numFmtId="0" fontId="1" fillId="5" borderId="9" xfId="0" applyFont="1" applyFill="1" applyBorder="1"/>
    <xf numFmtId="0" fontId="1" fillId="5" borderId="10" xfId="0" applyFont="1" applyFill="1" applyBorder="1"/>
    <xf numFmtId="0" fontId="0" fillId="4" borderId="10" xfId="0" applyFill="1" applyBorder="1"/>
    <xf numFmtId="49" fontId="0" fillId="0" borderId="0" xfId="0" applyNumberFormat="1" applyAlignment="1">
      <alignment horizontal="left"/>
    </xf>
    <xf numFmtId="0" fontId="0" fillId="4" borderId="0" xfId="0" applyFill="1" applyAlignment="1">
      <alignment horizontal="right"/>
    </xf>
    <xf numFmtId="3" fontId="0" fillId="4" borderId="10" xfId="0" applyNumberFormat="1" applyFill="1" applyBorder="1" applyAlignment="1">
      <alignment horizontal="right"/>
    </xf>
    <xf numFmtId="0" fontId="1" fillId="5" borderId="4" xfId="0" applyFont="1" applyFill="1" applyBorder="1"/>
    <xf numFmtId="0" fontId="0" fillId="5" borderId="6" xfId="0" applyFill="1" applyBorder="1"/>
    <xf numFmtId="0" fontId="5" fillId="15" borderId="4" xfId="1" applyFont="1" applyFill="1" applyBorder="1"/>
    <xf numFmtId="0" fontId="5" fillId="15" borderId="14" xfId="1" applyFont="1" applyFill="1" applyBorder="1"/>
    <xf numFmtId="0" fontId="0" fillId="2" borderId="14" xfId="0" applyFill="1" applyBorder="1"/>
    <xf numFmtId="0" fontId="0" fillId="2" borderId="0" xfId="0" applyFill="1" applyAlignment="1">
      <alignment horizontal="right"/>
    </xf>
    <xf numFmtId="3" fontId="0" fillId="2" borderId="0" xfId="0" applyNumberFormat="1" applyFill="1"/>
    <xf numFmtId="3" fontId="0" fillId="2" borderId="0" xfId="0" applyNumberFormat="1" applyFill="1" applyAlignment="1">
      <alignment horizontal="right"/>
    </xf>
    <xf numFmtId="1" fontId="0" fillId="2" borderId="10" xfId="0" applyNumberFormat="1" applyFill="1" applyBorder="1" applyAlignment="1">
      <alignment horizontal="right"/>
    </xf>
    <xf numFmtId="3" fontId="0" fillId="2" borderId="14" xfId="0" applyNumberFormat="1" applyFill="1" applyBorder="1"/>
    <xf numFmtId="3" fontId="0" fillId="2" borderId="14" xfId="0" applyNumberFormat="1" applyFill="1" applyBorder="1" applyAlignment="1">
      <alignment horizontal="right"/>
    </xf>
    <xf numFmtId="2" fontId="0" fillId="2" borderId="14" xfId="0" applyNumberFormat="1" applyFill="1" applyBorder="1" applyAlignment="1">
      <alignment horizontal="right"/>
    </xf>
    <xf numFmtId="49" fontId="0" fillId="2" borderId="14" xfId="0" applyNumberFormat="1" applyFill="1" applyBorder="1" applyAlignment="1">
      <alignment horizontal="right"/>
    </xf>
    <xf numFmtId="0" fontId="0" fillId="2" borderId="0" xfId="0" applyFill="1" applyAlignment="1">
      <alignment horizontal="left"/>
    </xf>
    <xf numFmtId="4" fontId="0" fillId="2" borderId="0" xfId="0" applyNumberFormat="1" applyFill="1" applyAlignment="1">
      <alignment horizontal="right"/>
    </xf>
    <xf numFmtId="3" fontId="0" fillId="2" borderId="14" xfId="0" applyNumberFormat="1" applyFill="1" applyBorder="1" applyAlignment="1">
      <alignment horizontal="left"/>
    </xf>
    <xf numFmtId="0" fontId="0" fillId="10" borderId="0" xfId="0" applyFill="1"/>
    <xf numFmtId="0" fontId="0" fillId="5" borderId="14" xfId="0" applyFill="1" applyBorder="1"/>
    <xf numFmtId="0" fontId="0" fillId="5" borderId="13" xfId="0" applyFill="1" applyBorder="1"/>
    <xf numFmtId="0" fontId="1" fillId="5" borderId="5" xfId="0" applyFont="1" applyFill="1" applyBorder="1"/>
    <xf numFmtId="0" fontId="3" fillId="10" borderId="0" xfId="0" applyFont="1" applyFill="1"/>
    <xf numFmtId="3" fontId="0" fillId="10" borderId="0" xfId="0" applyNumberFormat="1" applyFill="1"/>
    <xf numFmtId="3" fontId="0" fillId="0" borderId="0" xfId="0" applyNumberFormat="1" applyFill="1"/>
    <xf numFmtId="0" fontId="0" fillId="2"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xe.com/currencyconverter/convert/?Amount=1&amp;From=USD&amp;To=EUR" TargetMode="External"/><Relationship Id="rId13" Type="http://schemas.openxmlformats.org/officeDocument/2006/relationships/hyperlink" Target="https://tradingeconomics.com/japan/gdp" TargetMode="External"/><Relationship Id="rId18" Type="http://schemas.openxmlformats.org/officeDocument/2006/relationships/hyperlink" Target="https://tradingeconomics.com/sweden/gdp" TargetMode="External"/><Relationship Id="rId26" Type="http://schemas.openxmlformats.org/officeDocument/2006/relationships/hyperlink" Target="https://www.ifw-kiel.de/topics/war-against-ukraine/ukraine-support-tracker/" TargetMode="External"/><Relationship Id="rId3" Type="http://schemas.openxmlformats.org/officeDocument/2006/relationships/hyperlink" Target="https://www.ifw-kiel.de/topics/war-against-ukraine/ukraine-support-tracker/" TargetMode="External"/><Relationship Id="rId21" Type="http://schemas.openxmlformats.org/officeDocument/2006/relationships/hyperlink" Target="https://tradingeconomics.com/finland/gdp" TargetMode="External"/><Relationship Id="rId7"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orway/gdp" TargetMode="External"/><Relationship Id="rId17" Type="http://schemas.openxmlformats.org/officeDocument/2006/relationships/hyperlink" Target="https://tradingeconomics.com/denmark/gdp" TargetMode="External"/><Relationship Id="rId25" Type="http://schemas.openxmlformats.org/officeDocument/2006/relationships/hyperlink" Target="https://www.ifw-kiel.de/topics/war-against-ukraine/ukraine-support-tracker/"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netherlands/gdp" TargetMode="External"/><Relationship Id="rId20" Type="http://schemas.openxmlformats.org/officeDocument/2006/relationships/hyperlink" Target="https://tradingeconomics.com/france/gdp" TargetMode="External"/><Relationship Id="rId29" Type="http://schemas.openxmlformats.org/officeDocument/2006/relationships/hyperlink" Target="https://tradingeconomics.com/russia/gdp"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www.ifw-kiel.de/topics/war-against-ukraine/ukraine-support-tracker/" TargetMode="External"/><Relationship Id="rId11" Type="http://schemas.openxmlformats.org/officeDocument/2006/relationships/hyperlink" Target="https://tradingeconomics.com/united-kingdom/gdp" TargetMode="External"/><Relationship Id="rId24" Type="http://schemas.openxmlformats.org/officeDocument/2006/relationships/hyperlink" Target="https://en.wikipedia.org/wiki/Military_budget_of_Russia" TargetMode="External"/><Relationship Id="rId32" Type="http://schemas.openxmlformats.org/officeDocument/2006/relationships/printerSettings" Target="../printerSettings/printerSettings1.bin"/><Relationship Id="rId5" Type="http://schemas.openxmlformats.org/officeDocument/2006/relationships/hyperlink" Target="https://www.ifw-kiel.de/topics/war-against-ukraine/ukraine-support-tracker/" TargetMode="External"/><Relationship Id="rId15" Type="http://schemas.openxmlformats.org/officeDocument/2006/relationships/hyperlink" Target="https://tradingeconomics.com/poland/gdp" TargetMode="External"/><Relationship Id="rId23" Type="http://schemas.openxmlformats.org/officeDocument/2006/relationships/hyperlink" Target="https://tradingeconomics.com/italy/gdp" TargetMode="External"/><Relationship Id="rId28" Type="http://schemas.openxmlformats.org/officeDocument/2006/relationships/hyperlink" Target="https://www.wilsoncenter.org/blog-post/russias-unprecedented-war-budget-explained" TargetMode="External"/><Relationship Id="rId10" Type="http://schemas.openxmlformats.org/officeDocument/2006/relationships/hyperlink" Target="https://tradingeconomics.com/germany/gdp" TargetMode="External"/><Relationship Id="rId19" Type="http://schemas.openxmlformats.org/officeDocument/2006/relationships/hyperlink" Target="https://tradingeconomics.com/switzerland/gdp" TargetMode="External"/><Relationship Id="rId31" Type="http://schemas.openxmlformats.org/officeDocument/2006/relationships/hyperlink" Target="https://en.wikipedia.org/wiki/Economy_of_the_European_Union" TargetMode="External"/><Relationship Id="rId4" Type="http://schemas.openxmlformats.org/officeDocument/2006/relationships/hyperlink" Target="https://www.ifw-kiel.de/topics/war-against-ukraine/ukraine-support-tracker/" TargetMode="External"/><Relationship Id="rId9" Type="http://schemas.openxmlformats.org/officeDocument/2006/relationships/hyperlink" Target="https://tradingeconomics.com/united-states/gdp" TargetMode="External"/><Relationship Id="rId14" Type="http://schemas.openxmlformats.org/officeDocument/2006/relationships/hyperlink" Target="https://tradingeconomics.com/canada/gdp" TargetMode="External"/><Relationship Id="rId22" Type="http://schemas.openxmlformats.org/officeDocument/2006/relationships/hyperlink" Target="https://tradingeconomics.com/czech-republic/gdp" TargetMode="External"/><Relationship Id="rId27" Type="http://schemas.openxmlformats.org/officeDocument/2006/relationships/hyperlink" Target="https://tradingeconomics.com/ukraine/military-expenditure" TargetMode="External"/><Relationship Id="rId30" Type="http://schemas.openxmlformats.org/officeDocument/2006/relationships/hyperlink" Target="https://tradingeconomics.com/ukraine/gd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tatista.com/chart/14636/defense-expenditures-of-nato-countries/" TargetMode="External"/><Relationship Id="rId21" Type="http://schemas.openxmlformats.org/officeDocument/2006/relationships/hyperlink" Target="https://tradingeconomics.com/ukraine/military-expenditure" TargetMode="External"/><Relationship Id="rId34" Type="http://schemas.openxmlformats.org/officeDocument/2006/relationships/hyperlink" Target="https://www.wilsoncenter.org/blog-post/russias-unprecedented-war-budget-explained" TargetMode="External"/><Relationship Id="rId42" Type="http://schemas.openxmlformats.org/officeDocument/2006/relationships/hyperlink" Target="https://tradingeconomics.com/france/population" TargetMode="External"/><Relationship Id="rId47" Type="http://schemas.openxmlformats.org/officeDocument/2006/relationships/hyperlink" Target="https://tradingeconomics.com/india/gdp" TargetMode="External"/><Relationship Id="rId50" Type="http://schemas.openxmlformats.org/officeDocument/2006/relationships/hyperlink" Target="https://tradingeconomics.com/taiwan/population" TargetMode="External"/><Relationship Id="rId55" Type="http://schemas.openxmlformats.org/officeDocument/2006/relationships/hyperlink" Target="https://tradingeconomics.com/israel/population" TargetMode="External"/><Relationship Id="rId63" Type="http://schemas.openxmlformats.org/officeDocument/2006/relationships/hyperlink" Target="https://tradingeconomics.com/china/exports-of-goods-and-services-percent-of-gdp-wb-data.html" TargetMode="External"/><Relationship Id="rId7" Type="http://schemas.openxmlformats.org/officeDocument/2006/relationships/hyperlink" Target="https://tradingeconomics.com/united-kingdom/gdp"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finland/gdp" TargetMode="External"/><Relationship Id="rId29" Type="http://schemas.openxmlformats.org/officeDocument/2006/relationships/hyperlink" Target="https://tradingeconomics.com/ukraine/military-expenditure-percent-of-gdp-wb-data.html" TargetMode="External"/><Relationship Id="rId11" Type="http://schemas.openxmlformats.org/officeDocument/2006/relationships/hyperlink" Target="https://tradingeconomics.com/poland/gdp" TargetMode="External"/><Relationship Id="rId24" Type="http://schemas.openxmlformats.org/officeDocument/2006/relationships/hyperlink" Target="https://en.wikipedia.org/wiki/Economy_of_the_European_Union" TargetMode="External"/><Relationship Id="rId32" Type="http://schemas.openxmlformats.org/officeDocument/2006/relationships/hyperlink" Target="https://tradingeconomics.com/united-kingdom/military-expenditure-percent-of-gdp-wb-data.html" TargetMode="External"/><Relationship Id="rId37" Type="http://schemas.openxmlformats.org/officeDocument/2006/relationships/hyperlink" Target="https://tradingeconomics.com/china/gdp" TargetMode="External"/><Relationship Id="rId40" Type="http://schemas.openxmlformats.org/officeDocument/2006/relationships/hyperlink" Target="https://tradingeconomics.com/denmark/gdp" TargetMode="External"/><Relationship Id="rId45" Type="http://schemas.openxmlformats.org/officeDocument/2006/relationships/hyperlink" Target="https://tradingeconomics.com/united-states/military-expenditure-percent-of-gdp-wb-data.html" TargetMode="External"/><Relationship Id="rId53" Type="http://schemas.openxmlformats.org/officeDocument/2006/relationships/hyperlink" Target="https://tradingeconomics.com/turkey/population" TargetMode="External"/><Relationship Id="rId58" Type="http://schemas.openxmlformats.org/officeDocument/2006/relationships/hyperlink" Target="https://tradingeconomics.com/south-korea/gdp" TargetMode="External"/><Relationship Id="rId5" Type="http://schemas.openxmlformats.org/officeDocument/2006/relationships/hyperlink" Target="https://tradingeconomics.com/united-states/gdp" TargetMode="External"/><Relationship Id="rId61" Type="http://schemas.openxmlformats.org/officeDocument/2006/relationships/hyperlink" Target="https://tradingeconomics.com/united-states/exports-of-goods-and-services-percent-of-gdp-wb-data.html" TargetMode="External"/><Relationship Id="rId19" Type="http://schemas.openxmlformats.org/officeDocument/2006/relationships/hyperlink" Target="https://www.ifw-kiel.de/topics/war-against-ukraine/ukraine-support-tracker/" TargetMode="External"/><Relationship Id="rId14" Type="http://schemas.openxmlformats.org/officeDocument/2006/relationships/hyperlink" Target="https://tradingeconomics.com/switzerland/gdp" TargetMode="External"/><Relationship Id="rId22" Type="http://schemas.openxmlformats.org/officeDocument/2006/relationships/hyperlink" Target="https://tradingeconomics.com/russia/gdp" TargetMode="External"/><Relationship Id="rId27" Type="http://schemas.openxmlformats.org/officeDocument/2006/relationships/hyperlink" Target="https://tradingeconomics.com/sweden/military-expenditure-percent-of-gdp-wb-data.html" TargetMode="External"/><Relationship Id="rId30" Type="http://schemas.openxmlformats.org/officeDocument/2006/relationships/hyperlink" Target="https://tradingeconomics.com/ukraine/military-expenditure-percent-of-gdp-wb-data.html" TargetMode="External"/><Relationship Id="rId35" Type="http://schemas.openxmlformats.org/officeDocument/2006/relationships/hyperlink" Target="https://www.wilsoncenter.org/blog-post/russias-unprecedented-war-budget-explained" TargetMode="External"/><Relationship Id="rId43" Type="http://schemas.openxmlformats.org/officeDocument/2006/relationships/hyperlink" Target="https://en.wikipedia.org/wiki/List_of_countries_with_highest_military_expenditures" TargetMode="External"/><Relationship Id="rId48" Type="http://schemas.openxmlformats.org/officeDocument/2006/relationships/hyperlink" Target="https://tradingeconomics.com/iran/population" TargetMode="External"/><Relationship Id="rId56" Type="http://schemas.openxmlformats.org/officeDocument/2006/relationships/hyperlink" Target="https://tradingeconomics.com/pakistan/population" TargetMode="External"/><Relationship Id="rId64" Type="http://schemas.openxmlformats.org/officeDocument/2006/relationships/hyperlink" Target="https://tradingeconomics.com/poland/exports-of-goods-and-services-percent-of-gdp-wb-data.html" TargetMode="External"/><Relationship Id="rId8" Type="http://schemas.openxmlformats.org/officeDocument/2006/relationships/hyperlink" Target="https://tradingeconomics.com/norway/gdp" TargetMode="External"/><Relationship Id="rId51" Type="http://schemas.openxmlformats.org/officeDocument/2006/relationships/hyperlink" Target="https://tradingeconomics.com/china/population" TargetMode="External"/><Relationship Id="rId3"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etherlands/gdp" TargetMode="External"/><Relationship Id="rId17" Type="http://schemas.openxmlformats.org/officeDocument/2006/relationships/hyperlink" Target="https://tradingeconomics.com/czech-republic/gdp" TargetMode="External"/><Relationship Id="rId25" Type="http://schemas.openxmlformats.org/officeDocument/2006/relationships/hyperlink" Target="https://www.statista.com/chart/14636/defense-expenditures-of-nato-countries/" TargetMode="External"/><Relationship Id="rId33" Type="http://schemas.openxmlformats.org/officeDocument/2006/relationships/hyperlink" Target="https://tradingeconomics.com/united-kingdom/military-expenditure-percent-of-gdp-wb-data.html" TargetMode="External"/><Relationship Id="rId38" Type="http://schemas.openxmlformats.org/officeDocument/2006/relationships/hyperlink" Target="https://www.wilsoncenter.org/blog-post/russias-unprecedented-war-budget-explained" TargetMode="External"/><Relationship Id="rId46" Type="http://schemas.openxmlformats.org/officeDocument/2006/relationships/hyperlink" Target="https://tradingeconomics.com/india/population" TargetMode="External"/><Relationship Id="rId59" Type="http://schemas.openxmlformats.org/officeDocument/2006/relationships/hyperlink" Target="https://tradingeconomics.com/turkey/military-expenditure-percent-of-gdp-wb-data.html" TargetMode="External"/><Relationship Id="rId20" Type="http://schemas.openxmlformats.org/officeDocument/2006/relationships/hyperlink" Target="https://www.ifw-kiel.de/topics/war-against-ukraine/ukraine-support-tracker/" TargetMode="External"/><Relationship Id="rId41" Type="http://schemas.openxmlformats.org/officeDocument/2006/relationships/hyperlink" Target="https://www.ifw-kiel.de/topics/war-against-ukraine/ukraine-support-tracker/" TargetMode="External"/><Relationship Id="rId54" Type="http://schemas.openxmlformats.org/officeDocument/2006/relationships/hyperlink" Target="https://tradingeconomics.com/turkey/gdp" TargetMode="External"/><Relationship Id="rId62" Type="http://schemas.openxmlformats.org/officeDocument/2006/relationships/hyperlink" Target="https://tradingeconomics.com/euro-area/exports-of-goods-and-services-percent-of-gdp-wb-data.html"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tradingeconomics.com/germany/gdp" TargetMode="External"/><Relationship Id="rId15" Type="http://schemas.openxmlformats.org/officeDocument/2006/relationships/hyperlink" Target="https://tradingeconomics.com/france/gdp" TargetMode="External"/><Relationship Id="rId23" Type="http://schemas.openxmlformats.org/officeDocument/2006/relationships/hyperlink" Target="https://tradingeconomics.com/ukraine/gdp" TargetMode="External"/><Relationship Id="rId28" Type="http://schemas.openxmlformats.org/officeDocument/2006/relationships/hyperlink" Target="https://tradingeconomics.com/sweden/military-expenditure-percent-of-gdp-wb-data.html" TargetMode="External"/><Relationship Id="rId36" Type="http://schemas.openxmlformats.org/officeDocument/2006/relationships/hyperlink" Target="https://tradingeconomics.com/czech-republic/military-expenditure-percent-of-gdp-wb-data.html" TargetMode="External"/><Relationship Id="rId49" Type="http://schemas.openxmlformats.org/officeDocument/2006/relationships/hyperlink" Target="https://en.wikipedia.org/wiki/North_Korea" TargetMode="External"/><Relationship Id="rId57" Type="http://schemas.openxmlformats.org/officeDocument/2006/relationships/hyperlink" Target="https://tradingeconomics.com/south-korea/population" TargetMode="External"/><Relationship Id="rId10" Type="http://schemas.openxmlformats.org/officeDocument/2006/relationships/hyperlink" Target="https://tradingeconomics.com/canada/gdp" TargetMode="External"/><Relationship Id="rId31" Type="http://schemas.openxmlformats.org/officeDocument/2006/relationships/hyperlink" Target="https://www.reuters.com/world/europe/ukraine-approves-increase-2023-defence-spending-2023-10-06/" TargetMode="External"/><Relationship Id="rId44" Type="http://schemas.openxmlformats.org/officeDocument/2006/relationships/hyperlink" Target="https://tradingeconomics.com/turkey/military-expenditure-percent-of-gdp-wb-data.html" TargetMode="External"/><Relationship Id="rId52" Type="http://schemas.openxmlformats.org/officeDocument/2006/relationships/hyperlink" Target="https://tradingeconomics.com/taiwan/gdp" TargetMode="External"/><Relationship Id="rId60" Type="http://schemas.openxmlformats.org/officeDocument/2006/relationships/hyperlink" Target="https://knoema.com/atlas/Taiwan-Province-of-China/Military-expenditure-as-a-share-of-GDP" TargetMode="External"/><Relationship Id="rId65" Type="http://schemas.openxmlformats.org/officeDocument/2006/relationships/printerSettings" Target="../printerSettings/printerSettings2.bin"/><Relationship Id="rId4" Type="http://schemas.openxmlformats.org/officeDocument/2006/relationships/hyperlink" Target="https://www.xe.com/currencyconverter/convert/?Amount=1&amp;From=USD&amp;To=EUR" TargetMode="External"/><Relationship Id="rId9" Type="http://schemas.openxmlformats.org/officeDocument/2006/relationships/hyperlink" Target="https://tradingeconomics.com/japan/gdp" TargetMode="External"/><Relationship Id="rId13" Type="http://schemas.openxmlformats.org/officeDocument/2006/relationships/hyperlink" Target="https://tradingeconomics.com/sweden/gdp" TargetMode="External"/><Relationship Id="rId18" Type="http://schemas.openxmlformats.org/officeDocument/2006/relationships/hyperlink" Target="https://tradingeconomics.com/italy/gdp" TargetMode="External"/><Relationship Id="rId39" Type="http://schemas.openxmlformats.org/officeDocument/2006/relationships/hyperlink" Target="https://www.ifw-kiel.de/topics/war-against-ukraine/ukraine-support-tracker/"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mil.gov.ua/en/news/2023/06/15/the-total-combat-losses-of-the-enemy-from-24-02-2022-to-15-06-2023/" TargetMode="External"/><Relationship Id="rId18" Type="http://schemas.openxmlformats.org/officeDocument/2006/relationships/hyperlink" Target="https://twitter.com/HMexperienceDK/status/1768915880694391294" TargetMode="External"/><Relationship Id="rId26" Type="http://schemas.openxmlformats.org/officeDocument/2006/relationships/hyperlink" Target="https://www.oryxspioenkop.com/2022/02/attack-on-europe-documenting-equipment.html" TargetMode="External"/><Relationship Id="rId39" Type="http://schemas.openxmlformats.org/officeDocument/2006/relationships/hyperlink" Target="https://twitter.com/EuromaidanPress/status/1778299697494462846" TargetMode="External"/><Relationship Id="rId21" Type="http://schemas.openxmlformats.org/officeDocument/2006/relationships/hyperlink" Target="https://www.oryxspioenkop.com/2022/02/attack-on-europe-documenting-equipment.html" TargetMode="External"/><Relationship Id="rId34" Type="http://schemas.openxmlformats.org/officeDocument/2006/relationships/hyperlink" Target="https://www.oryxspioenkop.com/2022/02/attack-on-europe-documenting-equipment.html" TargetMode="External"/><Relationship Id="rId42" Type="http://schemas.openxmlformats.org/officeDocument/2006/relationships/hyperlink" Target="https://twitter.com/EuromaidanPress/status/1778299697494462846" TargetMode="External"/><Relationship Id="rId7" Type="http://schemas.openxmlformats.org/officeDocument/2006/relationships/hyperlink" Target="https://www.minusrus.com/en" TargetMode="External"/><Relationship Id="rId2" Type="http://schemas.openxmlformats.org/officeDocument/2006/relationships/hyperlink" Target="https://www.mil.gov.ua/en/news/2023/06/15/the-total-combat-losses-of-the-enemy-from-24-02-2022-to-15-06-2023/" TargetMode="External"/><Relationship Id="rId16" Type="http://schemas.openxmlformats.org/officeDocument/2006/relationships/hyperlink" Target="https://twitter.com/HMexperienceDK/status/1768915880694391294" TargetMode="External"/><Relationship Id="rId20" Type="http://schemas.openxmlformats.org/officeDocument/2006/relationships/hyperlink" Target="https://twitter.com/HMexperienceDK/status/1768915880694391294" TargetMode="External"/><Relationship Id="rId29" Type="http://schemas.openxmlformats.org/officeDocument/2006/relationships/hyperlink" Target="https://www.oryxspioenkop.com/2022/02/attack-on-europe-documenting-ukrainian.html" TargetMode="External"/><Relationship Id="rId41" Type="http://schemas.openxmlformats.org/officeDocument/2006/relationships/hyperlink" Target="https://www.mil.gov.ua/en/news/2023/06/15/the-total-combat-losses-of-the-enemy-from-24-02-2022-to-15-06-2023/" TargetMode="External"/><Relationship Id="rId1" Type="http://schemas.openxmlformats.org/officeDocument/2006/relationships/hyperlink" Target="https://militarywatchmagazine.com/article/850-obsolete-tanks-can-t-stop-russia-ukraine-chose-sheer-numbers-over-modernisation-and-suffered" TargetMode="External"/><Relationship Id="rId6" Type="http://schemas.openxmlformats.org/officeDocument/2006/relationships/hyperlink" Target="https://www.minusrus.com/en" TargetMode="External"/><Relationship Id="rId11" Type="http://schemas.openxmlformats.org/officeDocument/2006/relationships/hyperlink" Target="https://www.minusrus.com/en" TargetMode="External"/><Relationship Id="rId24" Type="http://schemas.openxmlformats.org/officeDocument/2006/relationships/hyperlink" Target="https://www.mil.gov.ua/en/news/2023/06/15/the-total-combat-losses-of-the-enemy-from-24-02-2022-to-15-06-2023/" TargetMode="External"/><Relationship Id="rId32" Type="http://schemas.openxmlformats.org/officeDocument/2006/relationships/hyperlink" Target="https://twitter.com/HMexperienceDK/status/1768915880694391294" TargetMode="External"/><Relationship Id="rId37" Type="http://schemas.openxmlformats.org/officeDocument/2006/relationships/hyperlink" Target="https://www.oryxspioenkop.com/2022/02/attack-on-europe-documenting-ukrainian.html" TargetMode="External"/><Relationship Id="rId40" Type="http://schemas.openxmlformats.org/officeDocument/2006/relationships/hyperlink" Target="https://twitter.com/HMexperienceDK/status/1768915880694391294" TargetMode="External"/><Relationship Id="rId5" Type="http://schemas.openxmlformats.org/officeDocument/2006/relationships/hyperlink" Target="https://www.mil.gov.ua/en/news/2023/06/15/the-total-combat-losses-of-the-enemy-from-24-02-2022-to-15-06-2023/" TargetMode="External"/><Relationship Id="rId15" Type="http://schemas.openxmlformats.org/officeDocument/2006/relationships/hyperlink" Target="https://twitter.com/HMexperienceDK/status/1768915880694391294" TargetMode="External"/><Relationship Id="rId23" Type="http://schemas.openxmlformats.org/officeDocument/2006/relationships/hyperlink" Target="https://www.oryxspioenkop.com/2022/02/attack-on-europe-documenting-ukrainian.html" TargetMode="External"/><Relationship Id="rId28" Type="http://schemas.openxmlformats.org/officeDocument/2006/relationships/hyperlink" Target="https://twitter.com/HMexperienceDK/status/1768915880694391294" TargetMode="External"/><Relationship Id="rId36" Type="http://schemas.openxmlformats.org/officeDocument/2006/relationships/hyperlink" Target="https://www.oryxspioenkop.com/2022/02/attack-on-europe-documenting-equipment.html" TargetMode="External"/><Relationship Id="rId10" Type="http://schemas.openxmlformats.org/officeDocument/2006/relationships/hyperlink" Target="https://www.minusrus.com/en" TargetMode="External"/><Relationship Id="rId19" Type="http://schemas.openxmlformats.org/officeDocument/2006/relationships/hyperlink" Target="https://twitter.com/HMexperienceDK/status/1768915880694391294" TargetMode="External"/><Relationship Id="rId31" Type="http://schemas.openxmlformats.org/officeDocument/2006/relationships/hyperlink" Target="https://www.oryxspioenkop.com/2022/02/attack-on-europe-documenting-ukrainian.html" TargetMode="External"/><Relationship Id="rId44" Type="http://schemas.openxmlformats.org/officeDocument/2006/relationships/printerSettings" Target="../printerSettings/printerSettings3.bin"/><Relationship Id="rId4" Type="http://schemas.openxmlformats.org/officeDocument/2006/relationships/hyperlink" Target="https://www.mil.gov.ua/en/news/2023/06/15/the-total-combat-losses-of-the-enemy-from-24-02-2022-to-15-06-2023/" TargetMode="External"/><Relationship Id="rId9" Type="http://schemas.openxmlformats.org/officeDocument/2006/relationships/hyperlink" Target="https://www.minusrus.com/en" TargetMode="External"/><Relationship Id="rId14" Type="http://schemas.openxmlformats.org/officeDocument/2006/relationships/hyperlink" Target="https://www.mil.gov.ua/en/news/2023/06/15/the-total-combat-losses-of-the-enemy-from-24-02-2022-to-15-06-2023/" TargetMode="External"/><Relationship Id="rId22" Type="http://schemas.openxmlformats.org/officeDocument/2006/relationships/hyperlink" Target="https://www.oryxspioenkop.com/2022/02/attack-on-europe-documenting-equipment.html" TargetMode="External"/><Relationship Id="rId27" Type="http://schemas.openxmlformats.org/officeDocument/2006/relationships/hyperlink" Target="https://twitter.com/HMexperienceDK/status/1768915880694391294" TargetMode="External"/><Relationship Id="rId30" Type="http://schemas.openxmlformats.org/officeDocument/2006/relationships/hyperlink" Target="https://www.oryxspioenkop.com/2022/02/attack-on-europe-documenting-equipment.html" TargetMode="External"/><Relationship Id="rId35" Type="http://schemas.openxmlformats.org/officeDocument/2006/relationships/hyperlink" Target="https://www.oryxspioenkop.com/2022/02/attack-on-europe-documenting-ukrainian.html" TargetMode="External"/><Relationship Id="rId43" Type="http://schemas.openxmlformats.org/officeDocument/2006/relationships/hyperlink" Target="https://www.businessinsider.com/russia-recruiting-30000-troops-a-month-ukraine-frontline-losses-analysts-2024-1" TargetMode="External"/><Relationship Id="rId8" Type="http://schemas.openxmlformats.org/officeDocument/2006/relationships/hyperlink" Target="https://www.minusrus.com/en" TargetMode="External"/><Relationship Id="rId3" Type="http://schemas.openxmlformats.org/officeDocument/2006/relationships/hyperlink" Target="https://www.mil.gov.ua/en/news/2023/06/15/the-total-combat-losses-of-the-enemy-from-24-02-2022-to-15-06-2023/" TargetMode="External"/><Relationship Id="rId12" Type="http://schemas.openxmlformats.org/officeDocument/2006/relationships/hyperlink" Target="https://www.mil.gov.ua/en/news/2023/06/15/the-total-combat-losses-of-the-enemy-from-24-02-2022-to-15-06-2023/" TargetMode="External"/><Relationship Id="rId17" Type="http://schemas.openxmlformats.org/officeDocument/2006/relationships/hyperlink" Target="https://twitter.com/HMexperienceDK/status/1768915880694391294" TargetMode="External"/><Relationship Id="rId25" Type="http://schemas.openxmlformats.org/officeDocument/2006/relationships/hyperlink" Target="https://www.oryxspioenkop.com/2022/02/attack-on-europe-documenting-equipment.html" TargetMode="External"/><Relationship Id="rId33" Type="http://schemas.openxmlformats.org/officeDocument/2006/relationships/hyperlink" Target="https://www.oryxspioenkop.com/2022/02/attack-on-europe-documenting-equipment.html" TargetMode="External"/><Relationship Id="rId38" Type="http://schemas.openxmlformats.org/officeDocument/2006/relationships/hyperlink" Target="https://twitter.com/EuromaidanPress/status/1778299697494462846"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en.wikipedia.org/wiki/Boeing_B-52_Stratofortress" TargetMode="External"/><Relationship Id="rId21" Type="http://schemas.openxmlformats.org/officeDocument/2006/relationships/hyperlink" Target="https://en.wikipedia.org/wiki/Panzerhaubitze_2000" TargetMode="External"/><Relationship Id="rId63" Type="http://schemas.openxmlformats.org/officeDocument/2006/relationships/hyperlink" Target="https://en.wikipedia.org/wiki/Spike_(missile)" TargetMode="External"/><Relationship Id="rId159" Type="http://schemas.openxmlformats.org/officeDocument/2006/relationships/hyperlink" Target="https://en.wikipedia.org/wiki/R-360_Neptune" TargetMode="External"/><Relationship Id="rId170" Type="http://schemas.openxmlformats.org/officeDocument/2006/relationships/hyperlink" Target="https://en.wikipedia.org/wiki/R-360_Neptune" TargetMode="External"/><Relationship Id="rId226" Type="http://schemas.openxmlformats.org/officeDocument/2006/relationships/hyperlink" Target="https://www.technology.org/2023/10/16/baba-yaga-drones-delivering-fear-to-russian-occupiers/" TargetMode="External"/><Relationship Id="rId268" Type="http://schemas.openxmlformats.org/officeDocument/2006/relationships/hyperlink" Target="https://en.wikipedia.org/wiki/Mark_41_vertical_launching_system" TargetMode="External"/><Relationship Id="rId32" Type="http://schemas.openxmlformats.org/officeDocument/2006/relationships/hyperlink" Target="https://en.wikipedia.org/wiki/Storm_Shadow" TargetMode="External"/><Relationship Id="rId74" Type="http://schemas.openxmlformats.org/officeDocument/2006/relationships/hyperlink" Target="https://en.wikipedia.org/wiki/M142_HIMARS" TargetMode="External"/><Relationship Id="rId128" Type="http://schemas.openxmlformats.org/officeDocument/2006/relationships/hyperlink" Target="https://en.wikipedia.org/wiki/Boeing_E-3_Sentry" TargetMode="External"/><Relationship Id="rId5" Type="http://schemas.openxmlformats.org/officeDocument/2006/relationships/hyperlink" Target="https://en.wikipedia.org/wiki/M15_mine" TargetMode="External"/><Relationship Id="rId181" Type="http://schemas.openxmlformats.org/officeDocument/2006/relationships/hyperlink" Target="https://en.wikipedia.org/wiki/AGM-114_Hellfire" TargetMode="External"/><Relationship Id="rId237" Type="http://schemas.openxmlformats.org/officeDocument/2006/relationships/hyperlink" Target="https://t.me/astrapress/62407" TargetMode="External"/><Relationship Id="rId279" Type="http://schemas.openxmlformats.org/officeDocument/2006/relationships/hyperlink" Target="https://en.wikipedia.org/wiki/Grumman_E-2_Hawkeye" TargetMode="External"/><Relationship Id="rId43" Type="http://schemas.openxmlformats.org/officeDocument/2006/relationships/hyperlink" Target="https://www.airplaneupdate.com/2019/04/sukhoi-su-34.html" TargetMode="External"/><Relationship Id="rId139" Type="http://schemas.openxmlformats.org/officeDocument/2006/relationships/hyperlink" Target="https://en.wikipedia.org/wiki/Tomahawk_(missile)" TargetMode="External"/><Relationship Id="rId290" Type="http://schemas.openxmlformats.org/officeDocument/2006/relationships/hyperlink" Target="https://youtu.be/5JdT1GrplhI?si=CHkg27rnL6Dg1mNQ&amp;t=39" TargetMode="External"/><Relationship Id="rId85" Type="http://schemas.openxmlformats.org/officeDocument/2006/relationships/hyperlink" Target="https://en.wikipedia.org/wiki/Mikoyan_MiG-29" TargetMode="External"/><Relationship Id="rId150" Type="http://schemas.openxmlformats.org/officeDocument/2006/relationships/hyperlink" Target="https://en.wikipedia.org/wiki/9K720_Iskander" TargetMode="External"/><Relationship Id="rId192" Type="http://schemas.openxmlformats.org/officeDocument/2006/relationships/hyperlink" Target="https://en.wikipedia.org/wiki/Flakpanzer_Gepard" TargetMode="External"/><Relationship Id="rId206" Type="http://schemas.openxmlformats.org/officeDocument/2006/relationships/hyperlink" Target="https://man.fas.org/dod-101/sys/land/m933.htm" TargetMode="External"/><Relationship Id="rId248" Type="http://schemas.openxmlformats.org/officeDocument/2006/relationships/hyperlink" Target="https://en.wikipedia.org/wiki/Williams_F107" TargetMode="External"/><Relationship Id="rId269" Type="http://schemas.openxmlformats.org/officeDocument/2006/relationships/hyperlink" Target="https://en.wikipedia.org/wiki/AGM-179_JAGM" TargetMode="External"/><Relationship Id="rId12" Type="http://schemas.openxmlformats.org/officeDocument/2006/relationships/hyperlink" Target="https://www.pmulcahy.com/ammunition/mortar_rounds.html" TargetMode="External"/><Relationship Id="rId33" Type="http://schemas.openxmlformats.org/officeDocument/2006/relationships/hyperlink" Target="https://en.wikipedia.org/wiki/HESA_Shahed_136" TargetMode="External"/><Relationship Id="rId108" Type="http://schemas.openxmlformats.org/officeDocument/2006/relationships/hyperlink" Target="https://en.wikipedia.org/wiki/Sukhoi_Su-34" TargetMode="External"/><Relationship Id="rId129" Type="http://schemas.openxmlformats.org/officeDocument/2006/relationships/hyperlink" Target="https://en.wikipedia.org/wiki/Boeing_E-7_Wedgetail" TargetMode="External"/><Relationship Id="rId280" Type="http://schemas.openxmlformats.org/officeDocument/2006/relationships/hyperlink" Target="https://thediplomat.com/2019/06/japan-takes-delivery-of-first-e-2d-advanced-hawkeye-aircraft/" TargetMode="External"/><Relationship Id="rId54" Type="http://schemas.openxmlformats.org/officeDocument/2006/relationships/hyperlink" Target="https://en.wikipedia.org/wiki/Precision_Strike_Missile" TargetMode="External"/><Relationship Id="rId75" Type="http://schemas.openxmlformats.org/officeDocument/2006/relationships/hyperlink" Target="https://en.wikipedia.org/wiki/AGM-65_Maverick" TargetMode="External"/><Relationship Id="rId96" Type="http://schemas.openxmlformats.org/officeDocument/2006/relationships/hyperlink" Target="https://en.wikipedia.org/wiki/Taurus_KEPD_350" TargetMode="External"/><Relationship Id="rId140" Type="http://schemas.openxmlformats.org/officeDocument/2006/relationships/hyperlink" Target="https://en.wikipedia.org/wiki/Harpoon_(missile)" TargetMode="External"/><Relationship Id="rId161" Type="http://schemas.openxmlformats.org/officeDocument/2006/relationships/hyperlink" Target="https://en.wikipedia.org/wiki/Tupolev_Tu-160" TargetMode="External"/><Relationship Id="rId182" Type="http://schemas.openxmlformats.org/officeDocument/2006/relationships/hyperlink" Target="https://en.wikipedia.org/wiki/AGM-179_JAGM" TargetMode="External"/><Relationship Id="rId217" Type="http://schemas.openxmlformats.org/officeDocument/2006/relationships/hyperlink" Target="https://www.rferl.org/a/lancet-drones-russia-invasion-counteroffensive-kamikaze/32493513.html" TargetMode="External"/><Relationship Id="rId6" Type="http://schemas.openxmlformats.org/officeDocument/2006/relationships/hyperlink" Target="https://en.wikipedia.org/wiki/Anti-personnel_mine" TargetMode="External"/><Relationship Id="rId238" Type="http://schemas.openxmlformats.org/officeDocument/2006/relationships/hyperlink" Target="https://en.wikipedia.org/wiki/2S22_Bohdana" TargetMode="External"/><Relationship Id="rId259" Type="http://schemas.openxmlformats.org/officeDocument/2006/relationships/hyperlink" Target="https://www.pravda.com.ua/eng/news/2024/08/27/7472208/" TargetMode="External"/><Relationship Id="rId23" Type="http://schemas.openxmlformats.org/officeDocument/2006/relationships/hyperlink" Target="https://en.wikipedia.org/wiki/Panzerhaubitze_2000" TargetMode="External"/><Relationship Id="rId119" Type="http://schemas.openxmlformats.org/officeDocument/2006/relationships/hyperlink" Target="https://en.wikipedia.org/wiki/FAB-500" TargetMode="External"/><Relationship Id="rId270" Type="http://schemas.openxmlformats.org/officeDocument/2006/relationships/hyperlink" Target="https://en.wikipedia.org/wiki/Sikorsky_CH-53E_Super_Stallion" TargetMode="External"/><Relationship Id="rId291" Type="http://schemas.openxmlformats.org/officeDocument/2006/relationships/hyperlink" Target="https://www.bbc.com/news/articles/cz5drkr8l1ko" TargetMode="External"/><Relationship Id="rId44" Type="http://schemas.openxmlformats.org/officeDocument/2006/relationships/hyperlink" Target="https://en.wikipedia.org/wiki/Sukhoi_Su-34" TargetMode="External"/><Relationship Id="rId65" Type="http://schemas.openxmlformats.org/officeDocument/2006/relationships/hyperlink" Target="https://en.wikipedia.org/wiki/AGM-158_JASSM" TargetMode="External"/><Relationship Id="rId86" Type="http://schemas.openxmlformats.org/officeDocument/2006/relationships/hyperlink" Target="https://en.wikipedia.org/wiki/M142_HIMARS" TargetMode="External"/><Relationship Id="rId130" Type="http://schemas.openxmlformats.org/officeDocument/2006/relationships/hyperlink" Target="https://en.wikipedia.org/wiki/Saab_340_AEW%26C" TargetMode="External"/><Relationship Id="rId151" Type="http://schemas.openxmlformats.org/officeDocument/2006/relationships/hyperlink" Target="https://en.wikipedia.org/wiki/P-800_Oniks" TargetMode="External"/><Relationship Id="rId172" Type="http://schemas.openxmlformats.org/officeDocument/2006/relationships/hyperlink" Target="https://en.wikipedia.org/wiki/Armement_Air-Sol_Modulaire" TargetMode="External"/><Relationship Id="rId193" Type="http://schemas.openxmlformats.org/officeDocument/2006/relationships/hyperlink" Target="https://en.wikipedia.org/wiki/Skyshield" TargetMode="External"/><Relationship Id="rId207" Type="http://schemas.openxmlformats.org/officeDocument/2006/relationships/hyperlink" Target="https://www.dday-overlord.com/en/material/artillery/m2-60mm-mortar" TargetMode="External"/><Relationship Id="rId228" Type="http://schemas.openxmlformats.org/officeDocument/2006/relationships/hyperlink" Target="https://www.youtube.com/watch?app=desktop&amp;si=Vs2Fdzh0GZ0OZoR6&amp;v=5ckYz616rEc&amp;feature=youtu.be" TargetMode="External"/><Relationship Id="rId249" Type="http://schemas.openxmlformats.org/officeDocument/2006/relationships/hyperlink" Target="https://en.wikipedia.org/wiki/MS400_turbofan_engine" TargetMode="External"/><Relationship Id="rId13" Type="http://schemas.openxmlformats.org/officeDocument/2006/relationships/hyperlink" Target="https://en.wikipedia.org/wiki/CAESAR_self-propelled_howitzer" TargetMode="External"/><Relationship Id="rId109" Type="http://schemas.openxmlformats.org/officeDocument/2006/relationships/hyperlink" Target="https://en.wikipedia.org/wiki/Lockheed_Martin_F-35_Lightning_II" TargetMode="External"/><Relationship Id="rId260" Type="http://schemas.openxmlformats.org/officeDocument/2006/relationships/hyperlink" Target="https://en.wikipedia.org/wiki/Williams_F107" TargetMode="External"/><Relationship Id="rId281" Type="http://schemas.openxmlformats.org/officeDocument/2006/relationships/hyperlink" Target="https://en.wikipedia.org/wiki/MIM-104_Patriot" TargetMode="External"/><Relationship Id="rId34" Type="http://schemas.openxmlformats.org/officeDocument/2006/relationships/hyperlink" Target="https://en.wikipedia.org/wiki/RPG-7" TargetMode="External"/><Relationship Id="rId55" Type="http://schemas.openxmlformats.org/officeDocument/2006/relationships/hyperlink" Target="https://en.wikipedia.org/wiki/Northrop_B-2_Spirit" TargetMode="External"/><Relationship Id="rId76" Type="http://schemas.openxmlformats.org/officeDocument/2006/relationships/hyperlink" Target="https://en.wikipedia.org/wiki/AIM-120_AMRAAM" TargetMode="External"/><Relationship Id="rId97" Type="http://schemas.openxmlformats.org/officeDocument/2006/relationships/hyperlink" Target="https://en.wikipedia.org/wiki/M61_Vulcan" TargetMode="External"/><Relationship Id="rId120" Type="http://schemas.openxmlformats.org/officeDocument/2006/relationships/hyperlink" Target="https://en.wikipedia.org/wiki/Kh-69" TargetMode="External"/><Relationship Id="rId141" Type="http://schemas.openxmlformats.org/officeDocument/2006/relationships/hyperlink" Target="https://en.wikipedia.org/wiki/R-360_Neptune" TargetMode="External"/><Relationship Id="rId7" Type="http://schemas.openxmlformats.org/officeDocument/2006/relationships/hyperlink" Target="https://en.defence-ua.com/analysis/how_much_155mm_ammunition_costs_now_an_example_of_the_rheinmetall_contract_for_10000_shells-5178.html" TargetMode="External"/><Relationship Id="rId162" Type="http://schemas.openxmlformats.org/officeDocument/2006/relationships/hyperlink" Target="https://x.com/HMexperienceDK/status/1828426791733592153" TargetMode="External"/><Relationship Id="rId183" Type="http://schemas.openxmlformats.org/officeDocument/2006/relationships/hyperlink" Target="https://en.wikipedia.org/wiki/MIM-104_Patriot" TargetMode="External"/><Relationship Id="rId218" Type="http://schemas.openxmlformats.org/officeDocument/2006/relationships/hyperlink" Target="https://www.iwavecomms.com/80km-long-range-drone-hdmi-and-sdi-video-transmitter-and-serial-data-downlink-product/" TargetMode="External"/><Relationship Id="rId239" Type="http://schemas.openxmlformats.org/officeDocument/2006/relationships/hyperlink" Target="https://warriorlodge.com/pages/general-atomics-mq-1c-gray-eagle" TargetMode="External"/><Relationship Id="rId250" Type="http://schemas.openxmlformats.org/officeDocument/2006/relationships/hyperlink" Target="https://youtu.be/kvfDh_lnVLM?si=vnFnFiBeCgkj3fpP&amp;t=256" TargetMode="External"/><Relationship Id="rId271" Type="http://schemas.openxmlformats.org/officeDocument/2006/relationships/hyperlink" Target="https://en.wikipedia.org/wiki/Williams_F107" TargetMode="External"/><Relationship Id="rId292" Type="http://schemas.openxmlformats.org/officeDocument/2006/relationships/printerSettings" Target="../printerSettings/printerSettings4.bin"/><Relationship Id="rId24" Type="http://schemas.openxmlformats.org/officeDocument/2006/relationships/hyperlink" Target="https://en.wikipedia.org/wiki/Panzerhaubitze_2000" TargetMode="External"/><Relationship Id="rId45" Type="http://schemas.openxmlformats.org/officeDocument/2006/relationships/hyperlink" Target="https://en.wikipedia.org/wiki/Sukhoi_Su-34" TargetMode="External"/><Relationship Id="rId66" Type="http://schemas.openxmlformats.org/officeDocument/2006/relationships/hyperlink" Target="https://en.wikipedia.org/wiki/Sukhoi_Su-35" TargetMode="External"/><Relationship Id="rId87" Type="http://schemas.openxmlformats.org/officeDocument/2006/relationships/hyperlink" Target="https://en.defence-ua.com/news/liutyi_uav_is_responsible_for_attacks_on_taganrog_russians_assume_drone_with_1000_km_range_finally_in_action-9779.html" TargetMode="External"/><Relationship Id="rId110" Type="http://schemas.openxmlformats.org/officeDocument/2006/relationships/hyperlink" Target="https://www.youtube.com/watch?v=1DXpPmpmcak" TargetMode="External"/><Relationship Id="rId131" Type="http://schemas.openxmlformats.org/officeDocument/2006/relationships/hyperlink" Target="https://en.wikipedia.org/wiki/Kamov_Ka-50" TargetMode="External"/><Relationship Id="rId152" Type="http://schemas.openxmlformats.org/officeDocument/2006/relationships/hyperlink" Target="https://en.wikipedia.org/wiki/Kh-55" TargetMode="External"/><Relationship Id="rId173" Type="http://schemas.openxmlformats.org/officeDocument/2006/relationships/hyperlink" Target="https://en.wikipedia.org/wiki/AGM-88_HARM" TargetMode="External"/><Relationship Id="rId194" Type="http://schemas.openxmlformats.org/officeDocument/2006/relationships/hyperlink" Target="https://en.wikipedia.org/wiki/Archer_Artillery_System" TargetMode="External"/><Relationship Id="rId208" Type="http://schemas.openxmlformats.org/officeDocument/2006/relationships/hyperlink" Target="https://en.wikipedia.org/wiki/M270_Multiple_Launch_Rocket_System" TargetMode="External"/><Relationship Id="rId229" Type="http://schemas.openxmlformats.org/officeDocument/2006/relationships/hyperlink" Target="https://en.wikipedia.org/wiki/Sypaq_Corvo_Precision_Payload_Delivery_System" TargetMode="External"/><Relationship Id="rId240" Type="http://schemas.openxmlformats.org/officeDocument/2006/relationships/hyperlink" Target="https://www.airforce-technology.com/projects/heron-uav/?cf-view" TargetMode="External"/><Relationship Id="rId261" Type="http://schemas.openxmlformats.org/officeDocument/2006/relationships/hyperlink" Target="https://en.wikipedia.org/wiki/Williams_F107" TargetMode="External"/><Relationship Id="rId14" Type="http://schemas.openxmlformats.org/officeDocument/2006/relationships/hyperlink" Target="https://en.wikipedia.org/wiki/M982_Excalibur" TargetMode="External"/><Relationship Id="rId35" Type="http://schemas.openxmlformats.org/officeDocument/2006/relationships/hyperlink" Target="https://en.wikipedia.org/wiki/Tomahawk_(missile)" TargetMode="External"/><Relationship Id="rId56" Type="http://schemas.openxmlformats.org/officeDocument/2006/relationships/hyperlink" Target="https://www.rheinmetall.com/en/products/air-defence/air-defence-systems/networked-air-defence-skynex" TargetMode="External"/><Relationship Id="rId77" Type="http://schemas.openxmlformats.org/officeDocument/2006/relationships/hyperlink" Target="https://en.wikipedia.org/wiki/AIM-9_Sidewinder" TargetMode="External"/><Relationship Id="rId100" Type="http://schemas.openxmlformats.org/officeDocument/2006/relationships/hyperlink" Target="https://en.wikipedia.org/wiki/Panzerhaubitze_2000" TargetMode="External"/><Relationship Id="rId282" Type="http://schemas.openxmlformats.org/officeDocument/2006/relationships/hyperlink" Target="https://en.wikipedia.org/wiki/Grumman_E-2_Hawkeye" TargetMode="External"/><Relationship Id="rId8" Type="http://schemas.openxmlformats.org/officeDocument/2006/relationships/hyperlink" Target="https://ruavia.su/fpv-drones-hortensia-with-increased-payload-are-preparing-to-be-sent-to-the-frontline/" TargetMode="External"/><Relationship Id="rId98" Type="http://schemas.openxmlformats.org/officeDocument/2006/relationships/hyperlink" Target="https://en.wikipedia.org/wiki/Soltam_K6" TargetMode="External"/><Relationship Id="rId121" Type="http://schemas.openxmlformats.org/officeDocument/2006/relationships/hyperlink" Target="https://en.wikipedia.org/wiki/Gryazev-Shipunov_GSh-30-1" TargetMode="External"/><Relationship Id="rId142" Type="http://schemas.openxmlformats.org/officeDocument/2006/relationships/hyperlink" Target="https://en.wikipedia.org/wiki/MAGURA_V5" TargetMode="External"/><Relationship Id="rId163" Type="http://schemas.openxmlformats.org/officeDocument/2006/relationships/hyperlink" Target="https://en.wikipedia.org/wiki/Hrim-2" TargetMode="External"/><Relationship Id="rId184" Type="http://schemas.openxmlformats.org/officeDocument/2006/relationships/hyperlink" Target="https://en.wikipedia.org/wiki/NASAMS" TargetMode="External"/><Relationship Id="rId219" Type="http://schemas.openxmlformats.org/officeDocument/2006/relationships/hyperlink" Target="https://en.wikipedia.org/wiki/RPG-7" TargetMode="External"/><Relationship Id="rId230" Type="http://schemas.openxmlformats.org/officeDocument/2006/relationships/hyperlink" Target="https://euromaidanpress.com/2024/03/23/meet-liutyi-ukraines-homegrown-drone-behind-strikes-on-russian-oil-refineries/" TargetMode="External"/><Relationship Id="rId251" Type="http://schemas.openxmlformats.org/officeDocument/2006/relationships/hyperlink" Target="https://www.youtube.com/watch?v=DZ5xoJfqXA4&amp;t=46s" TargetMode="External"/><Relationship Id="rId25" Type="http://schemas.openxmlformats.org/officeDocument/2006/relationships/hyperlink" Target="https://en.wikipedia.org/wiki/CAESAR_self-propelled_howitzer" TargetMode="External"/><Relationship Id="rId46" Type="http://schemas.openxmlformats.org/officeDocument/2006/relationships/hyperlink" Target="https://en.wikipedia.org/wiki/Lockheed_Martin_F-35_Lightning_II" TargetMode="External"/><Relationship Id="rId67" Type="http://schemas.openxmlformats.org/officeDocument/2006/relationships/hyperlink" Target="https://en.wikipedia.org/wiki/Beriev_A-50" TargetMode="External"/><Relationship Id="rId272" Type="http://schemas.openxmlformats.org/officeDocument/2006/relationships/hyperlink" Target="https://en.wikipedia.org/wiki/AGM-86_ALCM" TargetMode="External"/><Relationship Id="rId88" Type="http://schemas.openxmlformats.org/officeDocument/2006/relationships/hyperlink" Target="https://en.wikipedia.org/wiki/General_Dynamics_F-16_Fighting_Falcon_variants" TargetMode="External"/><Relationship Id="rId111" Type="http://schemas.openxmlformats.org/officeDocument/2006/relationships/hyperlink" Target="https://en.wikipedia.org/wiki/Sukhoi_Su-35" TargetMode="External"/><Relationship Id="rId132" Type="http://schemas.openxmlformats.org/officeDocument/2006/relationships/hyperlink" Target="https://en.wikipedia.org/wiki/9M123_Khrizantema" TargetMode="External"/><Relationship Id="rId153" Type="http://schemas.openxmlformats.org/officeDocument/2006/relationships/hyperlink" Target="https://en.wikipedia.org/wiki/Kalibr_(missile_family)" TargetMode="External"/><Relationship Id="rId174" Type="http://schemas.openxmlformats.org/officeDocument/2006/relationships/hyperlink" Target="https://en.wikipedia.org/wiki/GAU-12_Equalizer" TargetMode="External"/><Relationship Id="rId195" Type="http://schemas.openxmlformats.org/officeDocument/2006/relationships/hyperlink" Target="https://en.wikipedia.org/wiki/M107_projectile" TargetMode="External"/><Relationship Id="rId209" Type="http://schemas.openxmlformats.org/officeDocument/2006/relationships/hyperlink" Target="https://en.wikipedia.org/wiki/Ground_Launched_Small_Diameter_Bomb" TargetMode="External"/><Relationship Id="rId220" Type="http://schemas.openxmlformats.org/officeDocument/2006/relationships/hyperlink" Target="https://en.wikipedia.org/wiki/RPG-7" TargetMode="External"/><Relationship Id="rId241" Type="http://schemas.openxmlformats.org/officeDocument/2006/relationships/hyperlink" Target="https://en.wikipedia.org/wiki/IAI_Heron" TargetMode="External"/><Relationship Id="rId15" Type="http://schemas.openxmlformats.org/officeDocument/2006/relationships/hyperlink" Target="https://en.wikipedia.org/wiki/M107_projectile" TargetMode="External"/><Relationship Id="rId36" Type="http://schemas.openxmlformats.org/officeDocument/2006/relationships/hyperlink" Target="https://en.wikipedia.org/wiki/Storm_Shadow" TargetMode="External"/><Relationship Id="rId57" Type="http://schemas.openxmlformats.org/officeDocument/2006/relationships/hyperlink" Target="https://www.youtube.com/watch?v=1DXpPmpmcak" TargetMode="External"/><Relationship Id="rId262" Type="http://schemas.openxmlformats.org/officeDocument/2006/relationships/hyperlink" Target="https://en.wikipedia.org/wiki/AGM-158C_LRASM" TargetMode="External"/><Relationship Id="rId283" Type="http://schemas.openxmlformats.org/officeDocument/2006/relationships/hyperlink" Target="https://youtu.be/pdv5PeqtWfY?si=FZmitvImqwcq2MBX&amp;t=450" TargetMode="External"/><Relationship Id="rId78" Type="http://schemas.openxmlformats.org/officeDocument/2006/relationships/hyperlink" Target="https://en.wikipedia.org/wiki/AGM-114_Hellfire" TargetMode="External"/><Relationship Id="rId99" Type="http://schemas.openxmlformats.org/officeDocument/2006/relationships/hyperlink" Target="https://en.wikipedia.org/wiki/CAESAR_self-propelled_howitzer" TargetMode="External"/><Relationship Id="rId101" Type="http://schemas.openxmlformats.org/officeDocument/2006/relationships/hyperlink" Target="https://weaponsystems.net/system/171-60mm%2BM224" TargetMode="External"/><Relationship Id="rId122" Type="http://schemas.openxmlformats.org/officeDocument/2006/relationships/hyperlink" Target="https://en.wikipedia.org/wiki/Kh-35" TargetMode="External"/><Relationship Id="rId143" Type="http://schemas.openxmlformats.org/officeDocument/2006/relationships/hyperlink" Target="https://en.wikipedia.org/wiki/IAI_Heron" TargetMode="External"/><Relationship Id="rId164" Type="http://schemas.openxmlformats.org/officeDocument/2006/relationships/hyperlink" Target="https://www.gd-ots.com/armaments/aircraft-guns-gun-systems/f-16/" TargetMode="External"/><Relationship Id="rId185" Type="http://schemas.openxmlformats.org/officeDocument/2006/relationships/hyperlink" Target="https://en.wikipedia.org/wiki/NASAMS" TargetMode="External"/><Relationship Id="rId9" Type="http://schemas.openxmlformats.org/officeDocument/2006/relationships/hyperlink" Target="https://en.wikipedia.org/wiki/M15_mine" TargetMode="External"/><Relationship Id="rId210" Type="http://schemas.openxmlformats.org/officeDocument/2006/relationships/hyperlink" Target="https://en.wikipedia.org/wiki/RPG-7" TargetMode="External"/><Relationship Id="rId26" Type="http://schemas.openxmlformats.org/officeDocument/2006/relationships/hyperlink" Target="https://www.pmulcahy.com/ammunition/mortar_rounds.html" TargetMode="External"/><Relationship Id="rId231" Type="http://schemas.openxmlformats.org/officeDocument/2006/relationships/hyperlink" Target="https://en.wikipedia.org/wiki/Bober_(drone)" TargetMode="External"/><Relationship Id="rId252" Type="http://schemas.openxmlformats.org/officeDocument/2006/relationships/hyperlink" Target="https://en.wikipedia.org/wiki/Spike_(missile)" TargetMode="External"/><Relationship Id="rId273" Type="http://schemas.openxmlformats.org/officeDocument/2006/relationships/hyperlink" Target="https://en.wikipedia.org/wiki/Virginia-class_submarine" TargetMode="External"/><Relationship Id="rId47" Type="http://schemas.openxmlformats.org/officeDocument/2006/relationships/hyperlink" Target="https://twitter.com/oleksiireznikov/status/1594998365170896896" TargetMode="External"/><Relationship Id="rId68" Type="http://schemas.openxmlformats.org/officeDocument/2006/relationships/hyperlink" Target="https://www.ukrainianworldcongress.org/belarus-partisans-blow-up-russias-330-million-beriev-a-50-aircraft/" TargetMode="External"/><Relationship Id="rId89" Type="http://schemas.openxmlformats.org/officeDocument/2006/relationships/hyperlink" Target="https://en.wikipedia.org/wiki/Sukhoi_Su-34" TargetMode="External"/><Relationship Id="rId112" Type="http://schemas.openxmlformats.org/officeDocument/2006/relationships/hyperlink" Target="https://en.wikipedia.org/wiki/Beriev_A-50" TargetMode="External"/><Relationship Id="rId133" Type="http://schemas.openxmlformats.org/officeDocument/2006/relationships/hyperlink" Target="https://en.wikipedia.org/wiki/LMUR" TargetMode="External"/><Relationship Id="rId154" Type="http://schemas.openxmlformats.org/officeDocument/2006/relationships/hyperlink" Target="https://en.wikipedia.org/wiki/Kh-47M2_Kinzhal" TargetMode="External"/><Relationship Id="rId175" Type="http://schemas.openxmlformats.org/officeDocument/2006/relationships/hyperlink" Target="https://en.wikipedia.org/wiki/Joint_Direct_Attack_Munition" TargetMode="External"/><Relationship Id="rId196" Type="http://schemas.openxmlformats.org/officeDocument/2006/relationships/hyperlink" Target="https://en.wikipedia.org/wiki/M107_projectile" TargetMode="External"/><Relationship Id="rId200" Type="http://schemas.openxmlformats.org/officeDocument/2006/relationships/hyperlink" Target="https://en.wikipedia.org/wiki/RCH_155" TargetMode="External"/><Relationship Id="rId16" Type="http://schemas.openxmlformats.org/officeDocument/2006/relationships/hyperlink" Target="https://en.wikipedia.org/wiki/Archer_Artillery_System" TargetMode="External"/><Relationship Id="rId221" Type="http://schemas.openxmlformats.org/officeDocument/2006/relationships/hyperlink" Target="https://en.wikipedia.org/wiki/RPG-7" TargetMode="External"/><Relationship Id="rId242" Type="http://schemas.openxmlformats.org/officeDocument/2006/relationships/hyperlink" Target="https://en.wikipedia.org/wiki/General_Atomics_MQ-1_Predator" TargetMode="External"/><Relationship Id="rId263" Type="http://schemas.openxmlformats.org/officeDocument/2006/relationships/hyperlink" Target="https://www.youtube.com/watch?v=EuAQ7jOyGGo&amp;t=110s" TargetMode="External"/><Relationship Id="rId284" Type="http://schemas.openxmlformats.org/officeDocument/2006/relationships/hyperlink" Target="https://youtu.be/pdv5PeqtWfY?si=FZmitvImqwcq2MBX&amp;t=450" TargetMode="External"/><Relationship Id="rId37" Type="http://schemas.openxmlformats.org/officeDocument/2006/relationships/hyperlink" Target="https://en.defence-ua.com/news/liutyi_uav_is_responsible_for_attacks_on_taganrog_russians_assume_drone_with_1000_km_range_finally_in_action-9779.html" TargetMode="External"/><Relationship Id="rId58" Type="http://schemas.openxmlformats.org/officeDocument/2006/relationships/hyperlink" Target="https://www.msn.com/en-us/news/world/german-skynex-air-defense-systems-start-protecting-ukrainian-skies/ar-AA1ofiEM?ocid=BingNewsSerp" TargetMode="External"/><Relationship Id="rId79" Type="http://schemas.openxmlformats.org/officeDocument/2006/relationships/hyperlink" Target="https://en.wikipedia.org/wiki/M61_Vulcan" TargetMode="External"/><Relationship Id="rId102" Type="http://schemas.openxmlformats.org/officeDocument/2006/relationships/hyperlink" Target="https://en.wikipedia.org/wiki/Mikoyan_MiG-29" TargetMode="External"/><Relationship Id="rId123" Type="http://schemas.openxmlformats.org/officeDocument/2006/relationships/hyperlink" Target="https://en.wikipedia.org/wiki/Ilyushin_Il-76" TargetMode="External"/><Relationship Id="rId144" Type="http://schemas.openxmlformats.org/officeDocument/2006/relationships/hyperlink" Target="https://en.wikipedia.org/wiki/HESA_Shahed_136" TargetMode="External"/><Relationship Id="rId90" Type="http://schemas.openxmlformats.org/officeDocument/2006/relationships/hyperlink" Target="https://en.wikipedia.org/wiki/Lockheed_Martin_F-35_Lightning_II" TargetMode="External"/><Relationship Id="rId165" Type="http://schemas.openxmlformats.org/officeDocument/2006/relationships/hyperlink" Target="https://en.wikipedia.org/wiki/Spike_(missile)" TargetMode="External"/><Relationship Id="rId186" Type="http://schemas.openxmlformats.org/officeDocument/2006/relationships/hyperlink" Target="https://en.wikipedia.org/wiki/NASAMS" TargetMode="External"/><Relationship Id="rId211" Type="http://schemas.openxmlformats.org/officeDocument/2006/relationships/hyperlink" Target="https://en.wikipedia.org/wiki/RPG-7" TargetMode="External"/><Relationship Id="rId232" Type="http://schemas.openxmlformats.org/officeDocument/2006/relationships/hyperlink" Target="https://www.forbes.com/sites/davidhambling/2023/12/17/scythe-attack-drone-is-ukraines-answer-to-russias-shaheds/" TargetMode="External"/><Relationship Id="rId253" Type="http://schemas.openxmlformats.org/officeDocument/2006/relationships/hyperlink" Target="https://www.youtube.com/watch?v=ycP05g-clX8&amp;list=FLZCT9hB-Visphsp0Ne3D-xA" TargetMode="External"/><Relationship Id="rId274" Type="http://schemas.openxmlformats.org/officeDocument/2006/relationships/hyperlink" Target="https://www.lockheedmartin.com/content/dam/lockheed-martin/rms/documents/naval-launchers-and-munitions/Mk70_Product_Card.pdf" TargetMode="External"/><Relationship Id="rId27" Type="http://schemas.openxmlformats.org/officeDocument/2006/relationships/hyperlink" Target="https://weaponsystems.net/system/171-60mm%2BM224" TargetMode="External"/><Relationship Id="rId48" Type="http://schemas.openxmlformats.org/officeDocument/2006/relationships/hyperlink" Target="https://en.wikipedia.org/wiki/Lockheed_Martin_F-35_Lightning_II" TargetMode="External"/><Relationship Id="rId69" Type="http://schemas.openxmlformats.org/officeDocument/2006/relationships/hyperlink" Target="https://en.wikipedia.org/wiki/Ilyushin_Il-76" TargetMode="External"/><Relationship Id="rId113" Type="http://schemas.openxmlformats.org/officeDocument/2006/relationships/hyperlink" Target="https://en.wikipedia.org/wiki/Krasukha" TargetMode="External"/><Relationship Id="rId134" Type="http://schemas.openxmlformats.org/officeDocument/2006/relationships/hyperlink" Target="https://en.wikipedia.org/wiki/Mil_Mi-28" TargetMode="External"/><Relationship Id="rId80" Type="http://schemas.openxmlformats.org/officeDocument/2006/relationships/hyperlink" Target="https://en.wikipedia.org/wiki/Soltam_K6" TargetMode="External"/><Relationship Id="rId155" Type="http://schemas.openxmlformats.org/officeDocument/2006/relationships/hyperlink" Target="https://en.wikipedia.org/wiki/S-200_missile_system" TargetMode="External"/><Relationship Id="rId176" Type="http://schemas.openxmlformats.org/officeDocument/2006/relationships/hyperlink" Target="https://en.wikipedia.org/wiki/GBU-39_Small_Diameter_Bomb" TargetMode="External"/><Relationship Id="rId197" Type="http://schemas.openxmlformats.org/officeDocument/2006/relationships/hyperlink" Target="https://en.wikipedia.org/wiki/Base_bleed" TargetMode="External"/><Relationship Id="rId201" Type="http://schemas.openxmlformats.org/officeDocument/2006/relationships/hyperlink" Target="https://en.wikipedia.org/wiki/M252_mortar" TargetMode="External"/><Relationship Id="rId222" Type="http://schemas.openxmlformats.org/officeDocument/2006/relationships/hyperlink" Target="https://www.nextbigfuture.com/2024/01/ukraines-one-million-fpv-drones-will-be-outnumbered-by-5-million-russian-drones.html" TargetMode="External"/><Relationship Id="rId243" Type="http://schemas.openxmlformats.org/officeDocument/2006/relationships/hyperlink" Target="https://uk.wikipedia.org/wiki/%D0%A1%D0%BE%D0%BA%D1%96%D0%BB-300" TargetMode="External"/><Relationship Id="rId264" Type="http://schemas.openxmlformats.org/officeDocument/2006/relationships/hyperlink" Target="https://en.wikipedia.org/wiki/9K720_Iskander" TargetMode="External"/><Relationship Id="rId285" Type="http://schemas.openxmlformats.org/officeDocument/2006/relationships/hyperlink" Target="https://en.wikipedia.org/wiki/Kh-22" TargetMode="External"/><Relationship Id="rId17" Type="http://schemas.openxmlformats.org/officeDocument/2006/relationships/hyperlink" Target="https://en.wikipedia.org/wiki/CAESAR_self-propelled_howitzer" TargetMode="External"/><Relationship Id="rId38" Type="http://schemas.openxmlformats.org/officeDocument/2006/relationships/hyperlink" Target="https://euromaidanpress.com/2024/03/23/meet-liutyi-ukraines-homegrown-drone-behind-strikes-on-russian-oil-refineries/" TargetMode="External"/><Relationship Id="rId59" Type="http://schemas.openxmlformats.org/officeDocument/2006/relationships/hyperlink" Target="https://www.msn.com/en-us/news/world/german-skynex-air-defense-systems-start-protecting-ukrainian-skies/ar-AA1ofiEM?ocid=BingNewsSerp" TargetMode="External"/><Relationship Id="rId103" Type="http://schemas.openxmlformats.org/officeDocument/2006/relationships/hyperlink" Target="https://en.wikipedia.org/wiki/M142_HIMARS" TargetMode="External"/><Relationship Id="rId124" Type="http://schemas.openxmlformats.org/officeDocument/2006/relationships/hyperlink" Target="https://en.wikipedia.org/wiki/Boeing_C-17_Globemaster_III" TargetMode="External"/><Relationship Id="rId70" Type="http://schemas.openxmlformats.org/officeDocument/2006/relationships/hyperlink" Target="https://en.wikipedia.org/wiki/List_of_active_Russian_military_aircraft" TargetMode="External"/><Relationship Id="rId91" Type="http://schemas.openxmlformats.org/officeDocument/2006/relationships/hyperlink" Target="https://www.youtube.com/watch?v=1DXpPmpmcak" TargetMode="External"/><Relationship Id="rId145" Type="http://schemas.openxmlformats.org/officeDocument/2006/relationships/hyperlink" Target="https://en.wikipedia.org/wiki/ZALA_Lancet" TargetMode="External"/><Relationship Id="rId166" Type="http://schemas.openxmlformats.org/officeDocument/2006/relationships/hyperlink" Target="https://en.wikipedia.org/wiki/Skif_(anti-tank_guided_missile)" TargetMode="External"/><Relationship Id="rId187" Type="http://schemas.openxmlformats.org/officeDocument/2006/relationships/hyperlink" Target="https://www.thenationalnews.com/world/europe/2022/10/12/explained-the-iris-t-slm-and-nasams-air-defence-systems-ukraine-needs/" TargetMode="External"/><Relationship Id="rId1" Type="http://schemas.openxmlformats.org/officeDocument/2006/relationships/hyperlink" Target="https://en.wikipedia.org/wiki/Harpoon_(missile)" TargetMode="External"/><Relationship Id="rId212" Type="http://schemas.openxmlformats.org/officeDocument/2006/relationships/hyperlink" Target="https://en.wikipedia.org/wiki/FGM-148_Javelin" TargetMode="External"/><Relationship Id="rId233" Type="http://schemas.openxmlformats.org/officeDocument/2006/relationships/hyperlink" Target="https://www.nationaldefensemagazine.org/articles/2023/5/22/us-made--counter-drone-trucks-head-for-ukraine" TargetMode="External"/><Relationship Id="rId254" Type="http://schemas.openxmlformats.org/officeDocument/2006/relationships/hyperlink" Target="https://www.jetcat.de/en/productdetails/produkte/jetcat/produkte/Professionell/p400%20pro" TargetMode="External"/><Relationship Id="rId28" Type="http://schemas.openxmlformats.org/officeDocument/2006/relationships/hyperlink" Target="https://en.wikipedia.org/wiki/Mikoyan_MiG-29" TargetMode="External"/><Relationship Id="rId49" Type="http://schemas.openxmlformats.org/officeDocument/2006/relationships/hyperlink" Target="https://www.nextbigfuture.com/2024/01/ukraines-one-million-fpv-drones-will-be-outnumbered-by-5-million-russian-drones.html" TargetMode="External"/><Relationship Id="rId114" Type="http://schemas.openxmlformats.org/officeDocument/2006/relationships/hyperlink" Target="https://en.wikipedia.org/wiki/Storm_Shadow" TargetMode="External"/><Relationship Id="rId275" Type="http://schemas.openxmlformats.org/officeDocument/2006/relationships/hyperlink" Target="https://en.wikipedia.org/wiki/RIM-174_Standard_ERAM" TargetMode="External"/><Relationship Id="rId60" Type="http://schemas.openxmlformats.org/officeDocument/2006/relationships/hyperlink" Target="https://en.wikipedia.org/wiki/Oerlikon_GDF" TargetMode="External"/><Relationship Id="rId81" Type="http://schemas.openxmlformats.org/officeDocument/2006/relationships/hyperlink" Target="https://en.wikipedia.org/wiki/CAESAR_self-propelled_howitzer" TargetMode="External"/><Relationship Id="rId135" Type="http://schemas.openxmlformats.org/officeDocument/2006/relationships/hyperlink" Target="https://en.wikipedia.org/wiki/Mil_Mi-26" TargetMode="External"/><Relationship Id="rId156" Type="http://schemas.openxmlformats.org/officeDocument/2006/relationships/hyperlink" Target="https://en.wikipedia.org/wiki/S-400_missile_system" TargetMode="External"/><Relationship Id="rId177" Type="http://schemas.openxmlformats.org/officeDocument/2006/relationships/hyperlink" Target="https://en.wikipedia.org/wiki/Joint_Strike_Missile" TargetMode="External"/><Relationship Id="rId198" Type="http://schemas.openxmlformats.org/officeDocument/2006/relationships/hyperlink" Target="https://en.wikipedia.org/wiki/155_mm_caliber" TargetMode="External"/><Relationship Id="rId202" Type="http://schemas.openxmlformats.org/officeDocument/2006/relationships/hyperlink" Target="https://man.fas.org/dod-101/sys/land/m933.htm" TargetMode="External"/><Relationship Id="rId223" Type="http://schemas.openxmlformats.org/officeDocument/2006/relationships/hyperlink" Target="https://www.reuters.com/graphics/UKRAINE-CRISIS/DRONES/dwpkeyjwkpm/" TargetMode="External"/><Relationship Id="rId244" Type="http://schemas.openxmlformats.org/officeDocument/2006/relationships/hyperlink" Target="https://en.wikipedia.org/wiki/Bober_(drone)" TargetMode="External"/><Relationship Id="rId18" Type="http://schemas.openxmlformats.org/officeDocument/2006/relationships/hyperlink" Target="https://en.wikipedia.org/wiki/MAGURA_V5" TargetMode="External"/><Relationship Id="rId39" Type="http://schemas.openxmlformats.org/officeDocument/2006/relationships/hyperlink" Target="https://en.wikipedia.org/wiki/General_Dynamics_F-16_Fighting_Falcon_variants" TargetMode="External"/><Relationship Id="rId265" Type="http://schemas.openxmlformats.org/officeDocument/2006/relationships/hyperlink" Target="https://en.wikipedia.org/wiki/Typhon_missile_launcher" TargetMode="External"/><Relationship Id="rId286" Type="http://schemas.openxmlformats.org/officeDocument/2006/relationships/hyperlink" Target="https://en.wikipedia.org/wiki/Communication_with_submarines" TargetMode="External"/><Relationship Id="rId50" Type="http://schemas.openxmlformats.org/officeDocument/2006/relationships/hyperlink" Target="https://en.wikipedia.org/wiki/LMUR" TargetMode="External"/><Relationship Id="rId104" Type="http://schemas.openxmlformats.org/officeDocument/2006/relationships/hyperlink" Target="https://en.wikipedia.org/wiki/M142_HIMARS" TargetMode="External"/><Relationship Id="rId125" Type="http://schemas.openxmlformats.org/officeDocument/2006/relationships/hyperlink" Target="https://en.wikipedia.org/wiki/Lockheed_C-130_Hercules" TargetMode="External"/><Relationship Id="rId146" Type="http://schemas.openxmlformats.org/officeDocument/2006/relationships/hyperlink" Target="https://www.reuters.com/world/europe/inside-ukraines-scramble-game-changer-drone-fleet-2023-03-24/" TargetMode="External"/><Relationship Id="rId167" Type="http://schemas.openxmlformats.org/officeDocument/2006/relationships/hyperlink" Target="https://en.wikipedia.org/wiki/M15_mine" TargetMode="External"/><Relationship Id="rId188" Type="http://schemas.openxmlformats.org/officeDocument/2006/relationships/hyperlink" Target="https://en.wikipedia.org/wiki/IRIS-T" TargetMode="External"/><Relationship Id="rId71" Type="http://schemas.openxmlformats.org/officeDocument/2006/relationships/hyperlink" Target="https://en.wikipedia.org/wiki/Krasukha" TargetMode="External"/><Relationship Id="rId92" Type="http://schemas.openxmlformats.org/officeDocument/2006/relationships/hyperlink" Target="https://en.wikipedia.org/wiki/Sukhoi_Su-35" TargetMode="External"/><Relationship Id="rId213" Type="http://schemas.openxmlformats.org/officeDocument/2006/relationships/hyperlink" Target="https://en.wikipedia.org/wiki/Skif_(anti-tank_guided_missile)" TargetMode="External"/><Relationship Id="rId234" Type="http://schemas.openxmlformats.org/officeDocument/2006/relationships/hyperlink" Target="https://www.nationaldefensemagazine.org/articles/2023/5/22/us-made--counter-drone-trucks-head-for-ukraine" TargetMode="External"/><Relationship Id="rId2" Type="http://schemas.openxmlformats.org/officeDocument/2006/relationships/hyperlink" Target="https://en.wikipedia.org/wiki/Soltam_K6" TargetMode="External"/><Relationship Id="rId29" Type="http://schemas.openxmlformats.org/officeDocument/2006/relationships/hyperlink" Target="https://en.wikipedia.org/wiki/M142_HIMARS" TargetMode="External"/><Relationship Id="rId255" Type="http://schemas.openxmlformats.org/officeDocument/2006/relationships/hyperlink" Target="https://en.wikipedia.org/wiki/MS400_turbofan_engine" TargetMode="External"/><Relationship Id="rId276" Type="http://schemas.openxmlformats.org/officeDocument/2006/relationships/hyperlink" Target="https://www.airandspaceforces.com/usaf-to-start-buying-extreme-range-jassms-in-2021/" TargetMode="External"/><Relationship Id="rId40" Type="http://schemas.openxmlformats.org/officeDocument/2006/relationships/hyperlink" Target="https://en.wikipedia.org/wiki/Mikoyan_MiG-29" TargetMode="External"/><Relationship Id="rId115" Type="http://schemas.openxmlformats.org/officeDocument/2006/relationships/hyperlink" Target="https://en.wikipedia.org/wiki/Taurus_KEPD_350" TargetMode="External"/><Relationship Id="rId136" Type="http://schemas.openxmlformats.org/officeDocument/2006/relationships/hyperlink" Target="https://en.wikipedia.org/wiki/List_of_active_Russian_military_aircraft" TargetMode="External"/><Relationship Id="rId157" Type="http://schemas.openxmlformats.org/officeDocument/2006/relationships/hyperlink" Target="https://en.wikipedia.org/wiki/S-500_missile_system" TargetMode="External"/><Relationship Id="rId178" Type="http://schemas.openxmlformats.org/officeDocument/2006/relationships/hyperlink" Target="https://en.wikipedia.org/wiki/AGM-65_Maverick" TargetMode="External"/><Relationship Id="rId61" Type="http://schemas.openxmlformats.org/officeDocument/2006/relationships/hyperlink" Target="https://en.wikipedia.org/wiki/Oerlikon_GDF" TargetMode="External"/><Relationship Id="rId82" Type="http://schemas.openxmlformats.org/officeDocument/2006/relationships/hyperlink" Target="https://en.wikipedia.org/wiki/CAESAR_self-propelled_howitzer" TargetMode="External"/><Relationship Id="rId199" Type="http://schemas.openxmlformats.org/officeDocument/2006/relationships/hyperlink" Target="https://en.wikipedia.org/wiki/M982_Excalibur" TargetMode="External"/><Relationship Id="rId203" Type="http://schemas.openxmlformats.org/officeDocument/2006/relationships/hyperlink" Target="https://en.wikipedia.org/wiki/M142_HIMARS" TargetMode="External"/><Relationship Id="rId19" Type="http://schemas.openxmlformats.org/officeDocument/2006/relationships/hyperlink" Target="https://en.wikipedia.org/wiki/MAGURA_V5" TargetMode="External"/><Relationship Id="rId224" Type="http://schemas.openxmlformats.org/officeDocument/2006/relationships/hyperlink" Target="https://www.dji.com/dk/mavic-3-pro/specs" TargetMode="External"/><Relationship Id="rId245" Type="http://schemas.openxmlformats.org/officeDocument/2006/relationships/hyperlink" Target="https://www.kyivpost.com/post/20129" TargetMode="External"/><Relationship Id="rId266" Type="http://schemas.openxmlformats.org/officeDocument/2006/relationships/hyperlink" Target="https://en.wikipedia.org/wiki/RIM-174_Standard_ERAM" TargetMode="External"/><Relationship Id="rId287" Type="http://schemas.openxmlformats.org/officeDocument/2006/relationships/hyperlink" Target="https://en.wikipedia.org/wiki/Boeing_MQ-25_Stingray" TargetMode="External"/><Relationship Id="rId30" Type="http://schemas.openxmlformats.org/officeDocument/2006/relationships/hyperlink" Target="https://en.wikipedia.org/wiki/M142_HIMARS" TargetMode="External"/><Relationship Id="rId105" Type="http://schemas.openxmlformats.org/officeDocument/2006/relationships/hyperlink" Target="https://en.wikipedia.org/wiki/M142_HIMARS" TargetMode="External"/><Relationship Id="rId126" Type="http://schemas.openxmlformats.org/officeDocument/2006/relationships/hyperlink" Target="https://en.wikipedia.org/wiki/Ilyushin_Il-78" TargetMode="External"/><Relationship Id="rId147" Type="http://schemas.openxmlformats.org/officeDocument/2006/relationships/hyperlink" Target="https://en.wikipedia.org/wiki/Northrop_Grumman_RQ-180" TargetMode="External"/><Relationship Id="rId168" Type="http://schemas.openxmlformats.org/officeDocument/2006/relationships/hyperlink" Target="https://en.wikipedia.org/wiki/VS-50_mine" TargetMode="External"/><Relationship Id="rId51" Type="http://schemas.openxmlformats.org/officeDocument/2006/relationships/hyperlink" Target="https://en.wikipedia.org/wiki/FGM-148_Javelin" TargetMode="External"/><Relationship Id="rId72" Type="http://schemas.openxmlformats.org/officeDocument/2006/relationships/hyperlink" Target="https://en.wikipedia.org/wiki/Storm_Shadow" TargetMode="External"/><Relationship Id="rId93" Type="http://schemas.openxmlformats.org/officeDocument/2006/relationships/hyperlink" Target="https://en.wikipedia.org/wiki/Beriev_A-50" TargetMode="External"/><Relationship Id="rId189" Type="http://schemas.openxmlformats.org/officeDocument/2006/relationships/hyperlink" Target="https://en.wikipedia.org/wiki/MIM-23_Hawk" TargetMode="External"/><Relationship Id="rId3" Type="http://schemas.openxmlformats.org/officeDocument/2006/relationships/hyperlink" Target="https://www.newsweek.com/ukraine-fpv-drones-mykhailo-fedorov-russia-avdiivka-1853646" TargetMode="External"/><Relationship Id="rId214" Type="http://schemas.openxmlformats.org/officeDocument/2006/relationships/hyperlink" Target="https://en.wikipedia.org/wiki/NLAW" TargetMode="External"/><Relationship Id="rId235" Type="http://schemas.openxmlformats.org/officeDocument/2006/relationships/hyperlink" Target="https://x.com/EuromaidanPress/status/1736559427866464628" TargetMode="External"/><Relationship Id="rId256" Type="http://schemas.openxmlformats.org/officeDocument/2006/relationships/hyperlink" Target="https://en.wikipedia.org/wiki/MS400_turbofan_engine" TargetMode="External"/><Relationship Id="rId277" Type="http://schemas.openxmlformats.org/officeDocument/2006/relationships/hyperlink" Target="https://en.wikipedia.org/wiki/Williams_F107" TargetMode="External"/><Relationship Id="rId116" Type="http://schemas.openxmlformats.org/officeDocument/2006/relationships/hyperlink" Target="https://en.wikipedia.org/wiki/M61_Vulcan" TargetMode="External"/><Relationship Id="rId137" Type="http://schemas.openxmlformats.org/officeDocument/2006/relationships/hyperlink" Target="https://en.wikipedia.org/wiki/List_of_active_Russian_military_aircraft" TargetMode="External"/><Relationship Id="rId158" Type="http://schemas.openxmlformats.org/officeDocument/2006/relationships/hyperlink" Target="https://www.youtube.com/watch?v=a0jL1d7MscM&amp;t=256s" TargetMode="External"/><Relationship Id="rId20" Type="http://schemas.openxmlformats.org/officeDocument/2006/relationships/hyperlink" Target="https://en.wikipedia.org/wiki/M549" TargetMode="External"/><Relationship Id="rId41" Type="http://schemas.openxmlformats.org/officeDocument/2006/relationships/hyperlink" Target="https://en.wikipedia.org/wiki/General_Dynamics_F-16_Fighting_Falcon" TargetMode="External"/><Relationship Id="rId62" Type="http://schemas.openxmlformats.org/officeDocument/2006/relationships/hyperlink" Target="https://en.wikipedia.org/wiki/Oerlikon_GDF" TargetMode="External"/><Relationship Id="rId83" Type="http://schemas.openxmlformats.org/officeDocument/2006/relationships/hyperlink" Target="https://en.wikipedia.org/wiki/Panzerhaubitze_2000" TargetMode="External"/><Relationship Id="rId179" Type="http://schemas.openxmlformats.org/officeDocument/2006/relationships/hyperlink" Target="https://en.wikipedia.org/wiki/AIM-120_AMRAAM" TargetMode="External"/><Relationship Id="rId190" Type="http://schemas.openxmlformats.org/officeDocument/2006/relationships/hyperlink" Target="https://en.wikipedia.org/wiki/IRIS-T" TargetMode="External"/><Relationship Id="rId204" Type="http://schemas.openxmlformats.org/officeDocument/2006/relationships/hyperlink" Target="https://en.wikipedia.org/wiki/M270_Multiple_Launch_Rocket_System" TargetMode="External"/><Relationship Id="rId225" Type="http://schemas.openxmlformats.org/officeDocument/2006/relationships/hyperlink" Target="https://en.wikipedia.org/wiki/Shark_(drone)" TargetMode="External"/><Relationship Id="rId246" Type="http://schemas.openxmlformats.org/officeDocument/2006/relationships/hyperlink" Target="https://en.wikipedia.org/wiki/Teledyne_CAE_J402" TargetMode="External"/><Relationship Id="rId267" Type="http://schemas.openxmlformats.org/officeDocument/2006/relationships/hyperlink" Target="https://www.leonardodrs.com/what-we-do/products-and-services/m1000-heavy-equipment-transport-semi-trailer/" TargetMode="External"/><Relationship Id="rId288" Type="http://schemas.openxmlformats.org/officeDocument/2006/relationships/hyperlink" Target="https://www.youtube.com/watch?app=desktop&amp;si=gD0n1t8T9_PivR9Q&amp;v=GqZOaUpORjo&amp;feature=youtu.be" TargetMode="External"/><Relationship Id="rId106" Type="http://schemas.openxmlformats.org/officeDocument/2006/relationships/hyperlink" Target="https://en.defence-ua.com/news/liutyi_uav_is_responsible_for_attacks_on_taganrog_russians_assume_drone_with_1000_km_range_finally_in_action-9779.html" TargetMode="External"/><Relationship Id="rId127" Type="http://schemas.openxmlformats.org/officeDocument/2006/relationships/hyperlink" Target="https://en.wikipedia.org/wiki/Boeing_KC-46_Pegasus" TargetMode="External"/><Relationship Id="rId10" Type="http://schemas.openxmlformats.org/officeDocument/2006/relationships/hyperlink" Target="https://en.wikipedia.org/wiki/Archer_Artillery_System" TargetMode="External"/><Relationship Id="rId31" Type="http://schemas.openxmlformats.org/officeDocument/2006/relationships/hyperlink" Target="https://en.wikipedia.org/wiki/M142_HIMARS" TargetMode="External"/><Relationship Id="rId52" Type="http://schemas.openxmlformats.org/officeDocument/2006/relationships/hyperlink" Target="https://en.wikipedia.org/wiki/IAI_Heron" TargetMode="External"/><Relationship Id="rId73" Type="http://schemas.openxmlformats.org/officeDocument/2006/relationships/hyperlink" Target="https://en.wikipedia.org/wiki/Taurus_KEPD_350" TargetMode="External"/><Relationship Id="rId94" Type="http://schemas.openxmlformats.org/officeDocument/2006/relationships/hyperlink" Target="https://en.wikipedia.org/wiki/Krasukha" TargetMode="External"/><Relationship Id="rId148" Type="http://schemas.openxmlformats.org/officeDocument/2006/relationships/hyperlink" Target="https://en.wikipedia.org/wiki/AGM-158_JASSM" TargetMode="External"/><Relationship Id="rId169" Type="http://schemas.openxmlformats.org/officeDocument/2006/relationships/hyperlink" Target="https://youtu.be/TSZ3Gl4QqQ0?si=V_GH0N0qpqsz5xFu&amp;t=56" TargetMode="External"/><Relationship Id="rId4" Type="http://schemas.openxmlformats.org/officeDocument/2006/relationships/hyperlink" Target="https://en.wikipedia.org/wiki/MAGURA_V5" TargetMode="External"/><Relationship Id="rId180" Type="http://schemas.openxmlformats.org/officeDocument/2006/relationships/hyperlink" Target="https://en.wikipedia.org/wiki/AIM-9_Sidewinder" TargetMode="External"/><Relationship Id="rId215" Type="http://schemas.openxmlformats.org/officeDocument/2006/relationships/hyperlink" Target="https://en.wikipedia.org/wiki/M2_Bradley" TargetMode="External"/><Relationship Id="rId236" Type="http://schemas.openxmlformats.org/officeDocument/2006/relationships/hyperlink" Target="https://en.wikipedia.org/wiki/AQ-400_Scythe" TargetMode="External"/><Relationship Id="rId257" Type="http://schemas.openxmlformats.org/officeDocument/2006/relationships/hyperlink" Target="https://en.wikipedia.org/wiki/R-360_Neptune" TargetMode="External"/><Relationship Id="rId278" Type="http://schemas.openxmlformats.org/officeDocument/2006/relationships/hyperlink" Target="https://en.wikipedia.org/wiki/AGM-158C_LRASM" TargetMode="External"/><Relationship Id="rId42" Type="http://schemas.openxmlformats.org/officeDocument/2006/relationships/hyperlink" Target="https://en.wikipedia.org/wiki/Sukhoi_Su-34" TargetMode="External"/><Relationship Id="rId84" Type="http://schemas.openxmlformats.org/officeDocument/2006/relationships/hyperlink" Target="https://weaponsystems.net/system/171-60mm%2BM224" TargetMode="External"/><Relationship Id="rId138" Type="http://schemas.openxmlformats.org/officeDocument/2006/relationships/hyperlink" Target="https://en.wikipedia.org/wiki/AGM-158_JASSM" TargetMode="External"/><Relationship Id="rId191" Type="http://schemas.openxmlformats.org/officeDocument/2006/relationships/hyperlink" Target="https://en.wikipedia.org/wiki/M230_chain_gun" TargetMode="External"/><Relationship Id="rId205" Type="http://schemas.openxmlformats.org/officeDocument/2006/relationships/hyperlink" Target="https://en.wikipedia.org/wiki/M252_mortar" TargetMode="External"/><Relationship Id="rId247" Type="http://schemas.openxmlformats.org/officeDocument/2006/relationships/hyperlink" Target="https://x.com/HMexperienceDK/status/1827672906635116937" TargetMode="External"/><Relationship Id="rId107" Type="http://schemas.openxmlformats.org/officeDocument/2006/relationships/hyperlink" Target="https://en.wikipedia.org/wiki/General_Dynamics_F-16_Fighting_Falcon_variants" TargetMode="External"/><Relationship Id="rId289" Type="http://schemas.openxmlformats.org/officeDocument/2006/relationships/hyperlink" Target="https://www.youtube.com/watch?v=ThNxRoDbuDE" TargetMode="External"/><Relationship Id="rId11" Type="http://schemas.openxmlformats.org/officeDocument/2006/relationships/hyperlink" Target="https://en.wikipedia.org/wiki/Panzerhaubitze_2000" TargetMode="External"/><Relationship Id="rId53" Type="http://schemas.openxmlformats.org/officeDocument/2006/relationships/hyperlink" Target="https://en.wikipedia.org/wiki/MGM-140_ATACMS" TargetMode="External"/><Relationship Id="rId149" Type="http://schemas.openxmlformats.org/officeDocument/2006/relationships/hyperlink" Target="https://en.wikipedia.org/wiki/MGM-140_ATACMS" TargetMode="External"/><Relationship Id="rId95" Type="http://schemas.openxmlformats.org/officeDocument/2006/relationships/hyperlink" Target="https://en.wikipedia.org/wiki/Storm_Shadow" TargetMode="External"/><Relationship Id="rId160" Type="http://schemas.openxmlformats.org/officeDocument/2006/relationships/hyperlink" Target="https://en.m.wikipedia.org/wiki/Rapid_Dragon_(missile_system)" TargetMode="External"/><Relationship Id="rId216" Type="http://schemas.openxmlformats.org/officeDocument/2006/relationships/hyperlink" Target="https://en.wikipedia.org/wiki/M242_Bushmaster" TargetMode="External"/><Relationship Id="rId258" Type="http://schemas.openxmlformats.org/officeDocument/2006/relationships/hyperlink" Target="https://en.wikipedia.org/wiki/Williams_F107" TargetMode="External"/><Relationship Id="rId22" Type="http://schemas.openxmlformats.org/officeDocument/2006/relationships/hyperlink" Target="https://en.wikipedia.org/wiki/Panzerhaubitze_2000" TargetMode="External"/><Relationship Id="rId64" Type="http://schemas.openxmlformats.org/officeDocument/2006/relationships/hyperlink" Target="https://en.wikipedia.org/wiki/Joint_Direct_Attack_Munition" TargetMode="External"/><Relationship Id="rId118" Type="http://schemas.openxmlformats.org/officeDocument/2006/relationships/hyperlink" Target="https://en.wikipedia.org/wiki/Northrop_B-2_Spirit" TargetMode="External"/><Relationship Id="rId171" Type="http://schemas.openxmlformats.org/officeDocument/2006/relationships/hyperlink" Target="https://en.wikipedia.org/wiki/Gryazev-Shipunov_GSh-30-1" TargetMode="External"/><Relationship Id="rId227" Type="http://schemas.openxmlformats.org/officeDocument/2006/relationships/hyperlink" Target="https://en.wikipedia.org/wiki/Baba_Yaga_(aircraf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zoomScale="152" zoomScaleNormal="152" workbookViewId="0"/>
  </sheetViews>
  <sheetFormatPr defaultRowHeight="14.5" x14ac:dyDescent="0.35"/>
  <cols>
    <col min="1" max="1" width="15.453125" customWidth="1"/>
    <col min="2" max="2" width="26.6328125" customWidth="1"/>
    <col min="3" max="3" width="24.1796875" customWidth="1"/>
    <col min="4" max="4" width="10.453125" customWidth="1"/>
    <col min="5" max="5" width="30.6328125" customWidth="1"/>
    <col min="6" max="6" width="24.90625" customWidth="1"/>
    <col min="7" max="7" width="16" customWidth="1"/>
    <col min="8" max="8" width="11.1796875" customWidth="1"/>
    <col min="9" max="9" width="11.26953125" customWidth="1"/>
    <col min="10" max="10" width="12.453125" customWidth="1"/>
    <col min="11" max="11" width="8.81640625" bestFit="1" customWidth="1"/>
  </cols>
  <sheetData>
    <row r="1" spans="1:13" ht="28.5" x14ac:dyDescent="0.65">
      <c r="A1" s="1" t="s">
        <v>1381</v>
      </c>
    </row>
    <row r="2" spans="1:13" x14ac:dyDescent="0.35">
      <c r="A2" s="437" t="s">
        <v>890</v>
      </c>
    </row>
    <row r="3" spans="1:13" x14ac:dyDescent="0.35">
      <c r="A3" s="459" t="s">
        <v>784</v>
      </c>
      <c r="B3" s="460"/>
      <c r="H3" t="s">
        <v>26</v>
      </c>
      <c r="J3" t="s">
        <v>27</v>
      </c>
      <c r="L3" t="s">
        <v>30</v>
      </c>
      <c r="M3" s="4" t="s">
        <v>31</v>
      </c>
    </row>
    <row r="4" spans="1:13" x14ac:dyDescent="0.35">
      <c r="H4">
        <f>(11+10)/12</f>
        <v>1.75</v>
      </c>
      <c r="J4" t="s">
        <v>28</v>
      </c>
      <c r="K4">
        <v>0.93</v>
      </c>
      <c r="L4" t="s">
        <v>29</v>
      </c>
      <c r="M4" t="s">
        <v>32</v>
      </c>
    </row>
    <row r="5" spans="1:13" ht="24" thickBot="1" x14ac:dyDescent="0.6">
      <c r="B5" s="452" t="s">
        <v>75</v>
      </c>
      <c r="C5" s="452"/>
      <c r="D5" s="452"/>
      <c r="E5" s="451"/>
      <c r="F5" s="451"/>
      <c r="G5" s="451"/>
      <c r="H5" s="451"/>
      <c r="I5" s="451"/>
      <c r="J5" s="451"/>
      <c r="K5" s="451"/>
    </row>
    <row r="6" spans="1:13" ht="15" thickTop="1" x14ac:dyDescent="0.35">
      <c r="B6" s="5"/>
      <c r="C6" s="6" t="s">
        <v>22</v>
      </c>
      <c r="D6" s="6" t="s">
        <v>8</v>
      </c>
      <c r="E6" s="6" t="s">
        <v>64</v>
      </c>
      <c r="F6" s="6" t="s">
        <v>22</v>
      </c>
      <c r="G6" s="6" t="s">
        <v>66</v>
      </c>
      <c r="H6" s="6" t="s">
        <v>8</v>
      </c>
      <c r="I6" s="6" t="s">
        <v>8</v>
      </c>
      <c r="J6" s="15" t="s">
        <v>23</v>
      </c>
      <c r="K6" s="39" t="s">
        <v>69</v>
      </c>
    </row>
    <row r="7" spans="1:13" ht="15" thickBot="1" x14ac:dyDescent="0.4">
      <c r="B7" s="17"/>
      <c r="C7" s="18" t="s">
        <v>63</v>
      </c>
      <c r="D7" s="18" t="s">
        <v>74</v>
      </c>
      <c r="E7" s="18" t="s">
        <v>15</v>
      </c>
      <c r="F7" s="18" t="s">
        <v>65</v>
      </c>
      <c r="G7" s="18" t="s">
        <v>20</v>
      </c>
      <c r="H7" s="18" t="s">
        <v>67</v>
      </c>
      <c r="I7" s="18" t="s">
        <v>72</v>
      </c>
      <c r="J7" s="13" t="s">
        <v>55</v>
      </c>
      <c r="K7" s="40" t="s">
        <v>33</v>
      </c>
    </row>
    <row r="8" spans="1:13" ht="15" thickTop="1" x14ac:dyDescent="0.35">
      <c r="B8" s="65" t="s">
        <v>41</v>
      </c>
      <c r="C8" s="42" t="s">
        <v>34</v>
      </c>
      <c r="D8" s="42"/>
      <c r="E8" s="8">
        <v>84.9</v>
      </c>
      <c r="F8" s="8">
        <v>0</v>
      </c>
      <c r="G8" s="8">
        <f>E8+F8</f>
        <v>84.9</v>
      </c>
      <c r="H8" s="8">
        <f>G8/H$4</f>
        <v>48.51428571428572</v>
      </c>
      <c r="I8" s="8">
        <f t="shared" ref="I8:I31" si="0">H8*(1/K$4)</f>
        <v>52.165898617511523</v>
      </c>
      <c r="J8" s="16">
        <v>19350</v>
      </c>
      <c r="K8" s="66">
        <f t="shared" ref="K8:K13" si="1">I8/J8</f>
        <v>2.6959120732564096E-3</v>
      </c>
    </row>
    <row r="9" spans="1:13" x14ac:dyDescent="0.35">
      <c r="B9" s="7" t="s">
        <v>56</v>
      </c>
      <c r="C9" s="9">
        <f>SUM(C13:C26)</f>
        <v>44.000000000000007</v>
      </c>
      <c r="D9" s="9">
        <f>(C9*(1/K$4))/H$4</f>
        <v>27.035330261136718</v>
      </c>
      <c r="E9" s="8">
        <f>SUM(E13:E26)</f>
        <v>77.979999999999961</v>
      </c>
      <c r="F9" s="8">
        <f>SUM(F13:F26)</f>
        <v>43.680000000000007</v>
      </c>
      <c r="G9" s="8">
        <f t="shared" ref="G9:G26" si="2">E9+F9</f>
        <v>121.65999999999997</v>
      </c>
      <c r="H9" s="8">
        <f t="shared" ref="H9:H27" si="3">G9/H$4</f>
        <v>69.519999999999982</v>
      </c>
      <c r="I9" s="8">
        <f t="shared" si="0"/>
        <v>74.75268817204298</v>
      </c>
      <c r="J9" s="16">
        <f>SUM(J13:J26)</f>
        <v>23029</v>
      </c>
      <c r="K9" s="41">
        <f t="shared" si="1"/>
        <v>3.2460240640949664E-3</v>
      </c>
    </row>
    <row r="10" spans="1:13" x14ac:dyDescent="0.35">
      <c r="B10" s="10" t="s">
        <v>71</v>
      </c>
      <c r="C10" s="12">
        <f>SUM(C8:C9)</f>
        <v>44.000000000000007</v>
      </c>
      <c r="D10" s="12">
        <f t="shared" ref="D10:D27" si="4">(C10*(1/K$4))/H$4</f>
        <v>27.035330261136718</v>
      </c>
      <c r="E10" s="11">
        <f>SUM(E8:E9)</f>
        <v>162.87999999999997</v>
      </c>
      <c r="F10" s="11">
        <f>SUM(F8:F9)</f>
        <v>43.680000000000007</v>
      </c>
      <c r="G10" s="11">
        <f t="shared" si="2"/>
        <v>206.55999999999997</v>
      </c>
      <c r="H10" s="11">
        <f>G10/H$4</f>
        <v>118.0342857142857</v>
      </c>
      <c r="I10" s="11">
        <f t="shared" si="0"/>
        <v>126.91858678955451</v>
      </c>
      <c r="J10" s="16">
        <f>SUM(J8:J9)</f>
        <v>42379</v>
      </c>
      <c r="K10" s="41">
        <f t="shared" si="1"/>
        <v>2.9948461924432976E-3</v>
      </c>
    </row>
    <row r="11" spans="1:13" x14ac:dyDescent="0.35">
      <c r="B11" s="10" t="s">
        <v>77</v>
      </c>
      <c r="C11" s="12">
        <v>43.9</v>
      </c>
      <c r="D11" s="12">
        <f t="shared" si="4"/>
        <v>26.973886328725037</v>
      </c>
      <c r="E11" s="11">
        <v>71.400000000000006</v>
      </c>
      <c r="F11" s="11">
        <v>0</v>
      </c>
      <c r="G11" s="11">
        <f t="shared" si="2"/>
        <v>71.400000000000006</v>
      </c>
      <c r="H11" s="11">
        <f t="shared" si="3"/>
        <v>40.800000000000004</v>
      </c>
      <c r="I11" s="11">
        <f t="shared" si="0"/>
        <v>43.870967741935488</v>
      </c>
      <c r="J11" s="16">
        <v>25440</v>
      </c>
      <c r="K11" s="41">
        <f t="shared" si="1"/>
        <v>1.7244877257050113E-3</v>
      </c>
    </row>
    <row r="12" spans="1:13" x14ac:dyDescent="0.35">
      <c r="B12" s="10" t="s">
        <v>73</v>
      </c>
      <c r="C12" s="43">
        <f>SUM(C10:C11)</f>
        <v>87.9</v>
      </c>
      <c r="D12" s="43">
        <f t="shared" si="4"/>
        <v>54.009216589861751</v>
      </c>
      <c r="E12" s="43">
        <f t="shared" ref="E12:G12" si="5">SUM(E10:E11)</f>
        <v>234.27999999999997</v>
      </c>
      <c r="F12" s="43">
        <f t="shared" si="5"/>
        <v>43.680000000000007</v>
      </c>
      <c r="G12" s="43">
        <f t="shared" si="5"/>
        <v>277.95999999999998</v>
      </c>
      <c r="H12" s="46">
        <f t="shared" si="3"/>
        <v>158.8342857142857</v>
      </c>
      <c r="I12" s="46">
        <f t="shared" si="0"/>
        <v>170.78955453148998</v>
      </c>
      <c r="J12" s="44">
        <f>SUM(J10:J11)</f>
        <v>67819</v>
      </c>
      <c r="K12" s="45">
        <f t="shared" si="1"/>
        <v>2.5183142560564146E-3</v>
      </c>
    </row>
    <row r="13" spans="1:13" x14ac:dyDescent="0.35">
      <c r="B13" s="65" t="s">
        <v>1</v>
      </c>
      <c r="C13" s="9">
        <v>17.100000000000001</v>
      </c>
      <c r="D13" s="9">
        <f t="shared" si="4"/>
        <v>10.506912442396313</v>
      </c>
      <c r="E13" s="8">
        <v>21</v>
      </c>
      <c r="F13" s="8">
        <v>13.9</v>
      </c>
      <c r="G13" s="8">
        <f t="shared" si="2"/>
        <v>34.9</v>
      </c>
      <c r="H13" s="8">
        <f t="shared" si="3"/>
        <v>19.942857142857143</v>
      </c>
      <c r="I13" s="8">
        <f t="shared" si="0"/>
        <v>21.443932411674346</v>
      </c>
      <c r="J13" s="16">
        <v>4082</v>
      </c>
      <c r="K13" s="66">
        <f t="shared" si="1"/>
        <v>5.2532906447021917E-3</v>
      </c>
    </row>
    <row r="14" spans="1:13" x14ac:dyDescent="0.35">
      <c r="B14" s="65" t="s">
        <v>78</v>
      </c>
      <c r="C14" s="9">
        <v>6.6</v>
      </c>
      <c r="D14" s="9">
        <f t="shared" si="4"/>
        <v>4.0552995391705062</v>
      </c>
      <c r="E14" s="8">
        <v>13.3</v>
      </c>
      <c r="F14" s="8">
        <v>1.04</v>
      </c>
      <c r="G14" s="8">
        <f t="shared" si="2"/>
        <v>14.34</v>
      </c>
      <c r="H14" s="8">
        <f t="shared" si="3"/>
        <v>8.194285714285714</v>
      </c>
      <c r="I14" s="8">
        <f t="shared" si="0"/>
        <v>8.8110599078340996</v>
      </c>
      <c r="J14" s="16">
        <v>3089</v>
      </c>
      <c r="K14" s="66">
        <f t="shared" ref="K14:K29" si="6">I14/J14</f>
        <v>2.8523988047374879E-3</v>
      </c>
    </row>
    <row r="15" spans="1:13" x14ac:dyDescent="0.35">
      <c r="B15" s="65" t="s">
        <v>4</v>
      </c>
      <c r="C15" s="9">
        <v>3.6</v>
      </c>
      <c r="D15" s="9">
        <f t="shared" si="4"/>
        <v>2.2119815668202762</v>
      </c>
      <c r="E15" s="8">
        <v>7.3</v>
      </c>
      <c r="F15" s="8">
        <v>0.73</v>
      </c>
      <c r="G15" s="8">
        <f t="shared" si="2"/>
        <v>8.0299999999999994</v>
      </c>
      <c r="H15" s="8">
        <f>G15/H$4</f>
        <v>4.5885714285714281</v>
      </c>
      <c r="I15" s="8">
        <f t="shared" si="0"/>
        <v>4.933947772657449</v>
      </c>
      <c r="J15" s="16">
        <v>579</v>
      </c>
      <c r="K15" s="66">
        <f t="shared" si="6"/>
        <v>8.5214987437952482E-3</v>
      </c>
    </row>
    <row r="16" spans="1:13" x14ac:dyDescent="0.35">
      <c r="B16" s="7" t="s">
        <v>11</v>
      </c>
      <c r="C16" s="9">
        <v>0</v>
      </c>
      <c r="D16" s="9">
        <f t="shared" si="4"/>
        <v>0</v>
      </c>
      <c r="E16" s="8">
        <v>6.8</v>
      </c>
      <c r="F16" s="8">
        <v>0</v>
      </c>
      <c r="G16" s="8">
        <f t="shared" si="2"/>
        <v>6.8</v>
      </c>
      <c r="H16" s="8">
        <f t="shared" si="3"/>
        <v>3.8857142857142857</v>
      </c>
      <c r="I16" s="8">
        <f t="shared" si="0"/>
        <v>4.1781874039938556</v>
      </c>
      <c r="J16" s="16">
        <v>4232</v>
      </c>
      <c r="K16" s="41">
        <f t="shared" si="6"/>
        <v>9.8728435822161053E-4</v>
      </c>
    </row>
    <row r="17" spans="2:11" x14ac:dyDescent="0.35">
      <c r="B17" s="7" t="s">
        <v>12</v>
      </c>
      <c r="C17" s="9">
        <v>2.1</v>
      </c>
      <c r="D17" s="9">
        <f t="shared" si="4"/>
        <v>1.2903225806451613</v>
      </c>
      <c r="E17" s="8">
        <v>6</v>
      </c>
      <c r="F17" s="8">
        <v>0</v>
      </c>
      <c r="G17" s="8">
        <f t="shared" si="2"/>
        <v>6</v>
      </c>
      <c r="H17" s="8">
        <f t="shared" si="3"/>
        <v>3.4285714285714284</v>
      </c>
      <c r="I17" s="8">
        <f t="shared" si="0"/>
        <v>3.6866359447004604</v>
      </c>
      <c r="J17" s="16">
        <v>2138</v>
      </c>
      <c r="K17" s="41">
        <f t="shared" si="6"/>
        <v>1.7243386083725259E-3</v>
      </c>
    </row>
    <row r="18" spans="2:11" x14ac:dyDescent="0.35">
      <c r="B18" s="65" t="s">
        <v>3</v>
      </c>
      <c r="C18" s="9">
        <v>3</v>
      </c>
      <c r="D18" s="9">
        <f t="shared" si="4"/>
        <v>1.8433179723502302</v>
      </c>
      <c r="E18" s="8">
        <v>4.3</v>
      </c>
      <c r="F18" s="8">
        <v>15.65</v>
      </c>
      <c r="G18" s="8">
        <f t="shared" si="2"/>
        <v>19.95</v>
      </c>
      <c r="H18" s="8">
        <f t="shared" si="3"/>
        <v>11.4</v>
      </c>
      <c r="I18" s="8">
        <f t="shared" si="0"/>
        <v>12.258064516129032</v>
      </c>
      <c r="J18" s="16">
        <v>688</v>
      </c>
      <c r="K18" s="66">
        <f t="shared" si="6"/>
        <v>1.781695423855964E-2</v>
      </c>
    </row>
    <row r="19" spans="2:11" x14ac:dyDescent="0.35">
      <c r="B19" s="65" t="s">
        <v>19</v>
      </c>
      <c r="C19" s="9">
        <v>2.5</v>
      </c>
      <c r="D19" s="9">
        <f t="shared" si="4"/>
        <v>1.5360983102918586</v>
      </c>
      <c r="E19" s="8">
        <v>4.0999999999999996</v>
      </c>
      <c r="F19" s="8">
        <v>1.03</v>
      </c>
      <c r="G19" s="8">
        <f t="shared" si="2"/>
        <v>5.13</v>
      </c>
      <c r="H19" s="8">
        <f t="shared" si="3"/>
        <v>2.9314285714285715</v>
      </c>
      <c r="I19" s="8">
        <f t="shared" si="0"/>
        <v>3.1520737327188937</v>
      </c>
      <c r="J19" s="16">
        <v>1009</v>
      </c>
      <c r="K19" s="66">
        <f t="shared" si="6"/>
        <v>3.1239581097313117E-3</v>
      </c>
    </row>
    <row r="20" spans="2:11" x14ac:dyDescent="0.35">
      <c r="B20" s="65" t="s">
        <v>5</v>
      </c>
      <c r="C20" s="9">
        <v>3.5</v>
      </c>
      <c r="D20" s="9">
        <f t="shared" si="4"/>
        <v>2.150537634408602</v>
      </c>
      <c r="E20" s="8">
        <v>3.9</v>
      </c>
      <c r="F20" s="8">
        <v>0.49</v>
      </c>
      <c r="G20" s="8">
        <f t="shared" si="2"/>
        <v>4.3899999999999997</v>
      </c>
      <c r="H20" s="8">
        <f>G20/H$4</f>
        <v>2.5085714285714285</v>
      </c>
      <c r="I20" s="8">
        <f t="shared" si="0"/>
        <v>2.6973886328725034</v>
      </c>
      <c r="J20" s="16">
        <v>400</v>
      </c>
      <c r="K20" s="66">
        <f t="shared" si="6"/>
        <v>6.7434715821812589E-3</v>
      </c>
    </row>
    <row r="21" spans="2:11" x14ac:dyDescent="0.35">
      <c r="B21" s="65" t="s">
        <v>6</v>
      </c>
      <c r="C21" s="9">
        <v>1.9</v>
      </c>
      <c r="D21" s="9">
        <f t="shared" si="4"/>
        <v>1.1674347158218126</v>
      </c>
      <c r="E21" s="8">
        <v>2.8</v>
      </c>
      <c r="F21" s="8">
        <v>0.59</v>
      </c>
      <c r="G21" s="8">
        <f t="shared" si="2"/>
        <v>3.3899999999999997</v>
      </c>
      <c r="H21" s="8">
        <f t="shared" si="3"/>
        <v>1.9371428571428571</v>
      </c>
      <c r="I21" s="8">
        <f t="shared" si="0"/>
        <v>2.0829493087557602</v>
      </c>
      <c r="J21" s="16">
        <v>591</v>
      </c>
      <c r="K21" s="66">
        <f t="shared" si="6"/>
        <v>3.524448914984366E-3</v>
      </c>
    </row>
    <row r="22" spans="2:11" x14ac:dyDescent="0.35">
      <c r="B22" s="7" t="s">
        <v>13</v>
      </c>
      <c r="C22" s="9">
        <v>0</v>
      </c>
      <c r="D22" s="9">
        <f t="shared" si="4"/>
        <v>0</v>
      </c>
      <c r="E22" s="8">
        <v>2.2999999999999998</v>
      </c>
      <c r="F22" s="8">
        <v>1.5</v>
      </c>
      <c r="G22" s="8">
        <f t="shared" si="2"/>
        <v>3.8</v>
      </c>
      <c r="H22" s="8">
        <f t="shared" si="3"/>
        <v>2.1714285714285713</v>
      </c>
      <c r="I22" s="8">
        <f t="shared" si="0"/>
        <v>2.3348694316436247</v>
      </c>
      <c r="J22" s="16">
        <v>818</v>
      </c>
      <c r="K22" s="41">
        <f t="shared" si="6"/>
        <v>2.8543636083662892E-3</v>
      </c>
    </row>
    <row r="23" spans="2:11" x14ac:dyDescent="0.35">
      <c r="B23" s="7" t="s">
        <v>79</v>
      </c>
      <c r="C23" s="9">
        <v>0.5</v>
      </c>
      <c r="D23" s="9">
        <f t="shared" si="4"/>
        <v>0.3072196620583717</v>
      </c>
      <c r="E23" s="8">
        <v>1.71</v>
      </c>
      <c r="F23" s="8">
        <v>3.03</v>
      </c>
      <c r="G23" s="8">
        <f t="shared" si="2"/>
        <v>4.74</v>
      </c>
      <c r="H23" s="8">
        <f t="shared" si="3"/>
        <v>2.7085714285714286</v>
      </c>
      <c r="I23" s="8">
        <f t="shared" si="0"/>
        <v>2.9124423963133639</v>
      </c>
      <c r="J23" s="16">
        <v>2779</v>
      </c>
      <c r="K23" s="41">
        <f t="shared" si="6"/>
        <v>1.0480181346935458E-3</v>
      </c>
    </row>
    <row r="24" spans="2:11" x14ac:dyDescent="0.35">
      <c r="B24" s="65" t="s">
        <v>16</v>
      </c>
      <c r="C24" s="9">
        <v>1.4</v>
      </c>
      <c r="D24" s="9">
        <f t="shared" si="4"/>
        <v>0.86021505376344076</v>
      </c>
      <c r="E24" s="8">
        <v>1.66</v>
      </c>
      <c r="F24" s="8">
        <v>0.37</v>
      </c>
      <c r="G24" s="8">
        <f t="shared" si="2"/>
        <v>2.0299999999999998</v>
      </c>
      <c r="H24" s="8">
        <f t="shared" si="3"/>
        <v>1.1599999999999999</v>
      </c>
      <c r="I24" s="8">
        <f t="shared" si="0"/>
        <v>1.247311827956989</v>
      </c>
      <c r="J24" s="16">
        <v>283</v>
      </c>
      <c r="K24" s="66">
        <f t="shared" si="6"/>
        <v>4.4074622896006681E-3</v>
      </c>
    </row>
    <row r="25" spans="2:11" x14ac:dyDescent="0.35">
      <c r="B25" s="65" t="s">
        <v>17</v>
      </c>
      <c r="C25" s="9">
        <v>1.1000000000000001</v>
      </c>
      <c r="D25" s="9">
        <f t="shared" si="4"/>
        <v>0.67588325652841785</v>
      </c>
      <c r="E25" s="8">
        <v>1.49</v>
      </c>
      <c r="F25">
        <v>3.85</v>
      </c>
      <c r="G25" s="8">
        <f t="shared" si="2"/>
        <v>5.34</v>
      </c>
      <c r="H25" s="8">
        <f t="shared" si="3"/>
        <v>3.0514285714285712</v>
      </c>
      <c r="I25" s="8">
        <f t="shared" si="0"/>
        <v>3.2811059907834097</v>
      </c>
      <c r="J25" s="16">
        <v>291</v>
      </c>
      <c r="K25" s="66">
        <f t="shared" si="6"/>
        <v>1.1275278318843332E-2</v>
      </c>
    </row>
    <row r="26" spans="2:11" x14ac:dyDescent="0.35">
      <c r="B26" s="7" t="s">
        <v>18</v>
      </c>
      <c r="C26" s="9">
        <v>0.7</v>
      </c>
      <c r="D26" s="9">
        <f t="shared" si="4"/>
        <v>0.43010752688172038</v>
      </c>
      <c r="E26" s="8">
        <v>1.32</v>
      </c>
      <c r="F26" s="8">
        <v>1.5</v>
      </c>
      <c r="G26" s="8">
        <f t="shared" si="2"/>
        <v>2.8200000000000003</v>
      </c>
      <c r="H26" s="8">
        <f t="shared" si="3"/>
        <v>1.6114285714285717</v>
      </c>
      <c r="I26" s="8">
        <f t="shared" si="0"/>
        <v>1.7327188940092166</v>
      </c>
      <c r="J26" s="16">
        <v>2050</v>
      </c>
      <c r="K26" s="41">
        <f t="shared" si="6"/>
        <v>8.452287287849837E-4</v>
      </c>
    </row>
    <row r="27" spans="2:11" ht="15" thickBot="1" x14ac:dyDescent="0.4">
      <c r="B27" s="65" t="s">
        <v>76</v>
      </c>
      <c r="C27" s="73">
        <f>SUM(C8,C13:C15,C18:C21,C24:C25)</f>
        <v>40.700000000000003</v>
      </c>
      <c r="D27" s="73">
        <f t="shared" si="4"/>
        <v>25.007680491551461</v>
      </c>
      <c r="E27" s="73">
        <f>SUM(E8,E13:E15,E18:E21,E24:E25)</f>
        <v>144.75000000000003</v>
      </c>
      <c r="F27" s="73">
        <f>SUM(F8,F13:F15,F18:F21,F24:F25)</f>
        <v>37.650000000000006</v>
      </c>
      <c r="G27" s="73">
        <f>SUM(G8,G13:G15,G18:G21,G24:G25)</f>
        <v>182.39999999999998</v>
      </c>
      <c r="H27" s="74">
        <f t="shared" si="3"/>
        <v>104.22857142857141</v>
      </c>
      <c r="I27" s="75">
        <f t="shared" si="0"/>
        <v>112.07373271889399</v>
      </c>
      <c r="J27" s="73">
        <f>SUM(J8,J13:J15,J18:J21,J24:J25)-SUM(J13,J18,J20,J21,J24,J25)</f>
        <v>24027</v>
      </c>
      <c r="K27" s="76">
        <f t="shared" si="6"/>
        <v>4.6644913105628669E-3</v>
      </c>
    </row>
    <row r="28" spans="2:11" ht="15.5" thickTop="1" thickBot="1" x14ac:dyDescent="0.4">
      <c r="B28" s="21" t="s">
        <v>46</v>
      </c>
      <c r="C28" s="57"/>
      <c r="D28" s="57"/>
      <c r="E28" s="47" t="s">
        <v>34</v>
      </c>
      <c r="F28" s="47" t="s">
        <v>34</v>
      </c>
      <c r="G28" s="47" t="s">
        <v>34</v>
      </c>
      <c r="H28" s="56">
        <f>160*K4</f>
        <v>148.80000000000001</v>
      </c>
      <c r="I28" s="62">
        <f t="shared" si="0"/>
        <v>160</v>
      </c>
      <c r="J28" s="63">
        <v>2240</v>
      </c>
      <c r="K28" s="64">
        <f t="shared" si="6"/>
        <v>7.1428571428571425E-2</v>
      </c>
    </row>
    <row r="29" spans="2:11" ht="15" thickTop="1" x14ac:dyDescent="0.35">
      <c r="B29" s="15" t="s">
        <v>57</v>
      </c>
      <c r="C29" s="48" t="s">
        <v>34</v>
      </c>
      <c r="D29" s="48"/>
      <c r="E29" s="19"/>
      <c r="F29" s="19"/>
      <c r="G29" s="19"/>
      <c r="H29" s="49">
        <f>44*K4</f>
        <v>40.92</v>
      </c>
      <c r="I29" s="8">
        <f t="shared" si="0"/>
        <v>44</v>
      </c>
      <c r="J29" s="59">
        <v>161</v>
      </c>
      <c r="K29" s="41">
        <f t="shared" si="6"/>
        <v>0.27329192546583853</v>
      </c>
    </row>
    <row r="30" spans="2:11" x14ac:dyDescent="0.35">
      <c r="B30" s="7" t="s">
        <v>58</v>
      </c>
      <c r="C30" s="9">
        <f>C12</f>
        <v>87.9</v>
      </c>
      <c r="D30" s="9">
        <f t="shared" ref="D30" si="7">(C30*(1/K$4))/H$4</f>
        <v>54.009216589861751</v>
      </c>
      <c r="H30" s="9">
        <f>C30/H4</f>
        <v>50.228571428571435</v>
      </c>
      <c r="I30" s="8">
        <f t="shared" si="0"/>
        <v>54.009216589861758</v>
      </c>
      <c r="J30" s="51"/>
      <c r="K30" s="25"/>
    </row>
    <row r="31" spans="2:11" ht="15" thickBot="1" x14ac:dyDescent="0.4">
      <c r="B31" s="13" t="s">
        <v>59</v>
      </c>
      <c r="C31" s="14"/>
      <c r="D31" s="14"/>
      <c r="E31" s="14"/>
      <c r="F31" s="14"/>
      <c r="G31" s="14"/>
      <c r="H31" s="55">
        <f>SUM(H29:H30)</f>
        <v>91.148571428571444</v>
      </c>
      <c r="I31" s="61">
        <f t="shared" si="0"/>
        <v>98.009216589861765</v>
      </c>
      <c r="J31" s="17"/>
      <c r="K31" s="28"/>
    </row>
    <row r="32" spans="2:11" ht="15.5" thickTop="1" thickBot="1" x14ac:dyDescent="0.4">
      <c r="B32" s="21" t="s">
        <v>80</v>
      </c>
      <c r="C32" s="22"/>
      <c r="D32" s="22"/>
      <c r="E32" s="22"/>
      <c r="F32" s="22"/>
      <c r="G32" s="22"/>
      <c r="H32" s="22"/>
      <c r="I32" s="56">
        <f>I31-D11</f>
        <v>71.035330261136721</v>
      </c>
      <c r="J32" s="78"/>
      <c r="K32" s="77"/>
    </row>
    <row r="33" spans="2:11" ht="15" thickTop="1" x14ac:dyDescent="0.35"/>
    <row r="35" spans="2:11" ht="15" thickBot="1" x14ac:dyDescent="0.4">
      <c r="B35" s="3" t="s">
        <v>21</v>
      </c>
      <c r="C35" s="3"/>
      <c r="D35" s="3"/>
    </row>
    <row r="36" spans="2:11" ht="15" thickTop="1" x14ac:dyDescent="0.35">
      <c r="B36" s="5"/>
      <c r="C36" s="6" t="str">
        <f>C6</f>
        <v>Jan. 24, 2022 to Oct.31 2023</v>
      </c>
      <c r="D36" s="6" t="str">
        <f t="shared" ref="D36:K36" si="8">D6</f>
        <v>Annualized</v>
      </c>
      <c r="E36" s="6" t="str">
        <f t="shared" si="8"/>
        <v>Jan. 24, 2022 to Oct.31 2023, B. EUR</v>
      </c>
      <c r="F36" s="6" t="str">
        <f t="shared" si="8"/>
        <v>Jan. 24, 2022 to Oct.31 2023</v>
      </c>
      <c r="G36" s="6" t="str">
        <f t="shared" si="8"/>
        <v>B. EUR cost of aid</v>
      </c>
      <c r="H36" s="6" t="str">
        <f t="shared" si="8"/>
        <v>Annualized</v>
      </c>
      <c r="I36" s="6" t="str">
        <f t="shared" si="8"/>
        <v>Annualized</v>
      </c>
      <c r="J36" s="15" t="str">
        <f t="shared" si="8"/>
        <v>Latest annual</v>
      </c>
      <c r="K36" s="39" t="str">
        <f t="shared" si="8"/>
        <v xml:space="preserve">Ann. aid </v>
      </c>
    </row>
    <row r="37" spans="2:11" ht="15" thickBot="1" x14ac:dyDescent="0.4">
      <c r="B37" s="17"/>
      <c r="C37" s="18" t="str">
        <f>C7</f>
        <v>Only military aid, B. EUR</v>
      </c>
      <c r="D37" s="18" t="str">
        <f t="shared" ref="D37:K37" si="9">D7</f>
        <v>mil. B. USD</v>
      </c>
      <c r="E37" s="18" t="str">
        <f t="shared" si="9"/>
        <v>Military, financial &amp; humanitary aid</v>
      </c>
      <c r="F37" s="18" t="str">
        <f t="shared" si="9"/>
        <v>Cost of UKR refugees, B. EUR</v>
      </c>
      <c r="G37" s="18" t="str">
        <f t="shared" si="9"/>
        <v>including refugees</v>
      </c>
      <c r="H37" s="18" t="str">
        <f t="shared" si="9"/>
        <v>Total B. EUR</v>
      </c>
      <c r="I37" s="18" t="str">
        <f t="shared" si="9"/>
        <v>Total B. USD</v>
      </c>
      <c r="J37" s="13" t="str">
        <f t="shared" si="9"/>
        <v>GDP in B. USD</v>
      </c>
      <c r="K37" s="40" t="str">
        <f t="shared" si="9"/>
        <v>in % GDP</v>
      </c>
    </row>
    <row r="38" spans="2:11" ht="15" thickTop="1" x14ac:dyDescent="0.35">
      <c r="B38" s="72" t="s">
        <v>0</v>
      </c>
      <c r="C38" s="6"/>
      <c r="D38" s="6"/>
      <c r="E38" s="23" t="s">
        <v>25</v>
      </c>
      <c r="F38" s="23" t="s">
        <v>25</v>
      </c>
      <c r="G38" s="69" t="s">
        <v>24</v>
      </c>
      <c r="H38" s="69" t="s">
        <v>24</v>
      </c>
      <c r="I38" s="69" t="s">
        <v>24</v>
      </c>
      <c r="J38" s="29" t="s">
        <v>70</v>
      </c>
      <c r="K38" s="24" t="s">
        <v>35</v>
      </c>
    </row>
    <row r="39" spans="2:11" x14ac:dyDescent="0.35">
      <c r="B39" s="7" t="s">
        <v>9</v>
      </c>
      <c r="C39" s="70" t="s">
        <v>24</v>
      </c>
      <c r="D39" s="70"/>
      <c r="E39" s="70" t="s">
        <v>24</v>
      </c>
      <c r="F39" s="70" t="s">
        <v>24</v>
      </c>
      <c r="G39" s="70" t="s">
        <v>24</v>
      </c>
      <c r="H39" s="70" t="s">
        <v>24</v>
      </c>
      <c r="I39" s="70" t="s">
        <v>24</v>
      </c>
      <c r="J39" s="30" t="s">
        <v>35</v>
      </c>
      <c r="K39" s="25" t="s">
        <v>35</v>
      </c>
    </row>
    <row r="40" spans="2:11" x14ac:dyDescent="0.35">
      <c r="B40" s="10" t="s">
        <v>10</v>
      </c>
      <c r="C40" s="71" t="s">
        <v>24</v>
      </c>
      <c r="D40" s="71"/>
      <c r="E40" s="71" t="s">
        <v>24</v>
      </c>
      <c r="F40" s="71" t="s">
        <v>24</v>
      </c>
      <c r="G40" s="71" t="s">
        <v>24</v>
      </c>
      <c r="H40" s="71" t="s">
        <v>24</v>
      </c>
      <c r="I40" s="71" t="s">
        <v>24</v>
      </c>
      <c r="J40" s="35" t="s">
        <v>35</v>
      </c>
      <c r="K40" s="36" t="s">
        <v>35</v>
      </c>
    </row>
    <row r="41" spans="2:11" x14ac:dyDescent="0.35">
      <c r="B41" s="10" t="s">
        <v>7</v>
      </c>
      <c r="C41" s="34" t="s">
        <v>25</v>
      </c>
      <c r="D41" s="34"/>
      <c r="E41" s="37" t="s">
        <v>25</v>
      </c>
      <c r="F41" s="37" t="s">
        <v>25</v>
      </c>
      <c r="G41" s="71" t="s">
        <v>24</v>
      </c>
      <c r="H41" s="71" t="s">
        <v>24</v>
      </c>
      <c r="I41" s="71" t="s">
        <v>24</v>
      </c>
      <c r="J41" s="38" t="s">
        <v>36</v>
      </c>
      <c r="K41" s="36" t="s">
        <v>35</v>
      </c>
    </row>
    <row r="42" spans="2:11" x14ac:dyDescent="0.35">
      <c r="B42" s="65" t="s">
        <v>1</v>
      </c>
      <c r="C42" s="20" t="s">
        <v>25</v>
      </c>
      <c r="D42" s="20"/>
      <c r="E42" s="26" t="s">
        <v>25</v>
      </c>
      <c r="F42" s="26" t="s">
        <v>25</v>
      </c>
      <c r="G42" s="70" t="s">
        <v>24</v>
      </c>
      <c r="H42" s="70" t="s">
        <v>24</v>
      </c>
      <c r="I42" s="70" t="s">
        <v>24</v>
      </c>
      <c r="J42" s="31" t="s">
        <v>37</v>
      </c>
      <c r="K42" s="25" t="s">
        <v>35</v>
      </c>
    </row>
    <row r="43" spans="2:11" x14ac:dyDescent="0.35">
      <c r="B43" s="65" t="s">
        <v>2</v>
      </c>
      <c r="C43" s="20" t="s">
        <v>25</v>
      </c>
      <c r="D43" s="20"/>
      <c r="E43" s="26" t="s">
        <v>25</v>
      </c>
      <c r="F43" s="26" t="s">
        <v>25</v>
      </c>
      <c r="G43" s="70" t="s">
        <v>24</v>
      </c>
      <c r="H43" s="70" t="s">
        <v>24</v>
      </c>
      <c r="I43" s="70" t="s">
        <v>24</v>
      </c>
      <c r="J43" s="31" t="s">
        <v>38</v>
      </c>
      <c r="K43" s="25" t="s">
        <v>35</v>
      </c>
    </row>
    <row r="44" spans="2:11" x14ac:dyDescent="0.35">
      <c r="B44" s="65" t="s">
        <v>4</v>
      </c>
      <c r="C44" s="20" t="s">
        <v>25</v>
      </c>
      <c r="D44" s="20"/>
      <c r="E44" s="26" t="s">
        <v>25</v>
      </c>
      <c r="F44" s="26" t="s">
        <v>25</v>
      </c>
      <c r="G44" s="70" t="s">
        <v>24</v>
      </c>
      <c r="H44" s="70" t="s">
        <v>24</v>
      </c>
      <c r="I44" s="70" t="s">
        <v>24</v>
      </c>
      <c r="J44" s="31" t="s">
        <v>39</v>
      </c>
      <c r="K44" s="25" t="s">
        <v>35</v>
      </c>
    </row>
    <row r="45" spans="2:11" x14ac:dyDescent="0.35">
      <c r="B45" s="7" t="s">
        <v>11</v>
      </c>
      <c r="C45" s="20" t="s">
        <v>25</v>
      </c>
      <c r="D45" s="20"/>
      <c r="E45" s="26" t="s">
        <v>25</v>
      </c>
      <c r="F45" s="26" t="s">
        <v>25</v>
      </c>
      <c r="G45" s="70" t="s">
        <v>24</v>
      </c>
      <c r="H45" s="70" t="s">
        <v>24</v>
      </c>
      <c r="I45" s="70" t="s">
        <v>24</v>
      </c>
      <c r="J45" s="31" t="s">
        <v>40</v>
      </c>
      <c r="K45" s="25" t="s">
        <v>35</v>
      </c>
    </row>
    <row r="46" spans="2:11" x14ac:dyDescent="0.35">
      <c r="B46" s="7" t="s">
        <v>12</v>
      </c>
      <c r="C46" s="20" t="s">
        <v>25</v>
      </c>
      <c r="D46" s="20"/>
      <c r="E46" s="26" t="s">
        <v>25</v>
      </c>
      <c r="F46" s="26" t="s">
        <v>25</v>
      </c>
      <c r="G46" s="70" t="s">
        <v>24</v>
      </c>
      <c r="H46" s="70" t="s">
        <v>24</v>
      </c>
      <c r="I46" s="70" t="s">
        <v>24</v>
      </c>
      <c r="J46" s="31" t="s">
        <v>42</v>
      </c>
      <c r="K46" s="25" t="s">
        <v>35</v>
      </c>
    </row>
    <row r="47" spans="2:11" x14ac:dyDescent="0.35">
      <c r="B47" s="65" t="s">
        <v>3</v>
      </c>
      <c r="C47" s="20" t="s">
        <v>25</v>
      </c>
      <c r="D47" s="20"/>
      <c r="E47" s="26" t="s">
        <v>25</v>
      </c>
      <c r="F47" s="26" t="s">
        <v>25</v>
      </c>
      <c r="G47" s="70" t="s">
        <v>24</v>
      </c>
      <c r="H47" s="70" t="s">
        <v>24</v>
      </c>
      <c r="I47" s="70" t="s">
        <v>24</v>
      </c>
      <c r="J47" s="31" t="s">
        <v>43</v>
      </c>
      <c r="K47" s="25" t="s">
        <v>35</v>
      </c>
    </row>
    <row r="48" spans="2:11" x14ac:dyDescent="0.35">
      <c r="B48" s="65" t="s">
        <v>19</v>
      </c>
      <c r="C48" s="20" t="s">
        <v>25</v>
      </c>
      <c r="D48" s="20"/>
      <c r="E48" s="26" t="s">
        <v>25</v>
      </c>
      <c r="F48" s="26" t="s">
        <v>25</v>
      </c>
      <c r="G48" s="70" t="s">
        <v>24</v>
      </c>
      <c r="H48" s="70" t="s">
        <v>24</v>
      </c>
      <c r="I48" s="70" t="s">
        <v>24</v>
      </c>
      <c r="J48" s="31" t="s">
        <v>44</v>
      </c>
      <c r="K48" s="25" t="s">
        <v>35</v>
      </c>
    </row>
    <row r="49" spans="2:11" x14ac:dyDescent="0.35">
      <c r="B49" s="65" t="s">
        <v>5</v>
      </c>
      <c r="C49" s="20" t="s">
        <v>25</v>
      </c>
      <c r="D49" s="20"/>
      <c r="E49" s="26" t="s">
        <v>25</v>
      </c>
      <c r="F49" s="26" t="s">
        <v>25</v>
      </c>
      <c r="G49" s="70" t="s">
        <v>24</v>
      </c>
      <c r="H49" s="70" t="s">
        <v>24</v>
      </c>
      <c r="I49" s="70" t="s">
        <v>24</v>
      </c>
      <c r="J49" s="31" t="s">
        <v>45</v>
      </c>
      <c r="K49" s="25" t="s">
        <v>35</v>
      </c>
    </row>
    <row r="50" spans="2:11" x14ac:dyDescent="0.35">
      <c r="B50" s="7" t="s">
        <v>6</v>
      </c>
      <c r="C50" s="20" t="s">
        <v>25</v>
      </c>
      <c r="D50" s="20"/>
      <c r="E50" s="26" t="s">
        <v>25</v>
      </c>
      <c r="F50" s="26" t="s">
        <v>25</v>
      </c>
      <c r="G50" s="70" t="s">
        <v>24</v>
      </c>
      <c r="H50" s="70" t="s">
        <v>24</v>
      </c>
      <c r="I50" s="70" t="s">
        <v>24</v>
      </c>
      <c r="J50" s="31" t="s">
        <v>47</v>
      </c>
      <c r="K50" s="25" t="s">
        <v>35</v>
      </c>
    </row>
    <row r="51" spans="2:11" x14ac:dyDescent="0.35">
      <c r="B51" s="7" t="s">
        <v>13</v>
      </c>
      <c r="C51" s="20" t="s">
        <v>25</v>
      </c>
      <c r="D51" s="20"/>
      <c r="E51" s="26" t="s">
        <v>25</v>
      </c>
      <c r="F51" s="26" t="s">
        <v>25</v>
      </c>
      <c r="G51" s="70" t="s">
        <v>24</v>
      </c>
      <c r="H51" s="70" t="s">
        <v>24</v>
      </c>
      <c r="I51" s="70" t="s">
        <v>24</v>
      </c>
      <c r="J51" s="31" t="s">
        <v>48</v>
      </c>
      <c r="K51" s="25" t="s">
        <v>35</v>
      </c>
    </row>
    <row r="52" spans="2:11" x14ac:dyDescent="0.35">
      <c r="B52" s="7" t="s">
        <v>14</v>
      </c>
      <c r="C52" s="20" t="s">
        <v>25</v>
      </c>
      <c r="D52" s="20"/>
      <c r="E52" s="26" t="s">
        <v>25</v>
      </c>
      <c r="F52" s="26" t="s">
        <v>25</v>
      </c>
      <c r="G52" s="70" t="s">
        <v>24</v>
      </c>
      <c r="H52" s="70" t="s">
        <v>24</v>
      </c>
      <c r="I52" s="70" t="s">
        <v>24</v>
      </c>
      <c r="J52" s="31" t="s">
        <v>49</v>
      </c>
      <c r="K52" s="25" t="s">
        <v>35</v>
      </c>
    </row>
    <row r="53" spans="2:11" x14ac:dyDescent="0.35">
      <c r="B53" s="7" t="s">
        <v>16</v>
      </c>
      <c r="C53" s="20" t="s">
        <v>25</v>
      </c>
      <c r="D53" s="20"/>
      <c r="E53" s="26" t="s">
        <v>25</v>
      </c>
      <c r="F53" s="26" t="s">
        <v>25</v>
      </c>
      <c r="G53" s="70" t="s">
        <v>24</v>
      </c>
      <c r="H53" s="70" t="s">
        <v>24</v>
      </c>
      <c r="I53" s="70" t="s">
        <v>24</v>
      </c>
      <c r="J53" s="31" t="s">
        <v>50</v>
      </c>
      <c r="K53" s="25" t="s">
        <v>35</v>
      </c>
    </row>
    <row r="54" spans="2:11" x14ac:dyDescent="0.35">
      <c r="B54" s="7" t="s">
        <v>17</v>
      </c>
      <c r="C54" s="20" t="s">
        <v>25</v>
      </c>
      <c r="D54" s="20"/>
      <c r="E54" s="26" t="s">
        <v>25</v>
      </c>
      <c r="F54" s="26" t="s">
        <v>25</v>
      </c>
      <c r="G54" s="70" t="s">
        <v>24</v>
      </c>
      <c r="H54" s="70" t="s">
        <v>24</v>
      </c>
      <c r="I54" s="70" t="s">
        <v>24</v>
      </c>
      <c r="J54" s="31" t="s">
        <v>51</v>
      </c>
      <c r="K54" s="25" t="s">
        <v>35</v>
      </c>
    </row>
    <row r="55" spans="2:11" ht="15" thickBot="1" x14ac:dyDescent="0.4">
      <c r="B55" s="13" t="s">
        <v>18</v>
      </c>
      <c r="C55" s="20" t="s">
        <v>25</v>
      </c>
      <c r="D55" s="20"/>
      <c r="E55" s="27" t="s">
        <v>25</v>
      </c>
      <c r="F55" s="27" t="s">
        <v>25</v>
      </c>
      <c r="G55" s="68" t="s">
        <v>24</v>
      </c>
      <c r="H55" s="68" t="s">
        <v>24</v>
      </c>
      <c r="I55" s="68" t="s">
        <v>24</v>
      </c>
      <c r="J55" s="32" t="s">
        <v>52</v>
      </c>
      <c r="K55" s="28" t="s">
        <v>35</v>
      </c>
    </row>
    <row r="56" spans="2:11" ht="15.5" thickTop="1" thickBot="1" x14ac:dyDescent="0.4">
      <c r="B56" s="65" t="s">
        <v>76</v>
      </c>
      <c r="C56" s="68" t="s">
        <v>24</v>
      </c>
      <c r="D56" s="68" t="s">
        <v>24</v>
      </c>
      <c r="E56" s="68" t="s">
        <v>24</v>
      </c>
      <c r="F56" s="68" t="s">
        <v>24</v>
      </c>
      <c r="G56" s="68" t="s">
        <v>24</v>
      </c>
      <c r="H56" s="68" t="s">
        <v>24</v>
      </c>
      <c r="I56" s="68" t="s">
        <v>24</v>
      </c>
      <c r="J56" s="67" t="s">
        <v>35</v>
      </c>
      <c r="K56" s="28" t="s">
        <v>35</v>
      </c>
    </row>
    <row r="57" spans="2:11" ht="15.5" thickTop="1" thickBot="1" x14ac:dyDescent="0.4">
      <c r="B57" s="21" t="s">
        <v>46</v>
      </c>
      <c r="C57" s="33" t="s">
        <v>53</v>
      </c>
      <c r="D57" s="33"/>
      <c r="E57" s="22" t="s">
        <v>34</v>
      </c>
      <c r="F57" s="22"/>
      <c r="G57" s="22"/>
      <c r="H57" s="54" t="s">
        <v>62</v>
      </c>
      <c r="I57" s="54"/>
      <c r="J57" s="60" t="s">
        <v>54</v>
      </c>
      <c r="K57" s="28" t="s">
        <v>35</v>
      </c>
    </row>
    <row r="58" spans="2:11" ht="15" thickTop="1" x14ac:dyDescent="0.35">
      <c r="B58" s="15" t="s">
        <v>57</v>
      </c>
      <c r="C58" s="48"/>
      <c r="D58" s="48"/>
      <c r="E58" s="19"/>
      <c r="F58" s="19"/>
      <c r="G58" s="19"/>
      <c r="H58" s="52" t="s">
        <v>60</v>
      </c>
      <c r="I58" s="52"/>
      <c r="J58" s="29" t="s">
        <v>68</v>
      </c>
      <c r="K58" s="24" t="s">
        <v>35</v>
      </c>
    </row>
    <row r="59" spans="2:11" x14ac:dyDescent="0.35">
      <c r="B59" s="7" t="s">
        <v>58</v>
      </c>
      <c r="C59" s="58" t="s">
        <v>61</v>
      </c>
      <c r="D59" s="58" t="s">
        <v>35</v>
      </c>
      <c r="H59" s="53" t="s">
        <v>35</v>
      </c>
      <c r="I59" s="53"/>
      <c r="J59" s="51" t="s">
        <v>34</v>
      </c>
      <c r="K59" s="25"/>
    </row>
    <row r="60" spans="2:11" ht="15" thickBot="1" x14ac:dyDescent="0.4">
      <c r="B60" s="13" t="s">
        <v>59</v>
      </c>
      <c r="C60" s="14"/>
      <c r="D60" s="14"/>
      <c r="E60" s="14"/>
      <c r="F60" s="14"/>
      <c r="G60" s="14"/>
      <c r="H60" s="50" t="s">
        <v>35</v>
      </c>
      <c r="I60" s="50"/>
      <c r="J60" s="17"/>
      <c r="K60" s="28"/>
    </row>
    <row r="61" spans="2:11" ht="15" thickTop="1" x14ac:dyDescent="0.35"/>
  </sheetData>
  <hyperlinks>
    <hyperlink ref="E38" r:id="rId1" xr:uid="{C53CBA6F-AB57-4D46-B843-83F696AA224C}"/>
    <hyperlink ref="F38" r:id="rId2" xr:uid="{381463F3-93AF-4B73-BAC4-B3DF9AB19950}"/>
    <hyperlink ref="E41" r:id="rId3" xr:uid="{43B80D13-A428-494F-B1AC-1CBFA419E2AB}"/>
    <hyperlink ref="F41" r:id="rId4" xr:uid="{1BA59BEA-87F1-4147-9BDF-89A118EB2C50}"/>
    <hyperlink ref="E42:E55" r:id="rId5" display="https://www.ifw-kiel.de/topics/war-against-ukraine/ukraine-support-tracker/" xr:uid="{CF121361-B350-4C1C-8D2D-AD7066942F6D}"/>
    <hyperlink ref="F42:F55" r:id="rId6" display="https://www.ifw-kiel.de/topics/war-against-ukraine/ukraine-support-tracker/" xr:uid="{6DF7C0F7-C4E5-499D-8DD6-B598BB4799E7}"/>
    <hyperlink ref="F55" r:id="rId7" xr:uid="{2FF52A1B-D3F6-42F3-A4AF-C2960EC559B9}"/>
    <hyperlink ref="M3" r:id="rId8" xr:uid="{380927E2-0A4B-4A00-ABDD-75D91CF6FD06}"/>
    <hyperlink ref="J41" r:id="rId9" xr:uid="{1699FD11-969B-482F-A97D-565F240DA15E}"/>
    <hyperlink ref="J42" r:id="rId10" xr:uid="{71B1E3F3-47D1-4852-8143-FF2C86C07E25}"/>
    <hyperlink ref="J43" r:id="rId11" xr:uid="{EB9E93D5-C319-4E8F-9DA1-530523589AB3}"/>
    <hyperlink ref="J44" r:id="rId12" xr:uid="{5C35BDDB-4E45-4A78-9273-5737121F3F8F}"/>
    <hyperlink ref="J45" r:id="rId13" xr:uid="{72331938-4162-4E7C-B055-6296F78166C9}"/>
    <hyperlink ref="J46" r:id="rId14" xr:uid="{C0519665-F6E4-4C2C-BC2F-4549FCAE1A2F}"/>
    <hyperlink ref="J47" r:id="rId15" xr:uid="{BAE2FAFF-8A15-40D4-BF5A-AC4B2161A512}"/>
    <hyperlink ref="J48" r:id="rId16" xr:uid="{A5EAD438-7758-4367-9FE8-CFF9A33C3018}"/>
    <hyperlink ref="J49" r:id="rId17" xr:uid="{D53E14E4-C9C8-4952-AE1C-A299EA028C6F}"/>
    <hyperlink ref="J50" r:id="rId18" xr:uid="{4B888A37-6862-46F6-B62D-E93879C0DE6E}"/>
    <hyperlink ref="J51" r:id="rId19" xr:uid="{6A33CF34-2919-4255-A2D2-9BAD3B69479A}"/>
    <hyperlink ref="J52" r:id="rId20" xr:uid="{10B604DE-3216-4585-BA77-5723760DA247}"/>
    <hyperlink ref="J53" r:id="rId21" xr:uid="{2897ECC8-5919-4293-9806-85B2810CCDE4}"/>
    <hyperlink ref="J54" r:id="rId22" xr:uid="{877FB08D-61EE-4E83-8553-337637574B99}"/>
    <hyperlink ref="J55" r:id="rId23" xr:uid="{B2D7AB37-7C5C-4F59-9BA6-39A0927CBA24}"/>
    <hyperlink ref="C57" r:id="rId24" xr:uid="{BB5D330E-33EA-4014-A325-DEA59228906C}"/>
    <hyperlink ref="C41" r:id="rId25" xr:uid="{1F85E3F6-6C41-4CC6-A0B6-7EA44DC18307}"/>
    <hyperlink ref="C42:C55" r:id="rId26" display="https://www.ifw-kiel.de/topics/war-against-ukraine/ukraine-support-tracker/" xr:uid="{EC12049E-19F5-492D-8733-0A1DA52CF1B5}"/>
    <hyperlink ref="H58" r:id="rId27" xr:uid="{61FB4EEB-9570-4464-BF6E-731D4B35D860}"/>
    <hyperlink ref="H57" r:id="rId28" xr:uid="{9F1067ED-92FA-4B61-BC6E-50A8D6713DF6}"/>
    <hyperlink ref="J57" r:id="rId29" xr:uid="{3D721CB3-C3A6-4722-8652-2E0D66EBA2DE}"/>
    <hyperlink ref="J58" r:id="rId30" xr:uid="{FEC595D5-0C7E-4F07-9503-11A521888282}"/>
    <hyperlink ref="J38" r:id="rId31" xr:uid="{5D0F0A0F-B341-440B-9DC2-F2C4D7F77320}"/>
  </hyperlinks>
  <pageMargins left="0.7" right="0.7" top="0.75" bottom="0.75" header="0.3" footer="0.3"/>
  <pageSetup paperSize="9" orientation="portrait" horizontalDpi="0" verticalDpi="0"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B5E-CF0C-422E-AA40-D05BC4CCEDC8}">
  <dimension ref="A1:W82"/>
  <sheetViews>
    <sheetView zoomScale="150" zoomScaleNormal="150" workbookViewId="0">
      <pane xSplit="2" ySplit="8" topLeftCell="C9" activePane="bottomRight" state="frozen"/>
      <selection pane="topRight" activeCell="C1" sqref="C1"/>
      <selection pane="bottomLeft" activeCell="A9" sqref="A9"/>
      <selection pane="bottomRight" activeCell="F9" sqref="F9"/>
    </sheetView>
  </sheetViews>
  <sheetFormatPr defaultRowHeight="14.5" x14ac:dyDescent="0.35"/>
  <cols>
    <col min="1" max="1" width="1" customWidth="1"/>
    <col min="2" max="2" width="26.453125" customWidth="1"/>
    <col min="3" max="3" width="19.36328125" customWidth="1"/>
    <col min="4" max="4" width="17.36328125" customWidth="1"/>
    <col min="5" max="5" width="10.453125" customWidth="1"/>
    <col min="6" max="6" width="11.7265625" customWidth="1"/>
    <col min="7" max="7" width="12" customWidth="1"/>
    <col min="8" max="9" width="9.81640625" customWidth="1"/>
    <col min="10" max="10" width="10" customWidth="1"/>
    <col min="11" max="14" width="8.36328125" customWidth="1"/>
    <col min="15" max="15" width="8.7265625" customWidth="1"/>
    <col min="16" max="17" width="7.54296875" customWidth="1"/>
    <col min="18" max="18" width="100.7265625" customWidth="1"/>
    <col min="19" max="19" width="28.1796875" customWidth="1"/>
    <col min="20" max="22" width="12.54296875" customWidth="1"/>
  </cols>
  <sheetData>
    <row r="1" spans="1:22" ht="28.5" x14ac:dyDescent="0.65">
      <c r="A1" s="1" t="s">
        <v>157</v>
      </c>
      <c r="B1" s="1" t="str">
        <f>UkrAid24jan2022ToOct312023!A1</f>
        <v>The game changing weapon no one talks about that directly can stop Russian glider bombs #63/90</v>
      </c>
    </row>
    <row r="2" spans="1:22" x14ac:dyDescent="0.35">
      <c r="B2" s="437" t="str">
        <f>UkrAid24jan2022ToOct312023!A2</f>
        <v>Proprietary. © H. Mathiesen. This material can be used by others free of charge provided that the author H. Mathiesen is attributed and a clickable link is made visible to the location of used material on www.hmexperience.dk</v>
      </c>
      <c r="Q2" s="4"/>
      <c r="R2" s="4"/>
    </row>
    <row r="3" spans="1:22" x14ac:dyDescent="0.35">
      <c r="B3" s="459" t="str">
        <f>UkrAid24jan2022ToOct312023!A3</f>
        <v>Links to all sources are available in sources table below</v>
      </c>
      <c r="C3" s="461"/>
      <c r="G3" t="s">
        <v>26</v>
      </c>
      <c r="H3" t="s">
        <v>27</v>
      </c>
      <c r="K3">
        <v>0.93</v>
      </c>
      <c r="N3" t="s">
        <v>30</v>
      </c>
      <c r="P3" s="4" t="s">
        <v>31</v>
      </c>
    </row>
    <row r="4" spans="1:22" x14ac:dyDescent="0.35">
      <c r="G4">
        <f>(11+12+0.5)/12</f>
        <v>1.9583333333333333</v>
      </c>
      <c r="H4" t="s">
        <v>28</v>
      </c>
      <c r="N4" t="s">
        <v>29</v>
      </c>
      <c r="P4" t="s">
        <v>32</v>
      </c>
    </row>
    <row r="5" spans="1:22" ht="24" thickBot="1" x14ac:dyDescent="0.6">
      <c r="B5" s="452" t="s">
        <v>159</v>
      </c>
      <c r="C5" s="452"/>
      <c r="D5" s="451"/>
      <c r="E5" s="452"/>
      <c r="F5" s="451"/>
      <c r="G5" s="451"/>
      <c r="H5" s="451"/>
      <c r="I5" s="451"/>
      <c r="J5" s="451"/>
      <c r="K5" s="451"/>
      <c r="L5" s="451"/>
      <c r="M5" s="451"/>
      <c r="N5" s="451"/>
      <c r="O5" s="451"/>
      <c r="P5" s="451"/>
      <c r="Q5" s="451"/>
      <c r="S5" s="2" t="str">
        <f>B5</f>
        <v>Top 15 donar countries plus EU supporting Ukraine</v>
      </c>
      <c r="T5" s="2"/>
      <c r="U5" s="2"/>
    </row>
    <row r="6" spans="1:22" ht="15" thickTop="1" x14ac:dyDescent="0.35">
      <c r="B6" s="5"/>
      <c r="C6" s="233" t="s">
        <v>153</v>
      </c>
      <c r="D6" s="234"/>
      <c r="E6" s="15" t="s">
        <v>8</v>
      </c>
      <c r="F6" s="6" t="s">
        <v>8</v>
      </c>
      <c r="G6" s="15" t="s">
        <v>23</v>
      </c>
      <c r="H6" s="6" t="s">
        <v>216</v>
      </c>
      <c r="I6" s="6" t="s">
        <v>1171</v>
      </c>
      <c r="J6" s="15" t="s">
        <v>150</v>
      </c>
      <c r="K6" s="39" t="s">
        <v>150</v>
      </c>
      <c r="L6" s="235" t="s">
        <v>91</v>
      </c>
      <c r="M6" s="235"/>
      <c r="N6" s="233"/>
      <c r="O6" s="236"/>
      <c r="P6" s="163" t="s">
        <v>209</v>
      </c>
      <c r="Q6" s="103"/>
      <c r="R6" s="146"/>
      <c r="S6" s="137"/>
      <c r="T6" s="6" t="str">
        <f>C6</f>
        <v>Jan. 24, 2022 to Jan. 15 2024 in billion EUR</v>
      </c>
      <c r="U6" s="6"/>
      <c r="V6" s="39"/>
    </row>
    <row r="7" spans="1:22" x14ac:dyDescent="0.35">
      <c r="B7" s="51"/>
      <c r="C7" s="7" t="s">
        <v>145</v>
      </c>
      <c r="D7" s="3" t="s">
        <v>151</v>
      </c>
      <c r="E7" s="7" t="s">
        <v>145</v>
      </c>
      <c r="F7" s="3" t="s">
        <v>148</v>
      </c>
      <c r="G7" s="7" t="s">
        <v>149</v>
      </c>
      <c r="H7" s="3" t="s">
        <v>223</v>
      </c>
      <c r="I7" s="3" t="s">
        <v>1169</v>
      </c>
      <c r="J7" s="7" t="s">
        <v>155</v>
      </c>
      <c r="K7" s="140" t="s">
        <v>154</v>
      </c>
      <c r="L7" s="7"/>
      <c r="M7" s="3"/>
      <c r="N7" s="3"/>
      <c r="O7" s="140" t="s">
        <v>156</v>
      </c>
      <c r="P7" s="165" t="s">
        <v>158</v>
      </c>
      <c r="Q7" s="141"/>
      <c r="R7" s="146"/>
      <c r="S7" s="123"/>
      <c r="T7" s="3"/>
      <c r="U7" s="3"/>
      <c r="V7" s="140"/>
    </row>
    <row r="8" spans="1:22" ht="15" thickBot="1" x14ac:dyDescent="0.4">
      <c r="B8" s="17"/>
      <c r="C8" s="13"/>
      <c r="D8" s="18" t="s">
        <v>152</v>
      </c>
      <c r="E8" s="13" t="s">
        <v>146</v>
      </c>
      <c r="F8" s="18" t="s">
        <v>146</v>
      </c>
      <c r="G8" s="13" t="s">
        <v>146</v>
      </c>
      <c r="H8" s="18" t="s">
        <v>217</v>
      </c>
      <c r="I8" s="18" t="s">
        <v>1170</v>
      </c>
      <c r="J8" s="13" t="s">
        <v>33</v>
      </c>
      <c r="K8" s="40" t="s">
        <v>33</v>
      </c>
      <c r="L8" s="13">
        <v>2021</v>
      </c>
      <c r="M8" s="18">
        <v>2022</v>
      </c>
      <c r="N8" s="18">
        <v>2023</v>
      </c>
      <c r="O8" s="40">
        <v>2024</v>
      </c>
      <c r="P8" s="13">
        <v>2023</v>
      </c>
      <c r="Q8" s="40">
        <v>2024</v>
      </c>
      <c r="R8" s="140"/>
      <c r="S8" s="112"/>
      <c r="T8" s="18" t="s">
        <v>82</v>
      </c>
      <c r="U8" s="18" t="s">
        <v>83</v>
      </c>
      <c r="V8" s="40" t="s">
        <v>147</v>
      </c>
    </row>
    <row r="9" spans="1:22" ht="15" thickTop="1" x14ac:dyDescent="0.35">
      <c r="B9" s="7" t="s">
        <v>41</v>
      </c>
      <c r="C9" s="150">
        <v>5.6</v>
      </c>
      <c r="D9" s="9">
        <f t="shared" ref="D9:D24" si="0">C9+T9+U9</f>
        <v>85.009999999999991</v>
      </c>
      <c r="E9" s="16">
        <f t="shared" ref="E9:E24" si="1">(C9*(1/K$3))/G$4</f>
        <v>3.0748112560054905</v>
      </c>
      <c r="F9" s="8">
        <f t="shared" ref="F9:F24" si="2">(D9/G$4)*(1/K$3)</f>
        <v>46.676733013040483</v>
      </c>
      <c r="G9" s="99">
        <v>19350</v>
      </c>
      <c r="H9" s="175">
        <v>448.4</v>
      </c>
      <c r="I9" s="96">
        <v>0.55100000000000005</v>
      </c>
      <c r="J9" s="94">
        <f>E9/G9</f>
        <v>1.5890497447056798E-4</v>
      </c>
      <c r="K9" s="41">
        <f>F9/G9</f>
        <v>2.412234264239818E-3</v>
      </c>
      <c r="L9" s="124" t="s">
        <v>34</v>
      </c>
      <c r="M9" s="125" t="s">
        <v>34</v>
      </c>
      <c r="N9" s="126" t="s">
        <v>34</v>
      </c>
      <c r="O9" s="164" t="s">
        <v>34</v>
      </c>
      <c r="P9" s="170">
        <f>E9</f>
        <v>3.0748112560054905</v>
      </c>
      <c r="Q9" s="166">
        <f>E9</f>
        <v>3.0748112560054905</v>
      </c>
      <c r="R9" s="166"/>
      <c r="S9" s="138" t="s">
        <v>41</v>
      </c>
      <c r="T9" s="58">
        <v>77.2</v>
      </c>
      <c r="U9" s="58">
        <v>2.21</v>
      </c>
      <c r="V9" s="142">
        <v>0</v>
      </c>
    </row>
    <row r="10" spans="1:22" x14ac:dyDescent="0.35">
      <c r="B10" s="7" t="s">
        <v>114</v>
      </c>
      <c r="C10" s="16">
        <v>42.2</v>
      </c>
      <c r="D10" s="8">
        <f t="shared" si="0"/>
        <v>67.650000000000006</v>
      </c>
      <c r="E10" s="44">
        <f t="shared" si="1"/>
        <v>23.170899107755663</v>
      </c>
      <c r="F10" s="8">
        <f t="shared" si="2"/>
        <v>37.144818119423469</v>
      </c>
      <c r="G10" s="99">
        <v>25440</v>
      </c>
      <c r="H10" s="175">
        <v>335</v>
      </c>
      <c r="I10" s="96">
        <v>0.11600000000000001</v>
      </c>
      <c r="J10" s="94">
        <f t="shared" ref="J10:J27" si="3">E10/G10</f>
        <v>9.1080578253756534E-4</v>
      </c>
      <c r="K10" s="41">
        <f t="shared" ref="K10:K24" si="4">F10/G10</f>
        <v>1.46009505186413E-3</v>
      </c>
      <c r="L10" s="94">
        <v>3.4599999999999999E-2</v>
      </c>
      <c r="M10" s="96">
        <v>3.4599999999999999E-2</v>
      </c>
      <c r="N10" s="96">
        <v>3.49E-2</v>
      </c>
      <c r="O10" s="41">
        <v>3.5000000000000003E-2</v>
      </c>
      <c r="P10" s="99">
        <f>G10*N10</f>
        <v>887.85599999999999</v>
      </c>
      <c r="Q10" s="167">
        <f>O10*G10</f>
        <v>890.40000000000009</v>
      </c>
      <c r="R10" s="167"/>
      <c r="S10" s="104" t="s">
        <v>114</v>
      </c>
      <c r="T10" s="9">
        <v>24</v>
      </c>
      <c r="U10" s="9">
        <v>1.45</v>
      </c>
      <c r="V10" s="142">
        <v>0</v>
      </c>
    </row>
    <row r="11" spans="1:22" x14ac:dyDescent="0.35">
      <c r="B11" s="65" t="s">
        <v>123</v>
      </c>
      <c r="C11" s="16">
        <v>17.7</v>
      </c>
      <c r="D11" s="9">
        <f t="shared" si="0"/>
        <v>22.06</v>
      </c>
      <c r="E11" s="16">
        <f t="shared" si="1"/>
        <v>9.7185998627316401</v>
      </c>
      <c r="F11" s="8">
        <f t="shared" si="2"/>
        <v>12.112560054907343</v>
      </c>
      <c r="G11" s="99">
        <v>4082</v>
      </c>
      <c r="H11" s="175">
        <v>84.8</v>
      </c>
      <c r="I11" s="96">
        <v>0.47</v>
      </c>
      <c r="J11" s="94">
        <f t="shared" si="3"/>
        <v>2.3808426905271044E-3</v>
      </c>
      <c r="K11" s="66">
        <f t="shared" si="4"/>
        <v>2.9673101555383005E-3</v>
      </c>
      <c r="L11" s="94">
        <v>1.3299999999999999E-2</v>
      </c>
      <c r="M11" s="96">
        <v>1.3899999999999999E-2</v>
      </c>
      <c r="N11" s="96">
        <v>1.5699999999999999E-2</v>
      </c>
      <c r="O11" s="41">
        <v>1.77E-2</v>
      </c>
      <c r="P11" s="99">
        <f>G11*N11</f>
        <v>64.087399999999988</v>
      </c>
      <c r="Q11" s="167">
        <f t="shared" ref="Q11:Q24" si="5">O11*G11</f>
        <v>72.251400000000004</v>
      </c>
      <c r="R11" s="167"/>
      <c r="S11" s="138" t="s">
        <v>123</v>
      </c>
      <c r="T11" s="9">
        <v>1.41</v>
      </c>
      <c r="U11" s="9">
        <v>2.95</v>
      </c>
      <c r="V11" s="142">
        <v>21.44</v>
      </c>
    </row>
    <row r="12" spans="1:22" x14ac:dyDescent="0.35">
      <c r="B12" s="65" t="s">
        <v>104</v>
      </c>
      <c r="C12" s="16">
        <v>9.1</v>
      </c>
      <c r="D12" s="9">
        <f t="shared" si="0"/>
        <v>15.7</v>
      </c>
      <c r="E12" s="16">
        <f t="shared" si="1"/>
        <v>4.9965682910089217</v>
      </c>
      <c r="F12" s="8">
        <f t="shared" si="2"/>
        <v>8.620452985586823</v>
      </c>
      <c r="G12" s="99">
        <v>3089</v>
      </c>
      <c r="H12" s="175">
        <v>68.11</v>
      </c>
      <c r="I12" s="96">
        <v>0.32</v>
      </c>
      <c r="J12" s="94">
        <f t="shared" si="3"/>
        <v>1.6175358663026616E-3</v>
      </c>
      <c r="K12" s="66">
        <f t="shared" si="4"/>
        <v>2.79069374735734E-3</v>
      </c>
      <c r="L12" s="94">
        <v>2.1600000000000001E-2</v>
      </c>
      <c r="M12" s="96">
        <v>2.23E-2</v>
      </c>
      <c r="N12" s="96">
        <v>2.07E-2</v>
      </c>
      <c r="O12" s="41">
        <v>2.1000000000000001E-2</v>
      </c>
      <c r="P12" s="99">
        <f>G12*N12</f>
        <v>63.942299999999996</v>
      </c>
      <c r="Q12" s="167">
        <f t="shared" si="5"/>
        <v>64.869</v>
      </c>
      <c r="R12" s="167"/>
      <c r="S12" s="138" t="s">
        <v>104</v>
      </c>
      <c r="T12" s="9">
        <v>6</v>
      </c>
      <c r="U12" s="9">
        <v>0.6</v>
      </c>
      <c r="V12" s="142">
        <v>1.9</v>
      </c>
    </row>
    <row r="13" spans="1:22" x14ac:dyDescent="0.35">
      <c r="B13" s="65" t="s">
        <v>119</v>
      </c>
      <c r="C13" s="16">
        <v>8.4</v>
      </c>
      <c r="D13" s="9">
        <f>C13+T13+U13</f>
        <v>8.6300000000000008</v>
      </c>
      <c r="E13" s="16">
        <f t="shared" si="1"/>
        <v>4.6122168840082356</v>
      </c>
      <c r="F13" s="8">
        <f t="shared" si="2"/>
        <v>4.7385037748798906</v>
      </c>
      <c r="G13" s="99">
        <v>400</v>
      </c>
      <c r="H13" s="175">
        <v>5.9</v>
      </c>
      <c r="I13" s="96">
        <v>0.69</v>
      </c>
      <c r="J13" s="94">
        <f>E13/G13</f>
        <v>1.1530542210020589E-2</v>
      </c>
      <c r="K13" s="66">
        <f>F13/G13</f>
        <v>1.1846259437199726E-2</v>
      </c>
      <c r="L13" s="94">
        <v>1.32E-2</v>
      </c>
      <c r="M13" s="96">
        <v>1.4200000000000001E-2</v>
      </c>
      <c r="N13" s="96">
        <v>1.6500000000000001E-2</v>
      </c>
      <c r="O13" s="41">
        <v>2.1000000000000001E-2</v>
      </c>
      <c r="P13" s="99">
        <f>G13*N13</f>
        <v>6.6000000000000005</v>
      </c>
      <c r="Q13" s="167">
        <f>O13*G13</f>
        <v>8.4</v>
      </c>
      <c r="R13" s="167"/>
      <c r="S13" s="138" t="s">
        <v>119</v>
      </c>
      <c r="T13" s="9">
        <v>0</v>
      </c>
      <c r="U13" s="9">
        <v>0.23</v>
      </c>
      <c r="V13" s="142">
        <v>0.72</v>
      </c>
    </row>
    <row r="14" spans="1:22" x14ac:dyDescent="0.35">
      <c r="B14" s="65" t="s">
        <v>121</v>
      </c>
      <c r="C14" s="16">
        <v>3.8</v>
      </c>
      <c r="D14" s="9">
        <f t="shared" si="0"/>
        <v>7.5699999999999994</v>
      </c>
      <c r="E14" s="16">
        <f t="shared" si="1"/>
        <v>2.0864790665751545</v>
      </c>
      <c r="F14" s="8">
        <f t="shared" si="2"/>
        <v>4.1564859299931358</v>
      </c>
      <c r="G14" s="99">
        <v>579</v>
      </c>
      <c r="H14" s="175">
        <v>5.5</v>
      </c>
      <c r="I14" s="96">
        <v>0.47</v>
      </c>
      <c r="J14" s="94">
        <f t="shared" si="3"/>
        <v>3.6035907885581253E-3</v>
      </c>
      <c r="K14" s="66">
        <f t="shared" si="4"/>
        <v>7.1787321761539475E-3</v>
      </c>
      <c r="L14" s="94">
        <v>1.72E-2</v>
      </c>
      <c r="M14" s="96">
        <v>1.6400000000000001E-2</v>
      </c>
      <c r="N14" s="96">
        <v>1.67E-2</v>
      </c>
      <c r="O14" s="41">
        <v>0.02</v>
      </c>
      <c r="P14" s="99">
        <f>G14*N14</f>
        <v>9.6692999999999998</v>
      </c>
      <c r="Q14" s="167">
        <f t="shared" si="5"/>
        <v>11.58</v>
      </c>
      <c r="R14" s="167"/>
      <c r="S14" s="138" t="s">
        <v>121</v>
      </c>
      <c r="T14" s="9">
        <v>3.42</v>
      </c>
      <c r="U14" s="9">
        <v>0.35</v>
      </c>
      <c r="V14" s="142">
        <v>1.39</v>
      </c>
    </row>
    <row r="15" spans="1:22" x14ac:dyDescent="0.35">
      <c r="B15" s="7" t="s">
        <v>11</v>
      </c>
      <c r="C15" s="16">
        <v>0</v>
      </c>
      <c r="D15" s="9">
        <f t="shared" si="0"/>
        <v>7.46</v>
      </c>
      <c r="E15" s="16">
        <f t="shared" si="1"/>
        <v>0</v>
      </c>
      <c r="F15" s="8">
        <f t="shared" si="2"/>
        <v>4.0960878517501715</v>
      </c>
      <c r="G15" s="99">
        <v>4232</v>
      </c>
      <c r="H15" s="175">
        <v>124</v>
      </c>
      <c r="I15" s="96">
        <v>0.21</v>
      </c>
      <c r="J15" s="94">
        <f t="shared" si="3"/>
        <v>0</v>
      </c>
      <c r="K15" s="41">
        <f t="shared" si="4"/>
        <v>9.6788465306005939E-4</v>
      </c>
      <c r="L15" s="94">
        <v>1.0200000000000001E-2</v>
      </c>
      <c r="M15" s="96">
        <v>1.0800000000000001E-2</v>
      </c>
      <c r="N15" s="126" t="s">
        <v>34</v>
      </c>
      <c r="O15" s="92">
        <v>1.2999999999999999E-2</v>
      </c>
      <c r="P15" s="99">
        <f>G15*M15</f>
        <v>45.705600000000004</v>
      </c>
      <c r="Q15" s="167">
        <f t="shared" si="5"/>
        <v>55.015999999999998</v>
      </c>
      <c r="R15" s="167"/>
      <c r="S15" s="104" t="s">
        <v>11</v>
      </c>
      <c r="T15" s="9">
        <v>5.55</v>
      </c>
      <c r="U15" s="9">
        <v>1.91</v>
      </c>
      <c r="V15" s="142">
        <v>0</v>
      </c>
    </row>
    <row r="16" spans="1:22" x14ac:dyDescent="0.35">
      <c r="B16" s="7" t="s">
        <v>122</v>
      </c>
      <c r="C16" s="16">
        <v>2.1</v>
      </c>
      <c r="D16" s="9">
        <f t="shared" si="0"/>
        <v>5.8000000000000007</v>
      </c>
      <c r="E16" s="16">
        <f t="shared" si="1"/>
        <v>1.1530542210020589</v>
      </c>
      <c r="F16" s="8">
        <f t="shared" si="2"/>
        <v>3.1846259437199724</v>
      </c>
      <c r="G16" s="99">
        <v>2138</v>
      </c>
      <c r="H16" s="175">
        <v>39.799999999999997</v>
      </c>
      <c r="I16" s="96">
        <v>0.33500000000000002</v>
      </c>
      <c r="J16" s="94">
        <f t="shared" si="3"/>
        <v>5.3931441581013041E-4</v>
      </c>
      <c r="K16" s="41">
        <f t="shared" si="4"/>
        <v>1.4895350531898843E-3</v>
      </c>
      <c r="L16" s="94">
        <v>1.2699999999999999E-2</v>
      </c>
      <c r="M16" s="96">
        <v>1.24E-2</v>
      </c>
      <c r="N16" s="96">
        <v>1.38E-2</v>
      </c>
      <c r="O16" s="41">
        <v>1.4999999999999999E-2</v>
      </c>
      <c r="P16" s="99">
        <f>G16*N16</f>
        <v>29.5044</v>
      </c>
      <c r="Q16" s="167">
        <f t="shared" si="5"/>
        <v>32.07</v>
      </c>
      <c r="R16" s="167"/>
      <c r="S16" s="104" t="s">
        <v>122</v>
      </c>
      <c r="T16" s="9">
        <v>3.43</v>
      </c>
      <c r="U16" s="9">
        <v>0.27</v>
      </c>
      <c r="V16" s="142">
        <v>0</v>
      </c>
    </row>
    <row r="17" spans="2:22" x14ac:dyDescent="0.35">
      <c r="B17" s="65" t="s">
        <v>124</v>
      </c>
      <c r="C17" s="16">
        <v>3</v>
      </c>
      <c r="D17" s="9">
        <f t="shared" si="0"/>
        <v>4.3</v>
      </c>
      <c r="E17" s="16">
        <f t="shared" si="1"/>
        <v>1.6472203157172272</v>
      </c>
      <c r="F17" s="8">
        <f t="shared" si="2"/>
        <v>2.3610157858613587</v>
      </c>
      <c r="G17" s="99">
        <v>688</v>
      </c>
      <c r="H17" s="175">
        <v>36.799999999999997</v>
      </c>
      <c r="I17" s="96">
        <v>0.57999999999999996</v>
      </c>
      <c r="J17" s="94">
        <f t="shared" si="3"/>
        <v>2.3942155751703882E-3</v>
      </c>
      <c r="K17" s="66">
        <f t="shared" si="4"/>
        <v>3.4317089910775563E-3</v>
      </c>
      <c r="L17" s="94">
        <v>2.2200000000000001E-2</v>
      </c>
      <c r="M17" s="96">
        <v>2.3900000000000001E-2</v>
      </c>
      <c r="N17" s="96">
        <v>3.9E-2</v>
      </c>
      <c r="O17" s="41">
        <v>4.2000000000000003E-2</v>
      </c>
      <c r="P17" s="99">
        <f>G17*N17</f>
        <v>26.832000000000001</v>
      </c>
      <c r="Q17" s="167">
        <f t="shared" si="5"/>
        <v>28.896000000000001</v>
      </c>
      <c r="R17" s="167"/>
      <c r="S17" s="138" t="s">
        <v>124</v>
      </c>
      <c r="T17" s="9">
        <v>0.92</v>
      </c>
      <c r="U17" s="9">
        <v>0.38</v>
      </c>
      <c r="V17" s="142">
        <v>20.73</v>
      </c>
    </row>
    <row r="18" spans="2:22" x14ac:dyDescent="0.35">
      <c r="B18" s="65" t="s">
        <v>120</v>
      </c>
      <c r="C18" s="16">
        <v>4.4000000000000004</v>
      </c>
      <c r="D18" s="9">
        <f t="shared" si="0"/>
        <v>6.17</v>
      </c>
      <c r="E18" s="16">
        <f t="shared" si="1"/>
        <v>2.4159231297186001</v>
      </c>
      <c r="F18" s="8">
        <f t="shared" si="2"/>
        <v>3.3877831159917635</v>
      </c>
      <c r="G18" s="99">
        <v>1009</v>
      </c>
      <c r="H18" s="175">
        <v>17.8</v>
      </c>
      <c r="I18" s="96">
        <v>0.85</v>
      </c>
      <c r="J18" s="94">
        <f t="shared" si="3"/>
        <v>2.3943737658261646E-3</v>
      </c>
      <c r="K18" s="66">
        <f t="shared" si="4"/>
        <v>3.3575650307153255E-3</v>
      </c>
      <c r="L18" s="94">
        <v>1.38E-2</v>
      </c>
      <c r="M18" s="96">
        <v>1.5800000000000002E-2</v>
      </c>
      <c r="N18" s="96">
        <v>1.7000000000000001E-2</v>
      </c>
      <c r="O18" s="41">
        <v>2.1000000000000001E-2</v>
      </c>
      <c r="P18" s="99">
        <f>G18*N18</f>
        <v>17.153000000000002</v>
      </c>
      <c r="Q18" s="167">
        <f t="shared" si="5"/>
        <v>21.189</v>
      </c>
      <c r="R18" s="167"/>
      <c r="S18" s="138" t="s">
        <v>120</v>
      </c>
      <c r="T18" s="9">
        <v>1.05</v>
      </c>
      <c r="U18" s="9">
        <v>0.72</v>
      </c>
      <c r="V18" s="142">
        <v>2.42</v>
      </c>
    </row>
    <row r="19" spans="2:22" x14ac:dyDescent="0.35">
      <c r="B19" s="65" t="s">
        <v>118</v>
      </c>
      <c r="C19" s="16">
        <v>2</v>
      </c>
      <c r="D19" s="9">
        <f t="shared" si="0"/>
        <v>2.95</v>
      </c>
      <c r="E19" s="16">
        <f t="shared" si="1"/>
        <v>1.0981468771448182</v>
      </c>
      <c r="F19" s="8">
        <f t="shared" si="2"/>
        <v>1.6197666437886069</v>
      </c>
      <c r="G19" s="99">
        <v>591</v>
      </c>
      <c r="H19" s="175">
        <v>10.5</v>
      </c>
      <c r="I19" s="96">
        <v>0.54</v>
      </c>
      <c r="J19" s="94">
        <f t="shared" si="3"/>
        <v>1.8581165433922474E-3</v>
      </c>
      <c r="K19" s="66">
        <f t="shared" si="4"/>
        <v>2.7407219015035652E-3</v>
      </c>
      <c r="L19" s="94">
        <v>1.2E-2</v>
      </c>
      <c r="M19" s="96">
        <v>1.2999999999999999E-2</v>
      </c>
      <c r="N19" s="126" t="s">
        <v>34</v>
      </c>
      <c r="O19" s="92">
        <v>2.1000000000000001E-2</v>
      </c>
      <c r="P19" s="99">
        <f>G19*M19</f>
        <v>7.6829999999999998</v>
      </c>
      <c r="Q19" s="167">
        <f t="shared" si="5"/>
        <v>12.411000000000001</v>
      </c>
      <c r="R19" s="167"/>
      <c r="S19" s="138" t="s">
        <v>118</v>
      </c>
      <c r="T19" s="9">
        <v>0.31</v>
      </c>
      <c r="U19" s="9">
        <v>0.64</v>
      </c>
      <c r="V19" s="142">
        <v>0.84</v>
      </c>
    </row>
    <row r="20" spans="2:22" x14ac:dyDescent="0.35">
      <c r="B20" s="7" t="s">
        <v>13</v>
      </c>
      <c r="C20" s="16">
        <v>0</v>
      </c>
      <c r="D20" s="9">
        <f t="shared" si="0"/>
        <v>2.2799999999999998</v>
      </c>
      <c r="E20" s="16">
        <f t="shared" si="1"/>
        <v>0</v>
      </c>
      <c r="F20" s="8">
        <f t="shared" si="2"/>
        <v>1.2518874399450926</v>
      </c>
      <c r="G20" s="99">
        <v>818</v>
      </c>
      <c r="H20" s="175">
        <v>8.8000000000000007</v>
      </c>
      <c r="I20" s="96">
        <v>0.75</v>
      </c>
      <c r="J20" s="94">
        <f t="shared" si="3"/>
        <v>0</v>
      </c>
      <c r="K20" s="41">
        <f t="shared" si="4"/>
        <v>1.5304247432091596E-3</v>
      </c>
      <c r="L20" s="94">
        <v>7.7999999999999996E-3</v>
      </c>
      <c r="M20" s="96">
        <v>7.7000000000000002E-3</v>
      </c>
      <c r="N20" s="126" t="s">
        <v>34</v>
      </c>
      <c r="O20" s="92">
        <v>8.0000000000000002E-3</v>
      </c>
      <c r="P20" s="99">
        <f>G20*M20</f>
        <v>6.2986000000000004</v>
      </c>
      <c r="Q20" s="167">
        <f t="shared" si="5"/>
        <v>6.5440000000000005</v>
      </c>
      <c r="R20" s="167"/>
      <c r="S20" s="104" t="s">
        <v>13</v>
      </c>
      <c r="T20" s="9">
        <v>0</v>
      </c>
      <c r="U20" s="9">
        <v>2.2799999999999998</v>
      </c>
      <c r="V20" s="142">
        <v>2.2200000000000002</v>
      </c>
    </row>
    <row r="21" spans="2:22" x14ac:dyDescent="0.35">
      <c r="B21" s="7" t="s">
        <v>105</v>
      </c>
      <c r="C21" s="16">
        <v>0.64</v>
      </c>
      <c r="D21" s="9">
        <f t="shared" si="0"/>
        <v>1.7999999999999998</v>
      </c>
      <c r="E21" s="16">
        <f t="shared" si="1"/>
        <v>0.35140700068634179</v>
      </c>
      <c r="F21" s="8">
        <f t="shared" si="2"/>
        <v>0.98833218943033629</v>
      </c>
      <c r="G21" s="99">
        <v>2779</v>
      </c>
      <c r="H21" s="175">
        <v>68.099999999999994</v>
      </c>
      <c r="I21" s="96">
        <v>0.33</v>
      </c>
      <c r="J21" s="94">
        <f t="shared" si="3"/>
        <v>1.2645088185906506E-4</v>
      </c>
      <c r="K21" s="41">
        <f t="shared" si="4"/>
        <v>3.5564310522862046E-4</v>
      </c>
      <c r="L21" s="94">
        <v>1.9199999999999998E-2</v>
      </c>
      <c r="M21" s="96">
        <v>1.9400000000000001E-2</v>
      </c>
      <c r="N21" s="96">
        <v>1.9E-2</v>
      </c>
      <c r="O21" s="41">
        <v>2.1000000000000001E-2</v>
      </c>
      <c r="P21" s="99">
        <f>G21*N21</f>
        <v>52.801000000000002</v>
      </c>
      <c r="Q21" s="167">
        <f t="shared" si="5"/>
        <v>58.359000000000002</v>
      </c>
      <c r="R21" s="167"/>
      <c r="S21" s="104" t="s">
        <v>105</v>
      </c>
      <c r="T21" s="9">
        <v>0.8</v>
      </c>
      <c r="U21" s="9">
        <v>0.36</v>
      </c>
      <c r="V21" s="142">
        <v>6.14</v>
      </c>
    </row>
    <row r="22" spans="2:22" x14ac:dyDescent="0.35">
      <c r="B22" s="65" t="s">
        <v>117</v>
      </c>
      <c r="C22" s="16">
        <v>1.64</v>
      </c>
      <c r="D22" s="9">
        <f t="shared" si="0"/>
        <v>1.91</v>
      </c>
      <c r="E22" s="16">
        <f t="shared" si="1"/>
        <v>0.90048043925875076</v>
      </c>
      <c r="F22" s="8">
        <f t="shared" si="2"/>
        <v>1.0487302676733012</v>
      </c>
      <c r="G22" s="99">
        <v>283</v>
      </c>
      <c r="H22" s="175">
        <v>5.6</v>
      </c>
      <c r="I22" s="96">
        <v>0.41</v>
      </c>
      <c r="J22" s="94">
        <f t="shared" si="3"/>
        <v>3.1819096793595431E-3</v>
      </c>
      <c r="K22" s="66">
        <f t="shared" si="4"/>
        <v>3.7057606631565416E-3</v>
      </c>
      <c r="L22" s="94">
        <v>1.26E-2</v>
      </c>
      <c r="M22" s="96">
        <v>1.72E-2</v>
      </c>
      <c r="N22" s="96">
        <v>2.4500000000000001E-2</v>
      </c>
      <c r="O22" s="41">
        <v>0.03</v>
      </c>
      <c r="P22" s="99">
        <f>G22*N22</f>
        <v>6.9335000000000004</v>
      </c>
      <c r="Q22" s="167">
        <f t="shared" si="5"/>
        <v>8.49</v>
      </c>
      <c r="R22" s="167"/>
      <c r="S22" s="138" t="s">
        <v>117</v>
      </c>
      <c r="T22" s="9">
        <v>0.09</v>
      </c>
      <c r="U22" s="9">
        <v>0.18</v>
      </c>
      <c r="V22" s="142">
        <v>0.65</v>
      </c>
    </row>
    <row r="23" spans="2:22" x14ac:dyDescent="0.35">
      <c r="B23" s="65" t="s">
        <v>115</v>
      </c>
      <c r="C23" s="16">
        <v>1.26</v>
      </c>
      <c r="D23" s="9">
        <f t="shared" si="0"/>
        <v>1.33</v>
      </c>
      <c r="E23" s="16">
        <f t="shared" si="1"/>
        <v>0.69183253260123534</v>
      </c>
      <c r="F23" s="8">
        <f t="shared" si="2"/>
        <v>0.73026767330130415</v>
      </c>
      <c r="G23" s="99">
        <v>291</v>
      </c>
      <c r="H23" s="175">
        <v>10.4</v>
      </c>
      <c r="I23" s="96">
        <v>0.72</v>
      </c>
      <c r="J23" s="94">
        <f t="shared" si="3"/>
        <v>2.3774313835093997E-3</v>
      </c>
      <c r="K23" s="66">
        <f t="shared" si="4"/>
        <v>2.5095109048154781E-3</v>
      </c>
      <c r="L23" s="94">
        <v>1.4E-2</v>
      </c>
      <c r="M23" s="96">
        <v>1.3599999999999999E-2</v>
      </c>
      <c r="N23" s="96">
        <v>1.4999999999999999E-2</v>
      </c>
      <c r="O23" s="41">
        <v>1.7000000000000001E-2</v>
      </c>
      <c r="P23" s="99">
        <f>G23*N23</f>
        <v>4.3650000000000002</v>
      </c>
      <c r="Q23" s="167">
        <f t="shared" si="5"/>
        <v>4.9470000000000001</v>
      </c>
      <c r="R23" s="167"/>
      <c r="S23" s="138" t="s">
        <v>115</v>
      </c>
      <c r="T23" s="9">
        <v>0</v>
      </c>
      <c r="U23" s="9">
        <v>7.0000000000000007E-2</v>
      </c>
      <c r="V23" s="25">
        <v>5.35</v>
      </c>
    </row>
    <row r="24" spans="2:22" ht="15" thickBot="1" x14ac:dyDescent="0.4">
      <c r="B24" s="7" t="s">
        <v>116</v>
      </c>
      <c r="C24" s="16">
        <v>0.67</v>
      </c>
      <c r="D24" s="9">
        <f t="shared" si="0"/>
        <v>1.3</v>
      </c>
      <c r="E24" s="16">
        <f t="shared" si="1"/>
        <v>0.36787920384351408</v>
      </c>
      <c r="F24" s="8">
        <f t="shared" si="2"/>
        <v>0.71379547014413181</v>
      </c>
      <c r="G24" s="99">
        <v>2050</v>
      </c>
      <c r="H24" s="175">
        <v>59</v>
      </c>
      <c r="I24" s="96">
        <v>0.35</v>
      </c>
      <c r="J24" s="94">
        <f t="shared" si="3"/>
        <v>1.7945327016756783E-4</v>
      </c>
      <c r="K24" s="41">
        <f t="shared" si="4"/>
        <v>3.4819291226543012E-4</v>
      </c>
      <c r="L24" s="94">
        <v>1.72E-2</v>
      </c>
      <c r="M24" s="96">
        <v>1.6799999999999999E-2</v>
      </c>
      <c r="N24" s="96">
        <v>1.46E-2</v>
      </c>
      <c r="O24" s="41">
        <v>1.7000000000000001E-2</v>
      </c>
      <c r="P24" s="99">
        <f>G24*N24</f>
        <v>29.93</v>
      </c>
      <c r="Q24" s="167">
        <f t="shared" si="5"/>
        <v>34.85</v>
      </c>
      <c r="R24" s="167"/>
      <c r="S24" s="104" t="s">
        <v>116</v>
      </c>
      <c r="T24" s="9">
        <v>0.41</v>
      </c>
      <c r="U24" s="9">
        <v>0.22</v>
      </c>
      <c r="V24" s="142">
        <v>2.25</v>
      </c>
    </row>
    <row r="25" spans="2:22" ht="15" thickTop="1" x14ac:dyDescent="0.35">
      <c r="B25" s="199" t="s">
        <v>210</v>
      </c>
      <c r="C25" s="200">
        <f>SUM(C11:C14,C17:C19,C22:C23)</f>
        <v>51.29999999999999</v>
      </c>
      <c r="D25" s="201">
        <f>SUM(D11:D14,D17:D19,D22:D23)</f>
        <v>70.61999999999999</v>
      </c>
      <c r="E25" s="202">
        <f>SUM(E11:E14,E17:E19,E22:E23)</f>
        <v>28.167467398764582</v>
      </c>
      <c r="F25" s="203">
        <f>SUM(F11:F14,F17:F19,F22:F23)</f>
        <v>38.775566231983525</v>
      </c>
      <c r="G25" s="204">
        <f>G12+G14+G11+G17+G18+G13+G19+G22+G23</f>
        <v>11012</v>
      </c>
      <c r="H25" s="204">
        <f>H12+H14+H11+H17+H18+H13+H19+H22+H23</f>
        <v>245.41</v>
      </c>
      <c r="I25" s="207" t="s">
        <v>34</v>
      </c>
      <c r="J25" s="232">
        <f>E25/G25</f>
        <v>2.5578884306905725E-3</v>
      </c>
      <c r="K25" s="205">
        <f>F25/G25</f>
        <v>3.5212101554652673E-3</v>
      </c>
      <c r="L25" s="206" t="s">
        <v>34</v>
      </c>
      <c r="M25" s="207" t="s">
        <v>34</v>
      </c>
      <c r="N25" s="207">
        <f>P25/G25</f>
        <v>1.8821785325099889E-2</v>
      </c>
      <c r="O25" s="208">
        <f>Q25/G25</f>
        <v>2.1161768979295319E-2</v>
      </c>
      <c r="P25" s="209">
        <f>SUM(,P11:P14,P17:P19,P22:P23)</f>
        <v>207.26549999999997</v>
      </c>
      <c r="Q25" s="210">
        <f>SUM(Q11:Q14,Q17:Q19,Q22:Q23)</f>
        <v>233.03340000000006</v>
      </c>
      <c r="R25" s="168"/>
      <c r="S25" s="139" t="s">
        <v>85</v>
      </c>
      <c r="T25" s="82">
        <f>SUM(T9,T11:T14,T17:T19,T22:T23)</f>
        <v>90.4</v>
      </c>
      <c r="U25" s="82">
        <f>SUM(U9,U11:U14,U17:U19,U22:U23)</f>
        <v>8.33</v>
      </c>
      <c r="V25" s="83">
        <f>SUM(V9,V11:V14,V17:V19,V22:V23)</f>
        <v>55.440000000000005</v>
      </c>
    </row>
    <row r="26" spans="2:22" x14ac:dyDescent="0.35">
      <c r="B26" s="7" t="s">
        <v>86</v>
      </c>
      <c r="C26" s="16">
        <f>SUM(C9:C24)-C10</f>
        <v>60.31</v>
      </c>
      <c r="D26" s="9">
        <f>SUM(D9:D24)-D10</f>
        <v>174.27</v>
      </c>
      <c r="E26" s="44">
        <f>SUM(E9:E24)-E10</f>
        <v>33.114619080301978</v>
      </c>
      <c r="F26" s="81">
        <f>SUM(F9:F24)-F10</f>
        <v>95.687028140013723</v>
      </c>
      <c r="G26" s="100">
        <f>G9+G12+G14+G15+G16+G20</f>
        <v>30206</v>
      </c>
      <c r="H26" s="133">
        <f>H9+H12+H14+H15+H16+H20</f>
        <v>694.6099999999999</v>
      </c>
      <c r="I26" s="128" t="s">
        <v>34</v>
      </c>
      <c r="J26" s="198">
        <f t="shared" si="3"/>
        <v>1.0962927590644897E-3</v>
      </c>
      <c r="K26" s="45">
        <f>F26/G26</f>
        <v>3.1678152731249992E-3</v>
      </c>
      <c r="L26" s="127" t="s">
        <v>34</v>
      </c>
      <c r="M26" s="128" t="s">
        <v>34</v>
      </c>
      <c r="N26" s="128">
        <f>P26/G26</f>
        <v>1.2400844575779843E-2</v>
      </c>
      <c r="O26" s="98">
        <f>Q26/G26</f>
        <v>1.4002092672184514E-2</v>
      </c>
      <c r="P26" s="100">
        <f>SUM(P9:P24)-P10</f>
        <v>374.57991125600597</v>
      </c>
      <c r="Q26" s="168">
        <f>SUM(Q9:Q24)-Q10</f>
        <v>422.9472112560054</v>
      </c>
      <c r="R26" s="167"/>
      <c r="S26" s="104" t="s">
        <v>86</v>
      </c>
      <c r="T26" s="9">
        <f>SUM(T9:T24)-T10</f>
        <v>100.59</v>
      </c>
      <c r="U26" s="9">
        <f>SUM(U9:U24)-U10</f>
        <v>13.370000000000001</v>
      </c>
      <c r="V26" s="143">
        <f>SUM(V9:V24)-V10</f>
        <v>66.050000000000011</v>
      </c>
    </row>
    <row r="27" spans="2:22" ht="15" thickBot="1" x14ac:dyDescent="0.4">
      <c r="B27" s="7" t="s">
        <v>87</v>
      </c>
      <c r="C27" s="16">
        <f>SUM(C9:C24)</f>
        <v>102.51</v>
      </c>
      <c r="D27" s="9">
        <f>SUM(D9:D24)</f>
        <v>241.92000000000002</v>
      </c>
      <c r="E27" s="16">
        <f>SUM(E9:E24)</f>
        <v>56.285518188057644</v>
      </c>
      <c r="F27" s="9">
        <f>SUM(F9:F24)</f>
        <v>132.83184625943719</v>
      </c>
      <c r="G27" s="99">
        <f>G26+G10</f>
        <v>55646</v>
      </c>
      <c r="H27" s="160">
        <f>H26+H10</f>
        <v>1029.6099999999999</v>
      </c>
      <c r="I27" s="126" t="s">
        <v>34</v>
      </c>
      <c r="J27" s="94">
        <f t="shared" si="3"/>
        <v>1.0114926174039039E-3</v>
      </c>
      <c r="K27" s="41">
        <f>F27/G27</f>
        <v>2.3870870549444196E-3</v>
      </c>
      <c r="L27" s="196" t="s">
        <v>34</v>
      </c>
      <c r="M27" s="126" t="s">
        <v>34</v>
      </c>
      <c r="N27" s="126">
        <f>P27/G27</f>
        <v>2.2686912109693525E-2</v>
      </c>
      <c r="O27" s="135">
        <f>Q27/G27</f>
        <v>2.3601826029831532E-2</v>
      </c>
      <c r="P27" s="129">
        <f>SUM(P9:P24)</f>
        <v>1262.435911256006</v>
      </c>
      <c r="Q27" s="169">
        <f>SUM(Q9:Q24)</f>
        <v>1313.3472112560055</v>
      </c>
      <c r="R27" s="168"/>
      <c r="S27" s="104" t="s">
        <v>87</v>
      </c>
      <c r="T27" s="81">
        <f>SUM(T9:T24)</f>
        <v>124.59</v>
      </c>
      <c r="U27" s="81">
        <f>SUM(U9:U24)</f>
        <v>14.82</v>
      </c>
      <c r="V27" s="144">
        <f>SUM(V9:V24)</f>
        <v>66.050000000000011</v>
      </c>
    </row>
    <row r="28" spans="2:22" ht="15" thickTop="1" x14ac:dyDescent="0.35">
      <c r="B28" s="15" t="s">
        <v>106</v>
      </c>
      <c r="C28" s="151" t="s">
        <v>34</v>
      </c>
      <c r="D28" s="79" t="s">
        <v>34</v>
      </c>
      <c r="E28" s="151" t="s">
        <v>34</v>
      </c>
      <c r="F28" s="113" t="s">
        <v>34</v>
      </c>
      <c r="G28" s="101">
        <v>2240</v>
      </c>
      <c r="H28" s="228">
        <v>144.6</v>
      </c>
      <c r="I28" s="116">
        <v>0.28000000000000003</v>
      </c>
      <c r="J28" s="151" t="s">
        <v>34</v>
      </c>
      <c r="K28" s="114" t="s">
        <v>34</v>
      </c>
      <c r="L28" s="115">
        <v>3.7199999999999997E-2</v>
      </c>
      <c r="M28" s="116">
        <v>4.0599999999999997E-2</v>
      </c>
      <c r="N28" s="116">
        <f>P28/G28</f>
        <v>7.1428571428571425E-2</v>
      </c>
      <c r="O28" s="45">
        <v>0.107</v>
      </c>
      <c r="P28" s="100">
        <v>160</v>
      </c>
      <c r="Q28" s="168">
        <f>G28*O28</f>
        <v>239.68</v>
      </c>
      <c r="R28" s="168"/>
      <c r="S28" s="80" t="s">
        <v>106</v>
      </c>
      <c r="T28" s="91" t="s">
        <v>34</v>
      </c>
      <c r="U28" s="91" t="s">
        <v>34</v>
      </c>
      <c r="V28" s="145" t="s">
        <v>34</v>
      </c>
    </row>
    <row r="29" spans="2:22" x14ac:dyDescent="0.35">
      <c r="B29" s="7" t="s">
        <v>107</v>
      </c>
      <c r="C29" s="152" t="s">
        <v>34</v>
      </c>
      <c r="D29" s="119" t="s">
        <v>34</v>
      </c>
      <c r="E29" s="197" t="s">
        <v>34</v>
      </c>
      <c r="F29" s="118" t="s">
        <v>34</v>
      </c>
      <c r="G29" s="100">
        <v>161</v>
      </c>
      <c r="H29" s="227">
        <v>35</v>
      </c>
      <c r="I29" s="95">
        <v>0.4</v>
      </c>
      <c r="J29" s="197" t="s">
        <v>34</v>
      </c>
      <c r="K29" s="98" t="s">
        <v>34</v>
      </c>
      <c r="L29" s="198">
        <v>3.2300000000000002E-2</v>
      </c>
      <c r="M29" s="95">
        <v>0.33550000000000002</v>
      </c>
      <c r="N29" s="95">
        <v>0.26600000000000001</v>
      </c>
      <c r="O29" s="45">
        <v>0.31</v>
      </c>
      <c r="P29" s="100">
        <f>N29*G29</f>
        <v>42.826000000000001</v>
      </c>
      <c r="Q29" s="168">
        <f>G29*O29</f>
        <v>49.91</v>
      </c>
      <c r="R29" s="168"/>
      <c r="S29" s="104" t="s">
        <v>107</v>
      </c>
      <c r="T29" s="119" t="s">
        <v>34</v>
      </c>
      <c r="U29" s="119" t="s">
        <v>34</v>
      </c>
      <c r="V29" s="146" t="s">
        <v>34</v>
      </c>
    </row>
    <row r="30" spans="2:22" x14ac:dyDescent="0.35">
      <c r="B30" s="7" t="s">
        <v>212</v>
      </c>
      <c r="C30" s="152" t="s">
        <v>34</v>
      </c>
      <c r="D30" s="119" t="s">
        <v>34</v>
      </c>
      <c r="E30" s="197" t="s">
        <v>34</v>
      </c>
      <c r="F30" s="118" t="s">
        <v>34</v>
      </c>
      <c r="G30" s="219" t="s">
        <v>34</v>
      </c>
      <c r="H30" s="229" t="s">
        <v>34</v>
      </c>
      <c r="I30" s="128" t="s">
        <v>34</v>
      </c>
      <c r="J30" s="197" t="s">
        <v>34</v>
      </c>
      <c r="K30" s="221" t="s">
        <v>34</v>
      </c>
      <c r="L30" s="219" t="s">
        <v>34</v>
      </c>
      <c r="M30" s="220" t="s">
        <v>34</v>
      </c>
      <c r="N30" s="220" t="s">
        <v>34</v>
      </c>
      <c r="O30" s="221" t="s">
        <v>34</v>
      </c>
      <c r="P30" s="100">
        <f>P29+E27</f>
        <v>99.111518188057644</v>
      </c>
      <c r="Q30" s="168">
        <f>Q29+E26</f>
        <v>83.024619080301974</v>
      </c>
      <c r="R30" s="168"/>
      <c r="S30" s="104"/>
      <c r="T30" s="119"/>
      <c r="U30" s="119"/>
      <c r="V30" s="146"/>
    </row>
    <row r="31" spans="2:22" ht="15" thickBot="1" x14ac:dyDescent="0.4">
      <c r="B31" s="13" t="s">
        <v>211</v>
      </c>
      <c r="C31" s="157" t="s">
        <v>34</v>
      </c>
      <c r="D31" s="109" t="s">
        <v>34</v>
      </c>
      <c r="E31" s="158" t="s">
        <v>34</v>
      </c>
      <c r="F31" s="107" t="s">
        <v>34</v>
      </c>
      <c r="G31" s="222" t="s">
        <v>34</v>
      </c>
      <c r="H31" s="230" t="s">
        <v>34</v>
      </c>
      <c r="I31" s="567" t="s">
        <v>34</v>
      </c>
      <c r="J31" s="158" t="s">
        <v>34</v>
      </c>
      <c r="K31" s="224" t="s">
        <v>34</v>
      </c>
      <c r="L31" s="222" t="s">
        <v>34</v>
      </c>
      <c r="M31" s="223" t="s">
        <v>34</v>
      </c>
      <c r="N31" s="223" t="s">
        <v>34</v>
      </c>
      <c r="O31" s="224" t="s">
        <v>34</v>
      </c>
      <c r="P31" s="225">
        <f>P30/P28</f>
        <v>0.6194469886753603</v>
      </c>
      <c r="Q31" s="226">
        <f>Q30/Q28</f>
        <v>0.34639777653664039</v>
      </c>
      <c r="R31" s="168"/>
      <c r="S31" s="104"/>
      <c r="T31" s="119"/>
      <c r="U31" s="119"/>
      <c r="V31" s="146"/>
    </row>
    <row r="32" spans="2:22" ht="15" thickTop="1" x14ac:dyDescent="0.35">
      <c r="B32" s="7" t="s">
        <v>108</v>
      </c>
      <c r="C32" s="150" t="s">
        <v>34</v>
      </c>
      <c r="D32" s="42" t="s">
        <v>34</v>
      </c>
      <c r="E32" s="155" t="s">
        <v>34</v>
      </c>
      <c r="F32" s="70" t="s">
        <v>34</v>
      </c>
      <c r="G32" s="99">
        <v>525</v>
      </c>
      <c r="H32" s="175">
        <v>9.84</v>
      </c>
      <c r="I32" s="96">
        <v>0.31</v>
      </c>
      <c r="J32" s="155" t="s">
        <v>34</v>
      </c>
      <c r="K32" s="92" t="s">
        <v>34</v>
      </c>
      <c r="L32" s="94">
        <v>4.9799999999999997E-2</v>
      </c>
      <c r="M32" s="96">
        <v>4.5100000000000001E-2</v>
      </c>
      <c r="N32" s="96" t="s">
        <v>34</v>
      </c>
      <c r="O32" s="41">
        <v>5.5E-2</v>
      </c>
      <c r="P32" s="99">
        <f>G32*M32</f>
        <v>23.677500000000002</v>
      </c>
      <c r="Q32" s="167">
        <f>G32*O32</f>
        <v>28.875</v>
      </c>
      <c r="R32" s="167"/>
      <c r="S32" s="104" t="s">
        <v>108</v>
      </c>
      <c r="T32" s="42" t="s">
        <v>34</v>
      </c>
      <c r="U32" s="42" t="s">
        <v>34</v>
      </c>
      <c r="V32" s="147" t="s">
        <v>34</v>
      </c>
    </row>
    <row r="33" spans="2:23" x14ac:dyDescent="0.35">
      <c r="B33" s="7" t="s">
        <v>218</v>
      </c>
      <c r="C33" s="150" t="s">
        <v>34</v>
      </c>
      <c r="D33" s="42" t="s">
        <v>34</v>
      </c>
      <c r="E33" s="155" t="s">
        <v>34</v>
      </c>
      <c r="F33" s="70" t="s">
        <v>34</v>
      </c>
      <c r="G33" s="99">
        <v>413</v>
      </c>
      <c r="H33" s="175">
        <v>85.3</v>
      </c>
      <c r="I33" s="96">
        <v>0.28999999999999998</v>
      </c>
      <c r="J33" s="155" t="s">
        <v>34</v>
      </c>
      <c r="K33" s="92" t="s">
        <v>34</v>
      </c>
      <c r="L33" s="94">
        <v>2.1899999999999999E-2</v>
      </c>
      <c r="M33" s="96">
        <v>2.5899999999999999E-2</v>
      </c>
      <c r="N33" s="96" t="s">
        <v>34</v>
      </c>
      <c r="O33" s="41">
        <v>0.03</v>
      </c>
      <c r="P33" s="99">
        <f t="shared" ref="P33:P41" si="6">G33*M33</f>
        <v>10.6967</v>
      </c>
      <c r="Q33" s="167">
        <f t="shared" ref="Q33:Q41" si="7">G33*O33</f>
        <v>12.389999999999999</v>
      </c>
      <c r="R33" s="167"/>
      <c r="S33" s="104" t="s">
        <v>113</v>
      </c>
      <c r="T33" s="42" t="s">
        <v>34</v>
      </c>
      <c r="U33" s="42" t="s">
        <v>34</v>
      </c>
      <c r="V33" s="147" t="s">
        <v>34</v>
      </c>
    </row>
    <row r="34" spans="2:23" x14ac:dyDescent="0.35">
      <c r="B34" s="7" t="s">
        <v>109</v>
      </c>
      <c r="C34" s="150" t="s">
        <v>34</v>
      </c>
      <c r="D34" s="42" t="s">
        <v>34</v>
      </c>
      <c r="E34" s="155" t="s">
        <v>34</v>
      </c>
      <c r="F34" s="70" t="s">
        <v>34</v>
      </c>
      <c r="G34" s="99">
        <v>20</v>
      </c>
      <c r="H34" s="175">
        <v>26</v>
      </c>
      <c r="I34" s="126" t="s">
        <v>34</v>
      </c>
      <c r="J34" s="155" t="s">
        <v>34</v>
      </c>
      <c r="K34" s="92" t="s">
        <v>34</v>
      </c>
      <c r="L34" s="94">
        <v>0.24</v>
      </c>
      <c r="M34" s="96">
        <v>0.33400000000000002</v>
      </c>
      <c r="N34" s="96" t="s">
        <v>34</v>
      </c>
      <c r="O34" s="41">
        <v>0.33300000000000002</v>
      </c>
      <c r="P34" s="99">
        <f t="shared" si="6"/>
        <v>6.6800000000000006</v>
      </c>
      <c r="Q34" s="167">
        <f t="shared" si="7"/>
        <v>6.66</v>
      </c>
      <c r="R34" s="167"/>
      <c r="S34" s="104" t="s">
        <v>109</v>
      </c>
      <c r="T34" s="42" t="s">
        <v>34</v>
      </c>
      <c r="U34" s="42" t="s">
        <v>34</v>
      </c>
      <c r="V34" s="147" t="s">
        <v>34</v>
      </c>
    </row>
    <row r="35" spans="2:23" x14ac:dyDescent="0.35">
      <c r="B35" s="7" t="s">
        <v>1154</v>
      </c>
      <c r="C35" s="150" t="s">
        <v>34</v>
      </c>
      <c r="D35" s="42" t="s">
        <v>34</v>
      </c>
      <c r="E35" s="155" t="s">
        <v>34</v>
      </c>
      <c r="F35" s="70" t="s">
        <v>34</v>
      </c>
      <c r="G35" s="99">
        <v>1710</v>
      </c>
      <c r="H35" s="175">
        <v>51.7</v>
      </c>
      <c r="I35" s="96">
        <v>0.44</v>
      </c>
      <c r="J35" s="155" t="s">
        <v>34</v>
      </c>
      <c r="K35" s="92" t="s">
        <v>34</v>
      </c>
      <c r="L35" s="94">
        <v>2.81E-2</v>
      </c>
      <c r="M35" s="96">
        <v>2.7199999999999998E-2</v>
      </c>
      <c r="N35" s="96" t="s">
        <v>34</v>
      </c>
      <c r="O35" s="41">
        <v>2.8000000000000001E-2</v>
      </c>
      <c r="P35" s="99">
        <f>G35*M35</f>
        <v>46.512</v>
      </c>
      <c r="Q35" s="167">
        <f t="shared" ref="Q35" si="8">G35*O35</f>
        <v>47.88</v>
      </c>
      <c r="R35" s="167"/>
      <c r="S35" s="104"/>
      <c r="T35" s="42"/>
      <c r="U35" s="42"/>
      <c r="V35" s="147"/>
    </row>
    <row r="36" spans="2:23" x14ac:dyDescent="0.35">
      <c r="B36" s="7" t="s">
        <v>112</v>
      </c>
      <c r="C36" s="150" t="s">
        <v>34</v>
      </c>
      <c r="D36" s="42" t="s">
        <v>34</v>
      </c>
      <c r="E36" s="155" t="s">
        <v>34</v>
      </c>
      <c r="F36" s="70" t="s">
        <v>34</v>
      </c>
      <c r="G36" s="99">
        <v>375</v>
      </c>
      <c r="H36" s="175">
        <v>240.5</v>
      </c>
      <c r="I36" s="96">
        <v>0.104</v>
      </c>
      <c r="J36" s="155" t="s">
        <v>34</v>
      </c>
      <c r="K36" s="92" t="s">
        <v>34</v>
      </c>
      <c r="L36" s="94">
        <v>2.87E-2</v>
      </c>
      <c r="M36" s="96">
        <v>2.63E-2</v>
      </c>
      <c r="N36" s="96" t="s">
        <v>34</v>
      </c>
      <c r="O36" s="41">
        <v>2.63E-2</v>
      </c>
      <c r="P36" s="99">
        <f t="shared" si="6"/>
        <v>9.8625000000000007</v>
      </c>
      <c r="Q36" s="167">
        <f t="shared" si="7"/>
        <v>9.8625000000000007</v>
      </c>
      <c r="R36" s="167"/>
      <c r="S36" s="104" t="s">
        <v>112</v>
      </c>
      <c r="T36" s="42" t="s">
        <v>34</v>
      </c>
      <c r="U36" s="42" t="s">
        <v>34</v>
      </c>
      <c r="V36" s="147" t="s">
        <v>34</v>
      </c>
    </row>
    <row r="37" spans="2:23" x14ac:dyDescent="0.35">
      <c r="B37" s="7" t="s">
        <v>110</v>
      </c>
      <c r="C37" s="150" t="s">
        <v>34</v>
      </c>
      <c r="D37" s="42" t="s">
        <v>34</v>
      </c>
      <c r="E37" s="155" t="s">
        <v>34</v>
      </c>
      <c r="F37" s="70" t="s">
        <v>34</v>
      </c>
      <c r="G37" s="99">
        <v>3417</v>
      </c>
      <c r="H37" s="175">
        <v>1390</v>
      </c>
      <c r="I37" s="96">
        <v>0.22</v>
      </c>
      <c r="J37" s="155" t="s">
        <v>34</v>
      </c>
      <c r="K37" s="92" t="s">
        <v>34</v>
      </c>
      <c r="L37" s="94">
        <v>2.47E-2</v>
      </c>
      <c r="M37" s="96">
        <v>2.4299999999999999E-2</v>
      </c>
      <c r="N37" s="96" t="s">
        <v>34</v>
      </c>
      <c r="O37" s="41">
        <f>M37</f>
        <v>2.4299999999999999E-2</v>
      </c>
      <c r="P37" s="99">
        <f t="shared" si="6"/>
        <v>83.03309999999999</v>
      </c>
      <c r="Q37" s="167">
        <f>G37*O37</f>
        <v>83.03309999999999</v>
      </c>
      <c r="R37" s="167"/>
      <c r="S37" s="104" t="s">
        <v>110</v>
      </c>
      <c r="T37" s="42" t="s">
        <v>34</v>
      </c>
      <c r="U37" s="42" t="s">
        <v>34</v>
      </c>
      <c r="V37" s="147" t="s">
        <v>34</v>
      </c>
    </row>
    <row r="38" spans="2:23" x14ac:dyDescent="0.35">
      <c r="B38" s="7" t="s">
        <v>215</v>
      </c>
      <c r="C38" s="150" t="s">
        <v>34</v>
      </c>
      <c r="D38" s="42" t="s">
        <v>34</v>
      </c>
      <c r="E38" s="155" t="s">
        <v>34</v>
      </c>
      <c r="F38" s="70" t="s">
        <v>34</v>
      </c>
      <c r="G38" s="99">
        <v>907</v>
      </c>
      <c r="H38" s="175">
        <v>85.4</v>
      </c>
      <c r="I38" s="96">
        <v>0.32</v>
      </c>
      <c r="J38" s="155" t="s">
        <v>34</v>
      </c>
      <c r="K38" s="92" t="s">
        <v>34</v>
      </c>
      <c r="L38" s="94">
        <v>1.9E-2</v>
      </c>
      <c r="M38" s="96">
        <v>1.23E-2</v>
      </c>
      <c r="N38" s="96">
        <v>1.3100000000000001E-2</v>
      </c>
      <c r="O38" s="41">
        <v>1.3100000000000001E-2</v>
      </c>
      <c r="P38" s="99">
        <f>G38*N38</f>
        <v>11.8817</v>
      </c>
      <c r="Q38" s="167">
        <f>G38*O38</f>
        <v>11.8817</v>
      </c>
      <c r="R38" s="167"/>
      <c r="S38" s="104"/>
      <c r="T38" s="42"/>
      <c r="U38" s="42"/>
      <c r="V38" s="147"/>
    </row>
    <row r="39" spans="2:23" x14ac:dyDescent="0.35">
      <c r="B39" s="7" t="s">
        <v>1165</v>
      </c>
      <c r="C39" s="150" t="s">
        <v>34</v>
      </c>
      <c r="D39" s="42" t="s">
        <v>34</v>
      </c>
      <c r="E39" s="155" t="s">
        <v>34</v>
      </c>
      <c r="F39" s="70" t="s">
        <v>34</v>
      </c>
      <c r="G39" s="99">
        <v>437</v>
      </c>
      <c r="H39" s="175">
        <v>111.9</v>
      </c>
      <c r="I39" s="96">
        <v>0.27</v>
      </c>
      <c r="J39" s="155" t="s">
        <v>34</v>
      </c>
      <c r="K39" s="92" t="s">
        <v>34</v>
      </c>
      <c r="L39" s="94">
        <v>1.41E-2</v>
      </c>
      <c r="M39" s="96">
        <v>9.9600000000000001E-3</v>
      </c>
      <c r="N39" s="96" t="s">
        <v>34</v>
      </c>
      <c r="O39" s="41">
        <v>0.01</v>
      </c>
      <c r="P39" s="99">
        <f t="shared" si="6"/>
        <v>4.3525200000000002</v>
      </c>
      <c r="Q39" s="167">
        <f t="shared" si="7"/>
        <v>4.37</v>
      </c>
      <c r="R39" s="167"/>
      <c r="S39" s="104"/>
      <c r="T39" s="42"/>
      <c r="U39" s="42"/>
      <c r="V39" s="147"/>
    </row>
    <row r="40" spans="2:23" x14ac:dyDescent="0.35">
      <c r="B40" s="7" t="s">
        <v>137</v>
      </c>
      <c r="C40" s="150" t="s">
        <v>34</v>
      </c>
      <c r="D40" s="42" t="s">
        <v>34</v>
      </c>
      <c r="E40" s="155" t="s">
        <v>34</v>
      </c>
      <c r="F40" s="70" t="s">
        <v>34</v>
      </c>
      <c r="G40" s="99">
        <v>775</v>
      </c>
      <c r="H40" s="175">
        <v>23.4</v>
      </c>
      <c r="I40" s="96">
        <f>40*12/G40</f>
        <v>0.61935483870967745</v>
      </c>
      <c r="J40" s="155" t="s">
        <v>34</v>
      </c>
      <c r="K40" s="92" t="s">
        <v>34</v>
      </c>
      <c r="L40" s="94">
        <v>1.7100000000000001E-2</v>
      </c>
      <c r="M40" s="96">
        <v>1.6E-2</v>
      </c>
      <c r="N40" s="96" t="s">
        <v>34</v>
      </c>
      <c r="O40" s="41">
        <v>0.02</v>
      </c>
      <c r="P40" s="99">
        <f t="shared" si="6"/>
        <v>12.4</v>
      </c>
      <c r="Q40" s="167">
        <f t="shared" si="7"/>
        <v>15.5</v>
      </c>
      <c r="R40" s="167"/>
      <c r="S40" s="104" t="s">
        <v>137</v>
      </c>
      <c r="T40" s="42" t="s">
        <v>34</v>
      </c>
      <c r="U40" s="42" t="s">
        <v>34</v>
      </c>
      <c r="V40" s="147" t="s">
        <v>34</v>
      </c>
    </row>
    <row r="41" spans="2:23" ht="15" thickBot="1" x14ac:dyDescent="0.4">
      <c r="B41" s="13" t="s">
        <v>111</v>
      </c>
      <c r="C41" s="153" t="s">
        <v>34</v>
      </c>
      <c r="D41" s="108" t="s">
        <v>34</v>
      </c>
      <c r="E41" s="156" t="s">
        <v>34</v>
      </c>
      <c r="F41" s="68" t="s">
        <v>34</v>
      </c>
      <c r="G41" s="129">
        <v>17963</v>
      </c>
      <c r="H41" s="231">
        <v>1410</v>
      </c>
      <c r="I41" s="131">
        <v>0.19700000000000001</v>
      </c>
      <c r="J41" s="156" t="s">
        <v>34</v>
      </c>
      <c r="K41" s="135" t="s">
        <v>34</v>
      </c>
      <c r="L41" s="130">
        <v>1.61E-2</v>
      </c>
      <c r="M41" s="131">
        <v>1.6E-2</v>
      </c>
      <c r="N41" s="131" t="s">
        <v>34</v>
      </c>
      <c r="O41" s="132">
        <v>1.7500000000000002E-2</v>
      </c>
      <c r="P41" s="129">
        <f t="shared" si="6"/>
        <v>287.40800000000002</v>
      </c>
      <c r="Q41" s="169">
        <f t="shared" si="7"/>
        <v>314.35250000000002</v>
      </c>
      <c r="R41" s="167"/>
      <c r="S41" s="106" t="s">
        <v>111</v>
      </c>
      <c r="T41" s="108" t="s">
        <v>34</v>
      </c>
      <c r="U41" s="108" t="s">
        <v>34</v>
      </c>
      <c r="V41" s="148" t="s">
        <v>34</v>
      </c>
    </row>
    <row r="42" spans="2:23" ht="15" thickTop="1" x14ac:dyDescent="0.35">
      <c r="B42" s="3"/>
      <c r="C42" s="117"/>
      <c r="D42" s="119"/>
      <c r="E42" s="118"/>
      <c r="F42" s="118"/>
      <c r="G42" s="133"/>
      <c r="H42" s="133"/>
      <c r="I42" s="133"/>
      <c r="J42" s="133"/>
      <c r="K42" s="128"/>
      <c r="L42" s="95"/>
      <c r="M42" s="95"/>
      <c r="N42" s="95"/>
      <c r="O42" s="95"/>
      <c r="P42" s="133"/>
      <c r="Q42" s="133"/>
      <c r="R42" s="133"/>
      <c r="T42" s="119"/>
      <c r="U42" s="119"/>
      <c r="V42" s="119"/>
    </row>
    <row r="45" spans="2:23" ht="15" thickBot="1" x14ac:dyDescent="0.4">
      <c r="B45" s="3" t="s">
        <v>21</v>
      </c>
      <c r="C45" s="3"/>
      <c r="E45" s="3"/>
      <c r="T45" s="3"/>
      <c r="U45" s="3"/>
    </row>
    <row r="46" spans="2:23" ht="15" thickTop="1" x14ac:dyDescent="0.35">
      <c r="B46" s="5"/>
      <c r="C46" s="233" t="str">
        <f>C6</f>
        <v>Jan. 24, 2022 to Jan. 15 2024 in billion EUR</v>
      </c>
      <c r="D46" s="236"/>
      <c r="E46" s="15" t="str">
        <f t="shared" ref="E46:L46" si="9">E6</f>
        <v>Annualized</v>
      </c>
      <c r="F46" s="39" t="str">
        <f t="shared" si="9"/>
        <v>Annualized</v>
      </c>
      <c r="G46" s="15" t="str">
        <f t="shared" si="9"/>
        <v>Latest annual</v>
      </c>
      <c r="H46" s="15" t="str">
        <f t="shared" si="9"/>
        <v>Population</v>
      </c>
      <c r="I46" s="15" t="str">
        <f t="shared" si="9"/>
        <v>Exports</v>
      </c>
      <c r="J46" s="15" t="str">
        <f t="shared" si="9"/>
        <v>Annual</v>
      </c>
      <c r="K46" s="15" t="str">
        <f t="shared" si="9"/>
        <v>Annual</v>
      </c>
      <c r="L46" s="233" t="str">
        <f t="shared" si="9"/>
        <v>Military spending in % of GDP</v>
      </c>
      <c r="M46" s="234"/>
      <c r="N46" s="234"/>
      <c r="O46" s="236"/>
      <c r="P46" s="15" t="str">
        <f>P6</f>
        <v>Military spending</v>
      </c>
      <c r="Q46" s="15"/>
      <c r="R46" s="141"/>
      <c r="S46" s="137"/>
      <c r="T46" s="6" t="s">
        <v>81</v>
      </c>
      <c r="U46" s="6"/>
      <c r="V46" s="6"/>
    </row>
    <row r="47" spans="2:23" x14ac:dyDescent="0.35">
      <c r="B47" s="51"/>
      <c r="C47" s="7" t="str">
        <f>C7</f>
        <v>Military aid</v>
      </c>
      <c r="D47" s="140" t="str">
        <f t="shared" ref="D47:K48" si="10">D7</f>
        <v>Military, financial &amp;</v>
      </c>
      <c r="E47" s="7" t="str">
        <f t="shared" si="10"/>
        <v>Military aid</v>
      </c>
      <c r="F47" s="140" t="str">
        <f t="shared" si="10"/>
        <v>Mil.,fin.,hum.</v>
      </c>
      <c r="G47" s="7" t="str">
        <f t="shared" si="10"/>
        <v xml:space="preserve">GDP in </v>
      </c>
      <c r="H47" s="7" t="str">
        <f t="shared" si="10"/>
        <v>in 2023 in</v>
      </c>
      <c r="I47" s="7" t="str">
        <f t="shared" si="10"/>
        <v>in % of</v>
      </c>
      <c r="J47" s="7" t="str">
        <f t="shared" si="10"/>
        <v>military aid</v>
      </c>
      <c r="K47" s="7" t="str">
        <f t="shared" si="10"/>
        <v>total aid</v>
      </c>
      <c r="L47" s="7"/>
      <c r="M47" s="3"/>
      <c r="N47" s="3"/>
      <c r="O47" s="140" t="str">
        <f>O7</f>
        <v>My guess</v>
      </c>
      <c r="P47" s="7" t="str">
        <f>P7</f>
        <v>in billion USD</v>
      </c>
      <c r="Q47" s="7"/>
      <c r="R47" s="141"/>
      <c r="S47" s="123"/>
      <c r="T47" s="3"/>
      <c r="U47" s="3"/>
      <c r="V47" s="3"/>
    </row>
    <row r="48" spans="2:23" ht="15" thickBot="1" x14ac:dyDescent="0.4">
      <c r="B48" s="17"/>
      <c r="C48" s="13"/>
      <c r="D48" s="40" t="str">
        <f t="shared" si="10"/>
        <v>humanitarian aid</v>
      </c>
      <c r="E48" s="13" t="str">
        <f t="shared" si="10"/>
        <v>billion USD</v>
      </c>
      <c r="F48" s="40" t="str">
        <f t="shared" si="10"/>
        <v>billion USD</v>
      </c>
      <c r="G48" s="13" t="str">
        <f t="shared" si="10"/>
        <v>billion USD</v>
      </c>
      <c r="H48" s="13" t="str">
        <f t="shared" si="10"/>
        <v>millions</v>
      </c>
      <c r="I48" s="13" t="str">
        <f t="shared" si="10"/>
        <v>GDP</v>
      </c>
      <c r="J48" s="13" t="str">
        <f t="shared" si="10"/>
        <v>in % GDP</v>
      </c>
      <c r="K48" s="13" t="str">
        <f t="shared" si="10"/>
        <v>in % GDP</v>
      </c>
      <c r="L48" s="13">
        <f>L8</f>
        <v>2021</v>
      </c>
      <c r="M48" s="18">
        <f>M8</f>
        <v>2022</v>
      </c>
      <c r="N48" s="18">
        <f>N8</f>
        <v>2023</v>
      </c>
      <c r="O48" s="40">
        <f>O8</f>
        <v>2024</v>
      </c>
      <c r="P48" s="13">
        <f>P8</f>
        <v>2023</v>
      </c>
      <c r="Q48" s="18">
        <f>Q8</f>
        <v>2024</v>
      </c>
      <c r="R48" s="104"/>
      <c r="S48" s="112"/>
      <c r="T48" s="18" t="s">
        <v>82</v>
      </c>
      <c r="U48" s="18" t="s">
        <v>83</v>
      </c>
      <c r="V48" s="18" t="s">
        <v>84</v>
      </c>
      <c r="W48" s="3" t="s">
        <v>34</v>
      </c>
    </row>
    <row r="49" spans="2:23" ht="15" thickTop="1" x14ac:dyDescent="0.35">
      <c r="B49" s="65" t="str">
        <f t="shared" ref="B49:B79" si="11">B9</f>
        <v xml:space="preserve">European Union </v>
      </c>
      <c r="C49" s="15"/>
      <c r="D49" s="23" t="s">
        <v>25</v>
      </c>
      <c r="E49" s="6"/>
      <c r="F49" s="69" t="s">
        <v>24</v>
      </c>
      <c r="G49" s="29" t="s">
        <v>70</v>
      </c>
      <c r="H49" s="161" t="s">
        <v>220</v>
      </c>
      <c r="I49" s="161" t="s">
        <v>1173</v>
      </c>
      <c r="J49" s="5" t="s">
        <v>35</v>
      </c>
      <c r="K49" s="24" t="s">
        <v>35</v>
      </c>
      <c r="L49" s="124" t="s">
        <v>34</v>
      </c>
      <c r="M49" s="125" t="s">
        <v>34</v>
      </c>
      <c r="N49" s="126" t="s">
        <v>34</v>
      </c>
      <c r="O49" s="164" t="s">
        <v>34</v>
      </c>
      <c r="P49" s="105" t="s">
        <v>88</v>
      </c>
      <c r="Q49" s="105" t="s">
        <v>88</v>
      </c>
      <c r="R49" s="105"/>
      <c r="S49" s="138" t="s">
        <v>41</v>
      </c>
      <c r="T49" t="s">
        <v>25</v>
      </c>
      <c r="U49" t="s">
        <v>25</v>
      </c>
      <c r="V49" t="s">
        <v>25</v>
      </c>
      <c r="W49" s="3" t="s">
        <v>34</v>
      </c>
    </row>
    <row r="50" spans="2:23" x14ac:dyDescent="0.35">
      <c r="B50" s="7" t="str">
        <f t="shared" si="11"/>
        <v>USA (nuclear weapons) NATO</v>
      </c>
      <c r="C50" s="85" t="s">
        <v>25</v>
      </c>
      <c r="D50" s="84" t="s">
        <v>25</v>
      </c>
      <c r="E50" s="20"/>
      <c r="F50" s="70" t="s">
        <v>24</v>
      </c>
      <c r="G50" s="85" t="s">
        <v>36</v>
      </c>
      <c r="H50" s="20" t="s">
        <v>219</v>
      </c>
      <c r="I50" s="20" t="s">
        <v>1172</v>
      </c>
      <c r="J50" s="51" t="s">
        <v>35</v>
      </c>
      <c r="K50" s="25" t="s">
        <v>35</v>
      </c>
      <c r="L50" s="51" t="s">
        <v>93</v>
      </c>
      <c r="M50" s="4" t="s">
        <v>93</v>
      </c>
      <c r="N50" s="216" t="s">
        <v>90</v>
      </c>
      <c r="O50" s="41" t="s">
        <v>156</v>
      </c>
      <c r="P50" s="105" t="s">
        <v>35</v>
      </c>
      <c r="Q50" s="105" t="s">
        <v>35</v>
      </c>
      <c r="R50" s="105"/>
      <c r="S50" s="104" t="s">
        <v>114</v>
      </c>
      <c r="T50" t="s">
        <v>25</v>
      </c>
      <c r="U50" t="s">
        <v>25</v>
      </c>
      <c r="V50" t="s">
        <v>25</v>
      </c>
      <c r="W50" s="3" t="s">
        <v>34</v>
      </c>
    </row>
    <row r="51" spans="2:23" x14ac:dyDescent="0.35">
      <c r="B51" s="65" t="str">
        <f t="shared" si="11"/>
        <v>Germany NATO</v>
      </c>
      <c r="C51" s="85" t="s">
        <v>25</v>
      </c>
      <c r="D51" s="26" t="s">
        <v>25</v>
      </c>
      <c r="E51" s="20"/>
      <c r="F51" s="70" t="s">
        <v>24</v>
      </c>
      <c r="G51" s="31" t="s">
        <v>37</v>
      </c>
      <c r="H51" s="97" t="s">
        <v>221</v>
      </c>
      <c r="I51" s="97" t="s">
        <v>1177</v>
      </c>
      <c r="J51" s="51" t="s">
        <v>35</v>
      </c>
      <c r="K51" s="25" t="s">
        <v>35</v>
      </c>
      <c r="L51" s="51" t="s">
        <v>94</v>
      </c>
      <c r="M51" t="s">
        <v>94</v>
      </c>
      <c r="N51" s="216" t="s">
        <v>90</v>
      </c>
      <c r="O51" s="41" t="s">
        <v>156</v>
      </c>
      <c r="P51" s="105" t="s">
        <v>35</v>
      </c>
      <c r="Q51" s="105" t="s">
        <v>35</v>
      </c>
      <c r="R51" s="105"/>
      <c r="S51" s="138" t="s">
        <v>123</v>
      </c>
      <c r="T51" t="s">
        <v>25</v>
      </c>
      <c r="U51" t="s">
        <v>25</v>
      </c>
      <c r="V51" t="s">
        <v>25</v>
      </c>
      <c r="W51" s="3" t="s">
        <v>34</v>
      </c>
    </row>
    <row r="52" spans="2:23" x14ac:dyDescent="0.35">
      <c r="B52" s="65" t="str">
        <f t="shared" si="11"/>
        <v>UK (nuclear weapons) NATO</v>
      </c>
      <c r="C52" s="85" t="s">
        <v>25</v>
      </c>
      <c r="D52" s="26" t="s">
        <v>25</v>
      </c>
      <c r="E52" s="20"/>
      <c r="F52" s="70" t="s">
        <v>24</v>
      </c>
      <c r="G52" s="31" t="s">
        <v>38</v>
      </c>
      <c r="H52" s="97" t="s">
        <v>222</v>
      </c>
      <c r="I52" s="97" t="s">
        <v>1178</v>
      </c>
      <c r="J52" s="51" t="s">
        <v>35</v>
      </c>
      <c r="K52" s="25" t="s">
        <v>35</v>
      </c>
      <c r="L52" s="31" t="s">
        <v>98</v>
      </c>
      <c r="M52" s="97" t="s">
        <v>98</v>
      </c>
      <c r="N52" s="216" t="s">
        <v>90</v>
      </c>
      <c r="O52" s="41" t="s">
        <v>156</v>
      </c>
      <c r="P52" s="105" t="s">
        <v>35</v>
      </c>
      <c r="Q52" s="105" t="s">
        <v>35</v>
      </c>
      <c r="R52" s="105"/>
      <c r="S52" s="138" t="s">
        <v>104</v>
      </c>
      <c r="T52" t="s">
        <v>25</v>
      </c>
      <c r="U52" t="s">
        <v>25</v>
      </c>
      <c r="V52" t="s">
        <v>25</v>
      </c>
      <c r="W52" s="3" t="s">
        <v>34</v>
      </c>
    </row>
    <row r="53" spans="2:23" x14ac:dyDescent="0.35">
      <c r="B53" s="65" t="str">
        <f t="shared" si="11"/>
        <v>Denmark NATO</v>
      </c>
      <c r="C53" s="85" t="s">
        <v>25</v>
      </c>
      <c r="D53" s="26" t="s">
        <v>25</v>
      </c>
      <c r="E53" s="20"/>
      <c r="F53" s="70" t="s">
        <v>24</v>
      </c>
      <c r="G53" s="31" t="s">
        <v>45</v>
      </c>
      <c r="H53" s="97" t="s">
        <v>224</v>
      </c>
      <c r="I53" s="97" t="s">
        <v>1179</v>
      </c>
      <c r="J53" s="51" t="s">
        <v>35</v>
      </c>
      <c r="K53" s="25" t="s">
        <v>35</v>
      </c>
      <c r="L53" s="51" t="s">
        <v>103</v>
      </c>
      <c r="M53" t="s">
        <v>103</v>
      </c>
      <c r="N53" s="216" t="s">
        <v>90</v>
      </c>
      <c r="O53" s="41" t="s">
        <v>156</v>
      </c>
      <c r="P53" s="105" t="s">
        <v>35</v>
      </c>
      <c r="Q53" s="105" t="s">
        <v>35</v>
      </c>
      <c r="R53" s="105"/>
      <c r="S53" s="138" t="s">
        <v>119</v>
      </c>
      <c r="T53" t="s">
        <v>25</v>
      </c>
      <c r="U53" t="s">
        <v>25</v>
      </c>
      <c r="V53" t="s">
        <v>25</v>
      </c>
      <c r="W53" s="3" t="s">
        <v>34</v>
      </c>
    </row>
    <row r="54" spans="2:23" x14ac:dyDescent="0.35">
      <c r="B54" s="65" t="str">
        <f t="shared" si="11"/>
        <v>Norway NATO</v>
      </c>
      <c r="C54" s="85" t="s">
        <v>25</v>
      </c>
      <c r="D54" s="26" t="s">
        <v>25</v>
      </c>
      <c r="E54" s="20"/>
      <c r="F54" s="70" t="s">
        <v>24</v>
      </c>
      <c r="G54" s="31" t="s">
        <v>39</v>
      </c>
      <c r="H54" s="97" t="s">
        <v>225</v>
      </c>
      <c r="I54" s="97" t="s">
        <v>1180</v>
      </c>
      <c r="J54" s="51" t="s">
        <v>35</v>
      </c>
      <c r="K54" s="25" t="s">
        <v>35</v>
      </c>
      <c r="L54" s="51" t="s">
        <v>99</v>
      </c>
      <c r="M54" t="s">
        <v>99</v>
      </c>
      <c r="N54" s="216" t="s">
        <v>90</v>
      </c>
      <c r="O54" s="41" t="s">
        <v>156</v>
      </c>
      <c r="P54" s="105" t="s">
        <v>35</v>
      </c>
      <c r="Q54" s="105" t="s">
        <v>35</v>
      </c>
      <c r="R54" s="105"/>
      <c r="S54" s="138" t="s">
        <v>121</v>
      </c>
      <c r="T54" t="s">
        <v>25</v>
      </c>
      <c r="U54" t="s">
        <v>25</v>
      </c>
      <c r="V54" t="s">
        <v>25</v>
      </c>
      <c r="W54" s="3" t="s">
        <v>34</v>
      </c>
    </row>
    <row r="55" spans="2:23" x14ac:dyDescent="0.35">
      <c r="B55" s="7" t="str">
        <f t="shared" si="11"/>
        <v>Japan</v>
      </c>
      <c r="C55" s="85" t="s">
        <v>25</v>
      </c>
      <c r="D55" s="26" t="s">
        <v>25</v>
      </c>
      <c r="E55" s="20"/>
      <c r="F55" s="70" t="s">
        <v>24</v>
      </c>
      <c r="G55" s="31" t="s">
        <v>40</v>
      </c>
      <c r="H55" s="97" t="s">
        <v>226</v>
      </c>
      <c r="I55" s="97" t="s">
        <v>1181</v>
      </c>
      <c r="J55" s="51" t="s">
        <v>35</v>
      </c>
      <c r="K55" s="25" t="s">
        <v>35</v>
      </c>
      <c r="L55" s="51" t="s">
        <v>89</v>
      </c>
      <c r="M55" t="s">
        <v>89</v>
      </c>
      <c r="N55" t="s">
        <v>34</v>
      </c>
      <c r="O55" s="41" t="s">
        <v>156</v>
      </c>
      <c r="P55" s="105" t="s">
        <v>35</v>
      </c>
      <c r="Q55" s="105" t="s">
        <v>35</v>
      </c>
      <c r="R55" s="105"/>
      <c r="S55" s="104" t="s">
        <v>11</v>
      </c>
      <c r="T55" t="s">
        <v>25</v>
      </c>
      <c r="U55" t="s">
        <v>25</v>
      </c>
      <c r="V55" t="s">
        <v>25</v>
      </c>
      <c r="W55" s="3" t="s">
        <v>34</v>
      </c>
    </row>
    <row r="56" spans="2:23" x14ac:dyDescent="0.35">
      <c r="B56" s="7" t="str">
        <f t="shared" si="11"/>
        <v>Canada NATO</v>
      </c>
      <c r="C56" s="85" t="s">
        <v>25</v>
      </c>
      <c r="D56" s="26" t="s">
        <v>25</v>
      </c>
      <c r="E56" s="20"/>
      <c r="F56" s="70" t="s">
        <v>24</v>
      </c>
      <c r="G56" s="31" t="s">
        <v>42</v>
      </c>
      <c r="H56" s="97" t="s">
        <v>227</v>
      </c>
      <c r="I56" s="97" t="s">
        <v>1182</v>
      </c>
      <c r="J56" s="51" t="s">
        <v>35</v>
      </c>
      <c r="K56" s="25" t="s">
        <v>35</v>
      </c>
      <c r="L56" s="51" t="s">
        <v>100</v>
      </c>
      <c r="M56" t="s">
        <v>100</v>
      </c>
      <c r="N56" s="216" t="s">
        <v>90</v>
      </c>
      <c r="O56" s="41" t="s">
        <v>156</v>
      </c>
      <c r="P56" s="105" t="s">
        <v>35</v>
      </c>
      <c r="Q56" s="105" t="s">
        <v>35</v>
      </c>
      <c r="R56" s="105"/>
      <c r="S56" s="104" t="s">
        <v>122</v>
      </c>
      <c r="T56" t="s">
        <v>25</v>
      </c>
      <c r="U56" t="s">
        <v>25</v>
      </c>
      <c r="V56" t="s">
        <v>25</v>
      </c>
      <c r="W56" s="3" t="s">
        <v>34</v>
      </c>
    </row>
    <row r="57" spans="2:23" x14ac:dyDescent="0.35">
      <c r="B57" s="65" t="str">
        <f t="shared" si="11"/>
        <v>Poland NATO</v>
      </c>
      <c r="C57" s="85" t="s">
        <v>25</v>
      </c>
      <c r="D57" s="26" t="s">
        <v>25</v>
      </c>
      <c r="E57" s="20"/>
      <c r="F57" s="70" t="s">
        <v>24</v>
      </c>
      <c r="G57" s="31" t="s">
        <v>43</v>
      </c>
      <c r="H57" s="97" t="s">
        <v>228</v>
      </c>
      <c r="I57" s="97" t="s">
        <v>1183</v>
      </c>
      <c r="J57" s="51" t="s">
        <v>35</v>
      </c>
      <c r="K57" s="25" t="s">
        <v>35</v>
      </c>
      <c r="L57" s="51" t="s">
        <v>101</v>
      </c>
      <c r="M57" t="s">
        <v>101</v>
      </c>
      <c r="N57" s="216" t="s">
        <v>90</v>
      </c>
      <c r="O57" s="41" t="s">
        <v>156</v>
      </c>
      <c r="P57" s="105" t="s">
        <v>35</v>
      </c>
      <c r="Q57" s="105" t="s">
        <v>35</v>
      </c>
      <c r="R57" s="105"/>
      <c r="S57" s="138" t="s">
        <v>124</v>
      </c>
      <c r="T57" t="s">
        <v>25</v>
      </c>
      <c r="U57" t="s">
        <v>25</v>
      </c>
      <c r="V57" t="s">
        <v>25</v>
      </c>
      <c r="W57" s="3" t="s">
        <v>34</v>
      </c>
    </row>
    <row r="58" spans="2:23" x14ac:dyDescent="0.35">
      <c r="B58" s="65" t="str">
        <f t="shared" si="11"/>
        <v>Netherlands NATO</v>
      </c>
      <c r="C58" s="85" t="s">
        <v>25</v>
      </c>
      <c r="D58" s="26" t="s">
        <v>25</v>
      </c>
      <c r="E58" s="20"/>
      <c r="F58" s="70" t="s">
        <v>24</v>
      </c>
      <c r="G58" s="31" t="s">
        <v>44</v>
      </c>
      <c r="H58" s="97" t="s">
        <v>229</v>
      </c>
      <c r="I58" s="97" t="s">
        <v>1184</v>
      </c>
      <c r="J58" s="51" t="s">
        <v>35</v>
      </c>
      <c r="K58" s="25" t="s">
        <v>35</v>
      </c>
      <c r="L58" s="51" t="s">
        <v>102</v>
      </c>
      <c r="M58" t="s">
        <v>102</v>
      </c>
      <c r="N58" s="216" t="s">
        <v>90</v>
      </c>
      <c r="O58" s="41" t="s">
        <v>156</v>
      </c>
      <c r="P58" s="105" t="s">
        <v>35</v>
      </c>
      <c r="Q58" s="105" t="s">
        <v>35</v>
      </c>
      <c r="R58" s="105"/>
      <c r="S58" s="138" t="s">
        <v>120</v>
      </c>
      <c r="T58" t="s">
        <v>25</v>
      </c>
      <c r="U58" t="s">
        <v>25</v>
      </c>
      <c r="V58" t="s">
        <v>25</v>
      </c>
      <c r="W58" s="3" t="s">
        <v>34</v>
      </c>
    </row>
    <row r="59" spans="2:23" x14ac:dyDescent="0.35">
      <c r="B59" s="65" t="str">
        <f t="shared" si="11"/>
        <v>Sweden NATO</v>
      </c>
      <c r="C59" s="85" t="s">
        <v>25</v>
      </c>
      <c r="D59" s="26" t="s">
        <v>25</v>
      </c>
      <c r="E59" s="20"/>
      <c r="F59" s="70" t="s">
        <v>24</v>
      </c>
      <c r="G59" s="31" t="s">
        <v>47</v>
      </c>
      <c r="H59" s="97" t="s">
        <v>230</v>
      </c>
      <c r="I59" s="97" t="s">
        <v>1185</v>
      </c>
      <c r="J59" s="51" t="s">
        <v>35</v>
      </c>
      <c r="K59" s="25" t="s">
        <v>35</v>
      </c>
      <c r="L59" s="31" t="s">
        <v>92</v>
      </c>
      <c r="M59" s="97" t="s">
        <v>92</v>
      </c>
      <c r="N59" s="217" t="s">
        <v>34</v>
      </c>
      <c r="O59" s="41" t="s">
        <v>156</v>
      </c>
      <c r="P59" s="105" t="s">
        <v>35</v>
      </c>
      <c r="Q59" s="105" t="s">
        <v>35</v>
      </c>
      <c r="R59" s="105"/>
      <c r="S59" s="138" t="s">
        <v>118</v>
      </c>
      <c r="T59" t="s">
        <v>25</v>
      </c>
      <c r="U59" t="s">
        <v>25</v>
      </c>
      <c r="V59" t="s">
        <v>25</v>
      </c>
      <c r="W59" s="3" t="s">
        <v>34</v>
      </c>
    </row>
    <row r="60" spans="2:23" x14ac:dyDescent="0.35">
      <c r="B60" s="7" t="str">
        <f t="shared" si="11"/>
        <v>Switzerland</v>
      </c>
      <c r="C60" s="85" t="s">
        <v>25</v>
      </c>
      <c r="D60" s="26" t="s">
        <v>25</v>
      </c>
      <c r="E60" s="20"/>
      <c r="F60" s="70" t="s">
        <v>24</v>
      </c>
      <c r="G60" s="31" t="s">
        <v>48</v>
      </c>
      <c r="H60" s="97" t="s">
        <v>231</v>
      </c>
      <c r="I60" s="97" t="s">
        <v>1186</v>
      </c>
      <c r="J60" s="51" t="s">
        <v>35</v>
      </c>
      <c r="K60" s="25" t="s">
        <v>35</v>
      </c>
      <c r="L60" s="51" t="s">
        <v>125</v>
      </c>
      <c r="M60" t="s">
        <v>125</v>
      </c>
      <c r="N60" s="217" t="s">
        <v>34</v>
      </c>
      <c r="O60" s="41" t="s">
        <v>156</v>
      </c>
      <c r="P60" s="105" t="s">
        <v>35</v>
      </c>
      <c r="Q60" s="105" t="s">
        <v>35</v>
      </c>
      <c r="R60" s="105"/>
      <c r="S60" s="104" t="s">
        <v>13</v>
      </c>
      <c r="T60" t="s">
        <v>25</v>
      </c>
      <c r="U60" t="s">
        <v>25</v>
      </c>
      <c r="V60" t="s">
        <v>25</v>
      </c>
      <c r="W60" s="3" t="s">
        <v>34</v>
      </c>
    </row>
    <row r="61" spans="2:23" x14ac:dyDescent="0.35">
      <c r="B61" s="7" t="str">
        <f t="shared" si="11"/>
        <v>France (nuclear weapons) NATO</v>
      </c>
      <c r="C61" s="85" t="s">
        <v>25</v>
      </c>
      <c r="D61" s="26" t="s">
        <v>25</v>
      </c>
      <c r="E61" s="20"/>
      <c r="F61" s="70" t="s">
        <v>24</v>
      </c>
      <c r="G61" s="31" t="s">
        <v>49</v>
      </c>
      <c r="H61" s="97" t="s">
        <v>232</v>
      </c>
      <c r="I61" s="97" t="s">
        <v>1187</v>
      </c>
      <c r="J61" s="51" t="s">
        <v>35</v>
      </c>
      <c r="K61" s="25" t="s">
        <v>35</v>
      </c>
      <c r="L61" s="51" t="s">
        <v>126</v>
      </c>
      <c r="M61" t="s">
        <v>126</v>
      </c>
      <c r="N61" s="216" t="s">
        <v>90</v>
      </c>
      <c r="O61" s="41" t="s">
        <v>156</v>
      </c>
      <c r="P61" s="105" t="s">
        <v>35</v>
      </c>
      <c r="Q61" s="105" t="s">
        <v>35</v>
      </c>
      <c r="R61" s="105"/>
      <c r="S61" s="104" t="s">
        <v>105</v>
      </c>
      <c r="T61" t="s">
        <v>25</v>
      </c>
      <c r="U61" t="s">
        <v>25</v>
      </c>
      <c r="V61" t="s">
        <v>25</v>
      </c>
      <c r="W61" s="3" t="s">
        <v>34</v>
      </c>
    </row>
    <row r="62" spans="2:23" x14ac:dyDescent="0.35">
      <c r="B62" s="65" t="str">
        <f t="shared" si="11"/>
        <v>Finland NATO</v>
      </c>
      <c r="C62" s="85" t="s">
        <v>25</v>
      </c>
      <c r="D62" s="26" t="s">
        <v>25</v>
      </c>
      <c r="E62" s="20"/>
      <c r="F62" s="70" t="s">
        <v>24</v>
      </c>
      <c r="G62" s="31" t="s">
        <v>50</v>
      </c>
      <c r="H62" s="97" t="s">
        <v>233</v>
      </c>
      <c r="I62" s="97" t="s">
        <v>1188</v>
      </c>
      <c r="J62" s="51" t="s">
        <v>35</v>
      </c>
      <c r="K62" s="25" t="s">
        <v>35</v>
      </c>
      <c r="L62" s="51" t="s">
        <v>127</v>
      </c>
      <c r="M62" t="s">
        <v>127</v>
      </c>
      <c r="N62" s="216" t="s">
        <v>90</v>
      </c>
      <c r="O62" s="41" t="s">
        <v>156</v>
      </c>
      <c r="P62" s="105" t="s">
        <v>35</v>
      </c>
      <c r="Q62" s="105" t="s">
        <v>35</v>
      </c>
      <c r="R62" s="105"/>
      <c r="S62" s="138" t="s">
        <v>117</v>
      </c>
      <c r="T62" t="s">
        <v>25</v>
      </c>
      <c r="U62" t="s">
        <v>25</v>
      </c>
      <c r="V62" t="s">
        <v>25</v>
      </c>
      <c r="W62" s="3" t="s">
        <v>34</v>
      </c>
    </row>
    <row r="63" spans="2:23" x14ac:dyDescent="0.35">
      <c r="B63" s="65" t="str">
        <f t="shared" si="11"/>
        <v>Czech Republic NATO</v>
      </c>
      <c r="C63" s="85" t="s">
        <v>25</v>
      </c>
      <c r="D63" s="26" t="s">
        <v>25</v>
      </c>
      <c r="E63" s="20"/>
      <c r="F63" s="70" t="s">
        <v>24</v>
      </c>
      <c r="G63" s="31" t="s">
        <v>51</v>
      </c>
      <c r="H63" s="97" t="s">
        <v>234</v>
      </c>
      <c r="I63" s="97" t="s">
        <v>1189</v>
      </c>
      <c r="J63" s="51" t="s">
        <v>35</v>
      </c>
      <c r="K63" s="25" t="s">
        <v>35</v>
      </c>
      <c r="L63" s="31" t="s">
        <v>128</v>
      </c>
      <c r="M63" t="s">
        <v>128</v>
      </c>
      <c r="N63" s="216" t="s">
        <v>90</v>
      </c>
      <c r="O63" s="41" t="s">
        <v>156</v>
      </c>
      <c r="P63" s="105" t="s">
        <v>35</v>
      </c>
      <c r="Q63" s="105" t="s">
        <v>35</v>
      </c>
      <c r="R63" s="105"/>
      <c r="S63" s="138" t="s">
        <v>115</v>
      </c>
      <c r="T63" t="s">
        <v>25</v>
      </c>
      <c r="U63" t="s">
        <v>25</v>
      </c>
      <c r="V63" t="s">
        <v>25</v>
      </c>
      <c r="W63" s="3" t="s">
        <v>34</v>
      </c>
    </row>
    <row r="64" spans="2:23" ht="15" thickBot="1" x14ac:dyDescent="0.4">
      <c r="B64" s="7" t="str">
        <f t="shared" si="11"/>
        <v>Italy NATO</v>
      </c>
      <c r="C64" s="85" t="s">
        <v>25</v>
      </c>
      <c r="D64" s="26" t="s">
        <v>25</v>
      </c>
      <c r="E64" s="20"/>
      <c r="F64" s="70" t="s">
        <v>24</v>
      </c>
      <c r="G64" s="31" t="s">
        <v>52</v>
      </c>
      <c r="H64" s="97" t="s">
        <v>235</v>
      </c>
      <c r="I64" s="97" t="s">
        <v>1190</v>
      </c>
      <c r="J64" s="51" t="s">
        <v>35</v>
      </c>
      <c r="K64" s="25" t="s">
        <v>35</v>
      </c>
      <c r="L64" s="17" t="s">
        <v>129</v>
      </c>
      <c r="M64" s="14" t="s">
        <v>129</v>
      </c>
      <c r="N64" s="218" t="s">
        <v>90</v>
      </c>
      <c r="O64" s="132" t="s">
        <v>156</v>
      </c>
      <c r="P64" s="105" t="s">
        <v>35</v>
      </c>
      <c r="Q64" s="105" t="s">
        <v>35</v>
      </c>
      <c r="R64" s="105"/>
      <c r="S64" s="104" t="s">
        <v>116</v>
      </c>
      <c r="T64" t="s">
        <v>25</v>
      </c>
      <c r="U64" t="s">
        <v>25</v>
      </c>
      <c r="V64" t="s">
        <v>25</v>
      </c>
      <c r="W64" s="3" t="s">
        <v>34</v>
      </c>
    </row>
    <row r="65" spans="2:23" ht="15" thickTop="1" x14ac:dyDescent="0.35">
      <c r="B65" s="139" t="str">
        <f t="shared" si="11"/>
        <v>All blue aid countries</v>
      </c>
      <c r="C65" s="154" t="s">
        <v>24</v>
      </c>
      <c r="D65" s="69" t="s">
        <v>24</v>
      </c>
      <c r="E65" s="69" t="s">
        <v>24</v>
      </c>
      <c r="F65" s="86" t="s">
        <v>24</v>
      </c>
      <c r="G65" s="89" t="s">
        <v>35</v>
      </c>
      <c r="H65" s="19" t="s">
        <v>35</v>
      </c>
      <c r="I65" s="19"/>
      <c r="J65" s="5" t="s">
        <v>35</v>
      </c>
      <c r="K65" s="24" t="s">
        <v>35</v>
      </c>
      <c r="L65" s="134" t="s">
        <v>34</v>
      </c>
      <c r="M65" s="79" t="s">
        <v>34</v>
      </c>
      <c r="N65" s="113" t="s">
        <v>34</v>
      </c>
      <c r="O65" s="113"/>
      <c r="P65" s="110" t="s">
        <v>35</v>
      </c>
      <c r="Q65" s="110" t="s">
        <v>35</v>
      </c>
      <c r="R65" s="105"/>
      <c r="S65" s="139" t="s">
        <v>85</v>
      </c>
      <c r="T65" s="69" t="s">
        <v>24</v>
      </c>
      <c r="U65" s="69" t="s">
        <v>24</v>
      </c>
      <c r="V65" s="69" t="s">
        <v>24</v>
      </c>
      <c r="W65" s="3" t="s">
        <v>34</v>
      </c>
    </row>
    <row r="66" spans="2:23" x14ac:dyDescent="0.35">
      <c r="B66" s="104" t="str">
        <f t="shared" si="11"/>
        <v>All aid countries incl EU - US</v>
      </c>
      <c r="C66" s="155" t="s">
        <v>24</v>
      </c>
      <c r="D66" s="70" t="s">
        <v>24</v>
      </c>
      <c r="E66" s="70" t="s">
        <v>24</v>
      </c>
      <c r="F66" s="87" t="s">
        <v>24</v>
      </c>
      <c r="G66" s="90" t="s">
        <v>35</v>
      </c>
      <c r="H66" t="s">
        <v>35</v>
      </c>
      <c r="J66" s="51" t="s">
        <v>35</v>
      </c>
      <c r="K66" s="25" t="s">
        <v>35</v>
      </c>
      <c r="L66" s="119" t="s">
        <v>34</v>
      </c>
      <c r="M66" s="119" t="s">
        <v>34</v>
      </c>
      <c r="N66" s="118" t="s">
        <v>34</v>
      </c>
      <c r="O66" s="214"/>
      <c r="P66" s="105" t="s">
        <v>35</v>
      </c>
      <c r="Q66" s="105" t="s">
        <v>35</v>
      </c>
      <c r="R66" s="105"/>
      <c r="S66" s="104" t="s">
        <v>86</v>
      </c>
      <c r="T66" s="70" t="s">
        <v>24</v>
      </c>
      <c r="U66" s="70" t="s">
        <v>24</v>
      </c>
      <c r="V66" s="70" t="s">
        <v>24</v>
      </c>
      <c r="W66" s="3" t="s">
        <v>34</v>
      </c>
    </row>
    <row r="67" spans="2:23" ht="15" thickBot="1" x14ac:dyDescent="0.4">
      <c r="B67" s="106" t="str">
        <f t="shared" si="11"/>
        <v>All aid countries incl EU &amp; US</v>
      </c>
      <c r="C67" s="156" t="s">
        <v>24</v>
      </c>
      <c r="D67" s="68" t="s">
        <v>24</v>
      </c>
      <c r="E67" s="68" t="s">
        <v>24</v>
      </c>
      <c r="F67" s="88" t="s">
        <v>24</v>
      </c>
      <c r="G67" s="67" t="s">
        <v>35</v>
      </c>
      <c r="H67" s="14" t="s">
        <v>35</v>
      </c>
      <c r="I67" s="14"/>
      <c r="J67" s="17" t="s">
        <v>35</v>
      </c>
      <c r="K67" s="28" t="s">
        <v>35</v>
      </c>
      <c r="L67" s="119" t="s">
        <v>34</v>
      </c>
      <c r="M67" s="119" t="s">
        <v>34</v>
      </c>
      <c r="N67" s="118" t="s">
        <v>34</v>
      </c>
      <c r="O67" s="215"/>
      <c r="P67" s="105" t="s">
        <v>35</v>
      </c>
      <c r="Q67" s="105" t="s">
        <v>35</v>
      </c>
      <c r="R67" s="105"/>
      <c r="S67" s="104" t="s">
        <v>87</v>
      </c>
      <c r="T67" s="68" t="s">
        <v>24</v>
      </c>
      <c r="U67" s="68" t="s">
        <v>24</v>
      </c>
      <c r="V67" s="68" t="s">
        <v>24</v>
      </c>
    </row>
    <row r="68" spans="2:23" ht="15" thickTop="1" x14ac:dyDescent="0.35">
      <c r="B68" s="7" t="str">
        <f t="shared" si="11"/>
        <v>Russia (nuclear weapons)</v>
      </c>
      <c r="C68" s="154" t="s">
        <v>34</v>
      </c>
      <c r="D68" s="19" t="s">
        <v>34</v>
      </c>
      <c r="E68" s="120" t="s">
        <v>62</v>
      </c>
      <c r="F68" s="19"/>
      <c r="G68" s="29" t="s">
        <v>54</v>
      </c>
      <c r="H68" s="161" t="s">
        <v>236</v>
      </c>
      <c r="I68" s="161" t="s">
        <v>1175</v>
      </c>
      <c r="J68" s="5" t="s">
        <v>35</v>
      </c>
      <c r="K68" s="24" t="s">
        <v>35</v>
      </c>
      <c r="L68" s="5" t="s">
        <v>96</v>
      </c>
      <c r="M68" s="19" t="s">
        <v>96</v>
      </c>
      <c r="N68" s="121" t="s">
        <v>35</v>
      </c>
      <c r="O68" s="121"/>
      <c r="P68" s="111" t="s">
        <v>62</v>
      </c>
      <c r="Q68" s="111" t="s">
        <v>62</v>
      </c>
      <c r="R68" s="149" t="s">
        <v>34</v>
      </c>
      <c r="S68" s="80" t="s">
        <v>106</v>
      </c>
      <c r="T68" s="119" t="s">
        <v>34</v>
      </c>
      <c r="U68" s="119" t="s">
        <v>34</v>
      </c>
      <c r="V68" s="119" t="s">
        <v>34</v>
      </c>
    </row>
    <row r="69" spans="2:23" x14ac:dyDescent="0.35">
      <c r="B69" s="7" t="str">
        <f t="shared" si="11"/>
        <v xml:space="preserve">Ukraine </v>
      </c>
      <c r="C69" s="155" t="s">
        <v>34</v>
      </c>
      <c r="E69" s="122" t="s">
        <v>60</v>
      </c>
      <c r="F69" s="122"/>
      <c r="G69" s="31" t="s">
        <v>68</v>
      </c>
      <c r="H69" s="97" t="s">
        <v>237</v>
      </c>
      <c r="I69" s="97" t="s">
        <v>1176</v>
      </c>
      <c r="J69" s="51" t="s">
        <v>35</v>
      </c>
      <c r="K69" s="25" t="s">
        <v>35</v>
      </c>
      <c r="L69" s="31" t="s">
        <v>95</v>
      </c>
      <c r="M69" s="97" t="s">
        <v>95</v>
      </c>
      <c r="N69" s="93" t="s">
        <v>97</v>
      </c>
      <c r="O69" s="93"/>
      <c r="P69" s="123" t="s">
        <v>35</v>
      </c>
      <c r="Q69" s="123" t="s">
        <v>35</v>
      </c>
      <c r="R69" s="123"/>
      <c r="S69" s="104" t="s">
        <v>107</v>
      </c>
      <c r="T69" s="119" t="s">
        <v>34</v>
      </c>
      <c r="U69" s="119" t="s">
        <v>34</v>
      </c>
      <c r="V69" s="119" t="s">
        <v>34</v>
      </c>
    </row>
    <row r="70" spans="2:23" x14ac:dyDescent="0.35">
      <c r="B70" s="7" t="str">
        <f t="shared" si="11"/>
        <v>Ukraine + foreign aid &amp; loans</v>
      </c>
      <c r="C70" s="155"/>
      <c r="E70" s="122"/>
      <c r="F70" s="122"/>
      <c r="G70" s="31"/>
      <c r="H70" s="97"/>
      <c r="I70" s="97"/>
      <c r="J70" s="219" t="s">
        <v>34</v>
      </c>
      <c r="K70" s="221" t="s">
        <v>34</v>
      </c>
      <c r="L70" s="31"/>
      <c r="M70" s="97"/>
      <c r="N70" s="93"/>
      <c r="O70" s="93"/>
      <c r="P70" s="123"/>
      <c r="Q70" s="123"/>
      <c r="R70" s="123"/>
      <c r="S70" s="104"/>
      <c r="T70" s="119"/>
      <c r="U70" s="119"/>
      <c r="V70" s="119"/>
    </row>
    <row r="71" spans="2:23" ht="15" thickBot="1" x14ac:dyDescent="0.4">
      <c r="B71" s="106" t="str">
        <f t="shared" si="11"/>
        <v>Ukraine spending in % of RUS</v>
      </c>
      <c r="C71" s="156"/>
      <c r="D71" s="14"/>
      <c r="E71" s="211"/>
      <c r="F71" s="211"/>
      <c r="G71" s="32"/>
      <c r="H71" s="212"/>
      <c r="I71" s="212"/>
      <c r="J71" s="222" t="s">
        <v>34</v>
      </c>
      <c r="K71" s="224" t="s">
        <v>34</v>
      </c>
      <c r="L71" s="32"/>
      <c r="M71" s="212"/>
      <c r="N71" s="213"/>
      <c r="O71" s="213"/>
      <c r="P71" s="112"/>
      <c r="Q71" s="112"/>
      <c r="R71" s="123"/>
      <c r="S71" s="104"/>
      <c r="T71" s="119"/>
      <c r="U71" s="119"/>
      <c r="V71" s="119"/>
    </row>
    <row r="72" spans="2:23" ht="15" thickTop="1" x14ac:dyDescent="0.35">
      <c r="B72" s="7" t="str">
        <f t="shared" si="11"/>
        <v>Israel (nuclear weapons)</v>
      </c>
      <c r="C72" s="152" t="s">
        <v>34</v>
      </c>
      <c r="D72" s="119" t="s">
        <v>34</v>
      </c>
      <c r="E72" s="118" t="s">
        <v>34</v>
      </c>
      <c r="F72" s="118" t="s">
        <v>34</v>
      </c>
      <c r="G72" s="99" t="s">
        <v>135</v>
      </c>
      <c r="H72" s="565" t="s">
        <v>1159</v>
      </c>
      <c r="I72" s="565" t="s">
        <v>1191</v>
      </c>
      <c r="J72" s="563" t="s">
        <v>34</v>
      </c>
      <c r="K72" s="98" t="s">
        <v>34</v>
      </c>
      <c r="L72" s="94" t="s">
        <v>136</v>
      </c>
      <c r="M72" s="94" t="s">
        <v>136</v>
      </c>
      <c r="N72" s="41" t="s">
        <v>34</v>
      </c>
      <c r="O72" s="41" t="s">
        <v>156</v>
      </c>
      <c r="P72" s="123" t="s">
        <v>35</v>
      </c>
      <c r="Q72" s="123" t="s">
        <v>35</v>
      </c>
      <c r="R72" s="123"/>
      <c r="S72" s="104" t="s">
        <v>108</v>
      </c>
      <c r="T72" s="119" t="s">
        <v>34</v>
      </c>
      <c r="U72" s="119" t="s">
        <v>34</v>
      </c>
      <c r="V72" s="119" t="s">
        <v>34</v>
      </c>
    </row>
    <row r="73" spans="2:23" x14ac:dyDescent="0.35">
      <c r="B73" s="7" t="str">
        <f t="shared" si="11"/>
        <v>Iran (nuclear weapons, 2 years?)</v>
      </c>
      <c r="C73" s="152" t="s">
        <v>34</v>
      </c>
      <c r="D73" s="119" t="s">
        <v>34</v>
      </c>
      <c r="E73" s="118" t="s">
        <v>34</v>
      </c>
      <c r="F73" s="118" t="s">
        <v>34</v>
      </c>
      <c r="G73" s="99" t="s">
        <v>134</v>
      </c>
      <c r="H73" s="565" t="s">
        <v>1153</v>
      </c>
      <c r="I73" s="565" t="s">
        <v>1192</v>
      </c>
      <c r="J73" s="127" t="s">
        <v>34</v>
      </c>
      <c r="K73" s="98" t="s">
        <v>34</v>
      </c>
      <c r="L73" s="94" t="s">
        <v>143</v>
      </c>
      <c r="M73" s="94" t="s">
        <v>143</v>
      </c>
      <c r="N73" s="41" t="s">
        <v>34</v>
      </c>
      <c r="O73" s="41" t="s">
        <v>156</v>
      </c>
      <c r="P73" s="123" t="s">
        <v>35</v>
      </c>
      <c r="Q73" s="123" t="s">
        <v>35</v>
      </c>
      <c r="R73" s="123"/>
      <c r="S73" s="104" t="s">
        <v>113</v>
      </c>
      <c r="T73" s="119" t="s">
        <v>34</v>
      </c>
      <c r="U73" s="119" t="s">
        <v>34</v>
      </c>
      <c r="V73" s="119" t="s">
        <v>34</v>
      </c>
    </row>
    <row r="74" spans="2:23" x14ac:dyDescent="0.35">
      <c r="B74" s="7" t="str">
        <f t="shared" si="11"/>
        <v>North Korea (nuclear weapons)</v>
      </c>
      <c r="C74" s="152" t="s">
        <v>34</v>
      </c>
      <c r="D74" s="119" t="s">
        <v>34</v>
      </c>
      <c r="E74" s="118" t="s">
        <v>34</v>
      </c>
      <c r="F74" s="118" t="s">
        <v>34</v>
      </c>
      <c r="G74" s="99" t="s">
        <v>133</v>
      </c>
      <c r="H74" s="565" t="s">
        <v>1155</v>
      </c>
      <c r="I74" s="565" t="s">
        <v>34</v>
      </c>
      <c r="J74" s="127" t="s">
        <v>34</v>
      </c>
      <c r="K74" s="98" t="s">
        <v>34</v>
      </c>
      <c r="L74" s="94" t="s">
        <v>142</v>
      </c>
      <c r="M74" s="94" t="s">
        <v>142</v>
      </c>
      <c r="N74" s="41" t="s">
        <v>34</v>
      </c>
      <c r="O74" s="41" t="s">
        <v>156</v>
      </c>
      <c r="P74" s="123" t="s">
        <v>35</v>
      </c>
      <c r="Q74" s="123" t="s">
        <v>35</v>
      </c>
      <c r="R74" s="123"/>
      <c r="S74" s="104" t="s">
        <v>109</v>
      </c>
      <c r="T74" s="119" t="s">
        <v>34</v>
      </c>
      <c r="U74" s="119" t="s">
        <v>34</v>
      </c>
      <c r="V74" s="119" t="s">
        <v>34</v>
      </c>
    </row>
    <row r="75" spans="2:23" x14ac:dyDescent="0.35">
      <c r="B75" s="7" t="str">
        <f t="shared" si="11"/>
        <v>South Korea</v>
      </c>
      <c r="C75" s="152"/>
      <c r="D75" s="119"/>
      <c r="E75" s="118"/>
      <c r="F75" s="118"/>
      <c r="G75" s="566" t="s">
        <v>1162</v>
      </c>
      <c r="H75" s="565" t="s">
        <v>1161</v>
      </c>
      <c r="I75" s="565" t="s">
        <v>1193</v>
      </c>
      <c r="J75" s="127" t="s">
        <v>34</v>
      </c>
      <c r="K75" s="98" t="s">
        <v>34</v>
      </c>
      <c r="L75" s="94" t="s">
        <v>1164</v>
      </c>
      <c r="M75" s="94" t="s">
        <v>1164</v>
      </c>
      <c r="N75" s="41" t="s">
        <v>34</v>
      </c>
      <c r="O75" s="41"/>
      <c r="P75" s="123"/>
      <c r="Q75" s="123"/>
      <c r="R75" s="123"/>
      <c r="S75" s="104"/>
      <c r="T75" s="119"/>
      <c r="U75" s="119"/>
      <c r="V75" s="119"/>
    </row>
    <row r="76" spans="2:23" x14ac:dyDescent="0.35">
      <c r="B76" s="7" t="str">
        <f t="shared" si="11"/>
        <v>Pakistan (nuclear weapons)</v>
      </c>
      <c r="C76" s="152" t="s">
        <v>34</v>
      </c>
      <c r="D76" s="119" t="s">
        <v>34</v>
      </c>
      <c r="E76" s="118" t="s">
        <v>34</v>
      </c>
      <c r="F76" s="118" t="s">
        <v>34</v>
      </c>
      <c r="G76" s="99" t="s">
        <v>132</v>
      </c>
      <c r="H76" s="565" t="s">
        <v>1160</v>
      </c>
      <c r="I76" s="565" t="s">
        <v>1194</v>
      </c>
      <c r="J76" s="127" t="s">
        <v>34</v>
      </c>
      <c r="K76" s="98" t="s">
        <v>34</v>
      </c>
      <c r="L76" s="94" t="s">
        <v>144</v>
      </c>
      <c r="M76" s="94" t="s">
        <v>144</v>
      </c>
      <c r="N76" s="41" t="s">
        <v>34</v>
      </c>
      <c r="O76" s="41" t="s">
        <v>156</v>
      </c>
      <c r="P76" s="123" t="s">
        <v>35</v>
      </c>
      <c r="Q76" s="123" t="s">
        <v>35</v>
      </c>
      <c r="R76" s="123"/>
      <c r="S76" s="104" t="s">
        <v>112</v>
      </c>
      <c r="T76" s="119" t="s">
        <v>34</v>
      </c>
      <c r="U76" s="119" t="s">
        <v>34</v>
      </c>
      <c r="V76" s="119" t="s">
        <v>34</v>
      </c>
    </row>
    <row r="77" spans="2:23" x14ac:dyDescent="0.35">
      <c r="B77" s="7" t="str">
        <f t="shared" si="11"/>
        <v>India (nuclear weapons)</v>
      </c>
      <c r="C77" s="152" t="s">
        <v>34</v>
      </c>
      <c r="D77" s="119" t="s">
        <v>34</v>
      </c>
      <c r="E77" s="118" t="s">
        <v>34</v>
      </c>
      <c r="F77" s="118" t="s">
        <v>34</v>
      </c>
      <c r="G77" s="566" t="s">
        <v>131</v>
      </c>
      <c r="H77" s="565" t="s">
        <v>1152</v>
      </c>
      <c r="I77" s="565" t="s">
        <v>1195</v>
      </c>
      <c r="J77" s="127" t="s">
        <v>34</v>
      </c>
      <c r="K77" s="98" t="s">
        <v>34</v>
      </c>
      <c r="L77" s="94" t="s">
        <v>1163</v>
      </c>
      <c r="M77" s="94" t="s">
        <v>1163</v>
      </c>
      <c r="N77" s="41" t="s">
        <v>34</v>
      </c>
      <c r="O77" s="41" t="s">
        <v>156</v>
      </c>
      <c r="P77" s="123" t="s">
        <v>35</v>
      </c>
      <c r="Q77" s="123" t="s">
        <v>35</v>
      </c>
      <c r="R77" s="123"/>
      <c r="S77" s="104" t="s">
        <v>110</v>
      </c>
      <c r="T77" s="119" t="s">
        <v>34</v>
      </c>
      <c r="U77" s="119" t="s">
        <v>34</v>
      </c>
      <c r="V77" s="119" t="s">
        <v>34</v>
      </c>
    </row>
    <row r="78" spans="2:23" x14ac:dyDescent="0.35">
      <c r="B78" s="7" t="str">
        <f t="shared" si="11"/>
        <v>Turkey NATO</v>
      </c>
      <c r="C78" s="152" t="s">
        <v>34</v>
      </c>
      <c r="D78" s="119" t="s">
        <v>34</v>
      </c>
      <c r="E78" s="118" t="s">
        <v>34</v>
      </c>
      <c r="F78" s="118" t="s">
        <v>34</v>
      </c>
      <c r="G78" s="566" t="s">
        <v>213</v>
      </c>
      <c r="H78" s="565" t="s">
        <v>1158</v>
      </c>
      <c r="I78" s="565" t="s">
        <v>1196</v>
      </c>
      <c r="J78" s="127" t="s">
        <v>34</v>
      </c>
      <c r="K78" s="98" t="s">
        <v>34</v>
      </c>
      <c r="L78" s="562" t="s">
        <v>214</v>
      </c>
      <c r="M78" s="562" t="s">
        <v>214</v>
      </c>
      <c r="N78" s="41" t="s">
        <v>90</v>
      </c>
      <c r="O78" s="41" t="s">
        <v>156</v>
      </c>
      <c r="P78" s="123"/>
      <c r="Q78" s="123"/>
      <c r="R78" s="123"/>
      <c r="S78" s="104"/>
      <c r="T78" s="119"/>
      <c r="U78" s="119"/>
      <c r="V78" s="119"/>
    </row>
    <row r="79" spans="2:23" x14ac:dyDescent="0.35">
      <c r="B79" s="7" t="str">
        <f t="shared" si="11"/>
        <v>Philippines</v>
      </c>
      <c r="C79" s="152" t="s">
        <v>34</v>
      </c>
      <c r="D79" s="119" t="s">
        <v>34</v>
      </c>
      <c r="E79" s="118" t="s">
        <v>34</v>
      </c>
      <c r="F79" s="118" t="s">
        <v>34</v>
      </c>
      <c r="G79" s="566" t="s">
        <v>1166</v>
      </c>
      <c r="H79" s="565" t="s">
        <v>1167</v>
      </c>
      <c r="I79" s="565" t="s">
        <v>1197</v>
      </c>
      <c r="J79" s="127" t="s">
        <v>34</v>
      </c>
      <c r="K79" s="98" t="s">
        <v>34</v>
      </c>
      <c r="L79" s="562" t="s">
        <v>1168</v>
      </c>
      <c r="M79" s="562" t="s">
        <v>1168</v>
      </c>
      <c r="N79" s="41" t="s">
        <v>34</v>
      </c>
      <c r="O79" s="41"/>
      <c r="P79" s="123"/>
      <c r="Q79" s="123"/>
      <c r="R79" s="123"/>
      <c r="S79" s="104"/>
      <c r="T79" s="119"/>
      <c r="U79" s="119"/>
      <c r="V79" s="119"/>
    </row>
    <row r="80" spans="2:23" x14ac:dyDescent="0.35">
      <c r="B80" s="7" t="str">
        <f t="shared" ref="B80:B81" si="12">B40</f>
        <v>Taiwan</v>
      </c>
      <c r="C80" s="152" t="s">
        <v>34</v>
      </c>
      <c r="D80" s="119" t="s">
        <v>34</v>
      </c>
      <c r="E80" s="118" t="s">
        <v>34</v>
      </c>
      <c r="F80" s="118" t="s">
        <v>34</v>
      </c>
      <c r="G80" s="566" t="s">
        <v>139</v>
      </c>
      <c r="H80" s="565" t="s">
        <v>1156</v>
      </c>
      <c r="I80" s="565" t="s">
        <v>1198</v>
      </c>
      <c r="J80" s="127" t="s">
        <v>34</v>
      </c>
      <c r="K80" s="98" t="s">
        <v>34</v>
      </c>
      <c r="L80" s="562" t="s">
        <v>141</v>
      </c>
      <c r="M80" s="561" t="s">
        <v>140</v>
      </c>
      <c r="N80" s="41" t="s">
        <v>34</v>
      </c>
      <c r="O80" s="41" t="s">
        <v>156</v>
      </c>
      <c r="P80" s="123" t="s">
        <v>35</v>
      </c>
      <c r="Q80" s="123" t="s">
        <v>35</v>
      </c>
      <c r="R80" s="123"/>
      <c r="S80" s="104" t="s">
        <v>137</v>
      </c>
      <c r="T80" s="119" t="s">
        <v>34</v>
      </c>
      <c r="U80" s="119" t="s">
        <v>34</v>
      </c>
      <c r="V80" s="119" t="s">
        <v>34</v>
      </c>
    </row>
    <row r="81" spans="2:22" ht="15" thickBot="1" x14ac:dyDescent="0.4">
      <c r="B81" s="106" t="str">
        <f t="shared" si="12"/>
        <v>China (nuclear weapons)</v>
      </c>
      <c r="C81" s="157" t="s">
        <v>34</v>
      </c>
      <c r="D81" s="109" t="s">
        <v>34</v>
      </c>
      <c r="E81" s="107" t="s">
        <v>34</v>
      </c>
      <c r="F81" s="107" t="s">
        <v>34</v>
      </c>
      <c r="G81" s="136" t="s">
        <v>130</v>
      </c>
      <c r="H81" s="162" t="s">
        <v>1157</v>
      </c>
      <c r="I81" s="162" t="s">
        <v>1174</v>
      </c>
      <c r="J81" s="564" t="s">
        <v>34</v>
      </c>
      <c r="K81" s="102" t="s">
        <v>34</v>
      </c>
      <c r="L81" s="130" t="s">
        <v>138</v>
      </c>
      <c r="M81" s="130" t="s">
        <v>138</v>
      </c>
      <c r="N81" s="132" t="s">
        <v>34</v>
      </c>
      <c r="O81" s="41" t="s">
        <v>156</v>
      </c>
      <c r="P81" s="112" t="s">
        <v>35</v>
      </c>
      <c r="Q81" s="112" t="s">
        <v>35</v>
      </c>
      <c r="R81" s="123"/>
      <c r="S81" s="106" t="s">
        <v>111</v>
      </c>
      <c r="T81" s="109" t="s">
        <v>34</v>
      </c>
      <c r="U81" s="109" t="s">
        <v>34</v>
      </c>
      <c r="V81" s="109" t="s">
        <v>34</v>
      </c>
    </row>
    <row r="82" spans="2:22" ht="15" thickTop="1" x14ac:dyDescent="0.35"/>
  </sheetData>
  <hyperlinks>
    <hyperlink ref="D49" r:id="rId1" xr:uid="{09B61D78-E6F4-45EC-8D5A-01751812A475}"/>
    <hyperlink ref="D50" r:id="rId2" xr:uid="{FFA7E841-8770-44C2-B14F-EA02F5B521BE}"/>
    <hyperlink ref="D51:D64" r:id="rId3" display="https://www.ifw-kiel.de/topics/war-against-ukraine/ukraine-support-tracker/" xr:uid="{4EE26EDE-AF42-4569-8D2E-16BFD54E15C8}"/>
    <hyperlink ref="P3" r:id="rId4" xr:uid="{110B3970-665C-4EF5-B445-B74CCC4ABC43}"/>
    <hyperlink ref="G50" r:id="rId5" xr:uid="{EFD0E4DE-E60F-449A-99A3-D7AB22FEBBDA}"/>
    <hyperlink ref="G51" r:id="rId6" xr:uid="{45E18567-C090-4683-B09F-8BA8BCA0E3CF}"/>
    <hyperlink ref="G52" r:id="rId7" xr:uid="{EABA4BDF-D2BA-4AA3-AE6B-B496ACFFF652}"/>
    <hyperlink ref="G54" r:id="rId8" xr:uid="{A26AEB83-20CB-46D2-BCED-E4F8BB39190C}"/>
    <hyperlink ref="G55" r:id="rId9" xr:uid="{330FDA09-237B-4953-8D28-E3FF32861CD6}"/>
    <hyperlink ref="G56" r:id="rId10" xr:uid="{79E5F399-4492-4804-8B60-AD2F2DE6F1B0}"/>
    <hyperlink ref="G57" r:id="rId11" xr:uid="{A83D143F-B8D7-4ACE-839B-F9957C0F633C}"/>
    <hyperlink ref="G58" r:id="rId12" xr:uid="{B972EFE1-6669-4EE9-9981-7315A9C8173E}"/>
    <hyperlink ref="G59" r:id="rId13" xr:uid="{DD9504AD-DC8B-44FA-A7BE-FA628D44746D}"/>
    <hyperlink ref="G60" r:id="rId14" xr:uid="{9E71863C-E53A-4E58-A8BC-DFA7A41C142F}"/>
    <hyperlink ref="G61" r:id="rId15" xr:uid="{1F85F79B-62B1-4388-8350-308B2B8BD4D1}"/>
    <hyperlink ref="G62" r:id="rId16" xr:uid="{43E13AA0-C6DB-4B01-BAAA-F3E224C0BFAB}"/>
    <hyperlink ref="G63" r:id="rId17" xr:uid="{77AB0328-75B2-44E8-9034-01B960502841}"/>
    <hyperlink ref="G64" r:id="rId18" xr:uid="{8533E750-018E-4A33-A2F6-5FF038B29555}"/>
    <hyperlink ref="C50" r:id="rId19" xr:uid="{F93BD4DF-197A-4E5C-A329-45297EEEE404}"/>
    <hyperlink ref="C51:C64" r:id="rId20" display="https://www.ifw-kiel.de/topics/war-against-ukraine/ukraine-support-tracker/" xr:uid="{BF6A9036-0CE4-428E-ABEA-179EB655C999}"/>
    <hyperlink ref="E69" r:id="rId21" xr:uid="{2C936C81-4DB5-4301-9804-E55504D99933}"/>
    <hyperlink ref="G68" r:id="rId22" xr:uid="{A2C89CCC-F843-4D56-8ACA-38FF73B3243A}"/>
    <hyperlink ref="G69" r:id="rId23" xr:uid="{3335C8AB-225B-47D8-A841-048698B3FDB3}"/>
    <hyperlink ref="G49" r:id="rId24" xr:uid="{6FA5BA77-C318-4AA4-A303-BA2B80F4ECC0}"/>
    <hyperlink ref="N50:N54" r:id="rId25" display="https://www.statista.com/chart/14636/defense-expenditures-of-nato-countries/" xr:uid="{841282AB-D607-441B-B8C9-629088F2D803}"/>
    <hyperlink ref="N56" r:id="rId26" xr:uid="{283AFAC4-AD53-4936-B263-0E0B6B3D41AB}"/>
    <hyperlink ref="L59" r:id="rId27" xr:uid="{9492C511-F8FE-4F3A-BA35-D9182742F69D}"/>
    <hyperlink ref="M59" r:id="rId28" xr:uid="{A29420C0-E450-4BC9-AC0C-DAC377437597}"/>
    <hyperlink ref="L69" r:id="rId29" xr:uid="{11EFB640-C67F-4714-BEC1-3D0A457933F1}"/>
    <hyperlink ref="M69" r:id="rId30" xr:uid="{5376078E-823B-4F38-8BCC-55C4E04F3DCA}"/>
    <hyperlink ref="N69" r:id="rId31" xr:uid="{BC999C8F-2358-4038-AD2C-3F167EAA0015}"/>
    <hyperlink ref="L52" r:id="rId32" xr:uid="{7C3273D8-005A-45A5-8B64-33960B4CFD9B}"/>
    <hyperlink ref="M52" r:id="rId33" xr:uid="{4CAC94FC-8AF5-4EF3-A6AB-1732885087AF}"/>
    <hyperlink ref="E68" r:id="rId34" xr:uid="{945B1202-1D46-41D6-9B86-5420EAF6AD03}"/>
    <hyperlink ref="P68" r:id="rId35" xr:uid="{E5DB81C0-8D83-44B9-84C9-85741DF5510D}"/>
    <hyperlink ref="L63" r:id="rId36" xr:uid="{92702A21-CE0C-488E-8308-615D6C78066E}"/>
    <hyperlink ref="G81" r:id="rId37" xr:uid="{C0008743-17AC-4200-88F0-804E4A4B2FCC}"/>
    <hyperlink ref="Q68" r:id="rId38" xr:uid="{0FB33387-AE37-49E5-9EFF-C9BF74CCEA46}"/>
    <hyperlink ref="D53" r:id="rId39" xr:uid="{FA03CC7E-7DEF-4F53-B27B-DBBA23C3615E}"/>
    <hyperlink ref="G53" r:id="rId40" xr:uid="{EBFA9269-ABD6-4F0D-9883-A5F22DEA135A}"/>
    <hyperlink ref="C53" r:id="rId41" xr:uid="{A45C17F4-52A7-4FA9-BC48-6B404AE2358B}"/>
    <hyperlink ref="H61" r:id="rId42" xr:uid="{BFB205A5-6D75-40F7-92E2-3BD2FB60A6CD}"/>
    <hyperlink ref="M80" r:id="rId43" xr:uid="{DBF9ECE6-4871-4C34-B8C3-364894CCC170}"/>
    <hyperlink ref="M78" r:id="rId44" xr:uid="{36BE9985-CD21-4CDA-B960-AEEDB9C40EDD}"/>
    <hyperlink ref="M50" r:id="rId45" xr:uid="{F17B35B7-EBB4-4B76-935F-DAD94ECF75AA}"/>
    <hyperlink ref="H77" r:id="rId46" xr:uid="{6119C1C4-70D7-4580-B35D-F9F0615A0EC7}"/>
    <hyperlink ref="G77" r:id="rId47" xr:uid="{32A8DB15-2547-4918-92C9-5EBB10213117}"/>
    <hyperlink ref="H73" r:id="rId48" xr:uid="{2F003034-5B14-4331-997A-659A39CF9057}"/>
    <hyperlink ref="H74" r:id="rId49" xr:uid="{2E9C088B-6552-4A2D-9CD4-62E97A07380F}"/>
    <hyperlink ref="H80" r:id="rId50" xr:uid="{91B7790E-F5D6-4EA8-AD89-1ED6CD7F2DEE}"/>
    <hyperlink ref="H81" r:id="rId51" xr:uid="{558F111C-0A7C-435C-ADF8-3C5EFD562F53}"/>
    <hyperlink ref="G80" r:id="rId52" xr:uid="{72AA7BE8-9A8F-421A-AC3A-C1BF9194703A}"/>
    <hyperlink ref="H78" r:id="rId53" xr:uid="{0E731778-5BFF-4B2C-BD09-0AE5F66EFB94}"/>
    <hyperlink ref="G78" r:id="rId54" xr:uid="{9ED8433D-8975-4863-AEE3-70BA7B904B0F}"/>
    <hyperlink ref="H72" r:id="rId55" xr:uid="{C89B3205-192B-404A-85B3-3F4E0BB1AE53}"/>
    <hyperlink ref="H76" r:id="rId56" xr:uid="{D345BB12-66A2-445A-BDB2-09F4ACB02FBA}"/>
    <hyperlink ref="H75" r:id="rId57" xr:uid="{C0640239-B3D1-4ADF-AA6D-4663559C6603}"/>
    <hyperlink ref="G75" r:id="rId58" xr:uid="{FCDFE794-1176-407F-946E-73C87B068A2D}"/>
    <hyperlink ref="L78" r:id="rId59" xr:uid="{41F19103-FF96-4B21-AD6F-C6C08D0AE024}"/>
    <hyperlink ref="L80" r:id="rId60" xr:uid="{6CFF2B1A-F7FE-4AAA-B887-D516E384D98D}"/>
    <hyperlink ref="I50" r:id="rId61" xr:uid="{ACC28BA8-109E-4023-A7B0-4F65D222827F}"/>
    <hyperlink ref="I49" r:id="rId62" xr:uid="{76961A30-29A1-4D90-9364-3E7004EECB50}"/>
    <hyperlink ref="I81" r:id="rId63" xr:uid="{C6EF1006-E9FA-4DA2-A856-E7D1D0C29611}"/>
    <hyperlink ref="I57" r:id="rId64" xr:uid="{6020E3A5-671E-4BB6-92D9-EF857271E9DE}"/>
  </hyperlinks>
  <pageMargins left="0.7" right="0.7" top="0.75" bottom="0.75" header="0.3" footer="0.3"/>
  <pageSetup paperSize="9" orientation="portrait" verticalDpi="0" r:id="rId6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5862-BC4C-4569-B4A3-798024085564}">
  <dimension ref="A1:H14"/>
  <sheetViews>
    <sheetView zoomScale="148" zoomScaleNormal="148" workbookViewId="0">
      <selection activeCell="F10" sqref="F10"/>
    </sheetView>
  </sheetViews>
  <sheetFormatPr defaultRowHeight="14.5" x14ac:dyDescent="0.35"/>
  <cols>
    <col min="3" max="3" width="14.36328125" customWidth="1"/>
    <col min="4" max="8" width="8.81640625" customWidth="1"/>
  </cols>
  <sheetData>
    <row r="1" spans="1:8" ht="28.5" x14ac:dyDescent="0.65">
      <c r="A1" s="1" t="str">
        <f>UkrAid24jan2022ToOct312023!A1</f>
        <v>The game changing weapon no one talks about that directly can stop Russian glider bombs #63/90</v>
      </c>
    </row>
    <row r="2" spans="1:8"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8" ht="15.5" x14ac:dyDescent="0.35">
      <c r="A3" s="237"/>
    </row>
    <row r="4" spans="1:8" ht="15.5" x14ac:dyDescent="0.35">
      <c r="A4" s="237"/>
    </row>
    <row r="8" spans="1:8" ht="21.5" thickBot="1" x14ac:dyDescent="0.55000000000000004">
      <c r="C8" s="450" t="s">
        <v>308</v>
      </c>
      <c r="D8" s="451"/>
      <c r="E8" s="451"/>
      <c r="F8" s="451"/>
      <c r="G8" s="451"/>
      <c r="H8" s="451"/>
    </row>
    <row r="9" spans="1:8" ht="15" thickTop="1" x14ac:dyDescent="0.35">
      <c r="C9" s="310" t="s">
        <v>301</v>
      </c>
      <c r="D9" s="249" t="s">
        <v>302</v>
      </c>
      <c r="E9" s="249" t="s">
        <v>247</v>
      </c>
      <c r="F9" s="249" t="s">
        <v>303</v>
      </c>
      <c r="G9" s="249" t="s">
        <v>7</v>
      </c>
      <c r="H9" s="250" t="s">
        <v>304</v>
      </c>
    </row>
    <row r="10" spans="1:8" x14ac:dyDescent="0.35">
      <c r="C10" s="51" t="s">
        <v>305</v>
      </c>
      <c r="D10" s="159">
        <f>UkrAid24Jan2022To15Jan2024!H28</f>
        <v>144.6</v>
      </c>
      <c r="E10" s="159">
        <f>UkrAid24Jan2022To15Jan2024!H29</f>
        <v>35</v>
      </c>
      <c r="F10" s="378">
        <f>D10/E10</f>
        <v>4.1314285714285717</v>
      </c>
      <c r="G10">
        <f>UkrAid24Jan2022To15Jan2024!H10</f>
        <v>335</v>
      </c>
      <c r="H10" s="171">
        <f>UkrAid24Jan2022To15Jan2024!H9</f>
        <v>448.4</v>
      </c>
    </row>
    <row r="11" spans="1:8" ht="15" thickBot="1" x14ac:dyDescent="0.4">
      <c r="C11" s="17" t="s">
        <v>306</v>
      </c>
      <c r="D11" s="160">
        <f>UkrAid24Jan2022To15Jan2024!G28</f>
        <v>2240</v>
      </c>
      <c r="E11" s="160">
        <f>UkrAid24Jan2022To15Jan2024!G29</f>
        <v>161</v>
      </c>
      <c r="F11" s="411">
        <f>D11/E11</f>
        <v>13.913043478260869</v>
      </c>
      <c r="G11" s="160">
        <f>UkrAid24Jan2022To15Jan2024!G10</f>
        <v>25440</v>
      </c>
      <c r="H11" s="169">
        <f>UkrAid24Jan2022To15Jan2024!G9</f>
        <v>19350</v>
      </c>
    </row>
    <row r="12" spans="1:8" ht="15" thickTop="1" x14ac:dyDescent="0.35">
      <c r="C12" s="368" t="s">
        <v>327</v>
      </c>
      <c r="D12" s="19"/>
      <c r="E12" s="49"/>
      <c r="F12" s="49"/>
      <c r="G12" s="19"/>
      <c r="H12" s="19"/>
    </row>
    <row r="13" spans="1:8" x14ac:dyDescent="0.35">
      <c r="C13" t="s">
        <v>21</v>
      </c>
      <c r="E13" s="9"/>
      <c r="F13" s="9"/>
    </row>
    <row r="14" spans="1:8" x14ac:dyDescent="0.35">
      <c r="C14" t="s">
        <v>307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DE49-FA27-4E6C-95C2-0E1D616FDD49}">
  <dimension ref="A1:BV96"/>
  <sheetViews>
    <sheetView zoomScale="120" zoomScaleNormal="120" workbookViewId="0">
      <pane xSplit="3" ySplit="9" topLeftCell="BH16" activePane="bottomRight" state="frozen"/>
      <selection pane="topRight" activeCell="D1" sqref="D1"/>
      <selection pane="bottomLeft" activeCell="A10" sqref="A10"/>
      <selection pane="bottomRight" activeCell="BO31" sqref="BO31"/>
    </sheetView>
  </sheetViews>
  <sheetFormatPr defaultRowHeight="14.5" x14ac:dyDescent="0.35"/>
  <cols>
    <col min="2" max="2" width="3.81640625" customWidth="1"/>
    <col min="3" max="3" width="31" customWidth="1"/>
    <col min="4" max="4" width="14.08984375" customWidth="1"/>
    <col min="5" max="5" width="14.81640625" customWidth="1"/>
    <col min="6" max="6" width="12.08984375" customWidth="1"/>
    <col min="7" max="7" width="11" customWidth="1"/>
    <col min="8" max="10" width="14.81640625" customWidth="1"/>
    <col min="11" max="11" width="14.7265625" customWidth="1"/>
    <col min="12" max="12" width="9.453125" customWidth="1"/>
    <col min="13" max="13" width="7.90625" customWidth="1"/>
    <col min="14" max="15" width="11.1796875" customWidth="1"/>
    <col min="16" max="16" width="9.90625" customWidth="1"/>
    <col min="17" max="17" width="9.453125" customWidth="1"/>
    <col min="18" max="18" width="9.6328125" customWidth="1"/>
    <col min="19" max="19" width="8.54296875" customWidth="1"/>
    <col min="20" max="21" width="11.1796875" customWidth="1"/>
    <col min="22" max="22" width="9.90625" customWidth="1"/>
    <col min="23" max="23" width="9.453125" customWidth="1"/>
    <col min="24" max="24" width="9.6328125" customWidth="1"/>
    <col min="25" max="25" width="8.54296875" customWidth="1"/>
    <col min="26" max="27" width="11.1796875" customWidth="1"/>
    <col min="28" max="28" width="9.90625" customWidth="1"/>
    <col min="29" max="30" width="9.453125" customWidth="1"/>
    <col min="31" max="31" width="8.1796875" customWidth="1"/>
    <col min="32" max="33" width="11.1796875" customWidth="1"/>
    <col min="34" max="36" width="9.453125" customWidth="1"/>
    <col min="37" max="37" width="8.1796875" customWidth="1"/>
    <col min="38" max="39" width="11.1796875" customWidth="1"/>
    <col min="40" max="41" width="9.453125" customWidth="1"/>
    <col min="43" max="43" width="3.81640625" customWidth="1"/>
    <col min="44" max="44" width="30.7265625" customWidth="1"/>
    <col min="45" max="45" width="14.6328125" customWidth="1"/>
    <col min="46" max="46" width="11.1796875" customWidth="1"/>
    <col min="47" max="47" width="9.36328125" customWidth="1"/>
    <col min="48" max="48" width="8.90625" customWidth="1"/>
    <col min="49" max="50" width="10.90625" customWidth="1"/>
    <col min="51" max="52" width="9.26953125" customWidth="1"/>
    <col min="54" max="54" width="3.81640625" customWidth="1"/>
    <col min="55" max="55" width="30.7265625" customWidth="1"/>
    <col min="56" max="56" width="14.6328125" customWidth="1"/>
    <col min="57" max="57" width="11.1796875" customWidth="1"/>
    <col min="58" max="58" width="9.36328125" customWidth="1"/>
    <col min="59" max="59" width="9.08984375" customWidth="1"/>
    <col min="60" max="61" width="10.6328125" customWidth="1"/>
    <col min="62" max="62" width="9.1796875" customWidth="1"/>
    <col min="63" max="63" width="9.453125" customWidth="1"/>
    <col min="65" max="65" width="3.81640625" customWidth="1"/>
    <col min="66" max="66" width="30.7265625" customWidth="1"/>
    <col min="67" max="67" width="14.6328125" customWidth="1"/>
    <col min="68" max="68" width="11.1796875" customWidth="1"/>
    <col min="69" max="70" width="11" customWidth="1"/>
    <col min="71" max="71" width="9.81640625" customWidth="1"/>
    <col min="72" max="72" width="10.90625" customWidth="1"/>
    <col min="73" max="73" width="10.81640625" customWidth="1"/>
    <col min="74" max="74" width="10.26953125" customWidth="1"/>
  </cols>
  <sheetData>
    <row r="1" spans="1:74" ht="28.5" x14ac:dyDescent="0.65">
      <c r="A1" s="1" t="str">
        <f>UkrAid24jan2022ToOct312023!A1</f>
        <v>The game changing weapon no one talks about that directly can stop Russian glider bombs #63/90</v>
      </c>
    </row>
    <row r="2" spans="1:74"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74" ht="15.5" x14ac:dyDescent="0.35">
      <c r="A3" s="462" t="str">
        <f>UkrAid24jan2022ToOct312023!A3</f>
        <v>Links to all sources are available in sources table below</v>
      </c>
      <c r="B3" s="461"/>
      <c r="C3" s="461"/>
      <c r="D3" s="461"/>
    </row>
    <row r="4" spans="1:74" ht="15.5" x14ac:dyDescent="0.35">
      <c r="A4" s="237"/>
      <c r="M4">
        <f>DATEDIF($D$9,H9,"D")</f>
        <v>476</v>
      </c>
      <c r="S4">
        <f>DATEDIF($D$9,I9,"D")</f>
        <v>751</v>
      </c>
      <c r="Y4">
        <f>DATEDIF($D$9,J9,"D")</f>
        <v>777</v>
      </c>
      <c r="AE4">
        <f>DATEDIF($H9,I9,"D")</f>
        <v>275</v>
      </c>
      <c r="AK4">
        <f>DATEDIF($H9,J9,"D")</f>
        <v>301</v>
      </c>
      <c r="AV4">
        <f>Y4</f>
        <v>777</v>
      </c>
      <c r="BG4">
        <f>AK4</f>
        <v>301</v>
      </c>
    </row>
    <row r="5" spans="1:74" ht="21.5" thickBot="1" x14ac:dyDescent="0.55000000000000004">
      <c r="B5" s="450" t="s">
        <v>300</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Q5" s="450" t="s">
        <v>326</v>
      </c>
      <c r="AR5" s="451"/>
      <c r="AS5" s="451"/>
      <c r="AT5" s="451"/>
      <c r="AU5" s="451"/>
      <c r="AV5" s="451"/>
      <c r="AW5" s="451"/>
      <c r="AX5" s="451"/>
      <c r="AY5" s="451"/>
      <c r="AZ5" s="451"/>
      <c r="BB5" s="450" t="s">
        <v>388</v>
      </c>
      <c r="BC5" s="451"/>
      <c r="BD5" s="451"/>
      <c r="BE5" s="451"/>
      <c r="BF5" s="451"/>
      <c r="BG5" s="451"/>
      <c r="BH5" s="451"/>
      <c r="BI5" s="451"/>
      <c r="BJ5" s="451"/>
      <c r="BK5" s="451"/>
      <c r="BM5" s="450" t="s">
        <v>603</v>
      </c>
      <c r="BN5" s="451"/>
      <c r="BO5" s="451"/>
      <c r="BP5" s="451"/>
      <c r="BQ5" s="451"/>
      <c r="BR5" s="451"/>
      <c r="BS5" s="451"/>
      <c r="BT5" s="451"/>
      <c r="BU5" s="451"/>
      <c r="BV5" s="451"/>
    </row>
    <row r="6" spans="1:74" ht="19.5" thickTop="1" thickBot="1" x14ac:dyDescent="0.5">
      <c r="B6" s="238"/>
      <c r="C6" s="354"/>
      <c r="D6" s="248"/>
      <c r="E6" s="356"/>
      <c r="F6" s="356"/>
      <c r="G6" s="356"/>
      <c r="H6" s="356"/>
      <c r="I6" s="356"/>
      <c r="J6" s="356"/>
      <c r="K6" s="357"/>
      <c r="L6" s="240" t="s">
        <v>240</v>
      </c>
      <c r="M6" s="241"/>
      <c r="N6" s="241"/>
      <c r="O6" s="241"/>
      <c r="P6" s="241"/>
      <c r="Q6" s="241"/>
      <c r="R6" s="242" t="s">
        <v>241</v>
      </c>
      <c r="S6" s="243"/>
      <c r="T6" s="243"/>
      <c r="U6" s="243"/>
      <c r="V6" s="243"/>
      <c r="W6" s="244"/>
      <c r="X6" s="242" t="s">
        <v>377</v>
      </c>
      <c r="Y6" s="243"/>
      <c r="Z6" s="243"/>
      <c r="AA6" s="243"/>
      <c r="AB6" s="243"/>
      <c r="AC6" s="244"/>
      <c r="AD6" s="245" t="s">
        <v>242</v>
      </c>
      <c r="AE6" s="246"/>
      <c r="AF6" s="246"/>
      <c r="AG6" s="246"/>
      <c r="AH6" s="246"/>
      <c r="AI6" s="247"/>
      <c r="AJ6" s="245" t="s">
        <v>379</v>
      </c>
      <c r="AK6" s="246"/>
      <c r="AL6" s="246"/>
      <c r="AM6" s="246"/>
      <c r="AN6" s="246"/>
      <c r="AO6" s="247"/>
      <c r="AQ6" s="364" t="s">
        <v>323</v>
      </c>
      <c r="AR6" s="367"/>
      <c r="AS6" s="248" t="s">
        <v>322</v>
      </c>
      <c r="AT6" s="325" t="s">
        <v>330</v>
      </c>
      <c r="AU6" s="373" t="s">
        <v>377</v>
      </c>
      <c r="AV6" s="243"/>
      <c r="AW6" s="243"/>
      <c r="AX6" s="243"/>
      <c r="AY6" s="243"/>
      <c r="AZ6" s="244"/>
      <c r="BB6" s="364" t="s">
        <v>323</v>
      </c>
      <c r="BC6" s="239"/>
      <c r="BD6" s="325" t="s">
        <v>322</v>
      </c>
      <c r="BE6" s="325" t="str">
        <f>AT6</f>
        <v>Likely</v>
      </c>
      <c r="BF6" s="245" t="s">
        <v>380</v>
      </c>
      <c r="BG6" s="246"/>
      <c r="BH6" s="246"/>
      <c r="BI6" s="246"/>
      <c r="BJ6" s="246"/>
      <c r="BK6" s="247"/>
      <c r="BM6" s="238"/>
      <c r="BN6" s="239"/>
      <c r="BO6" s="325" t="s">
        <v>322</v>
      </c>
      <c r="BP6" s="325" t="str">
        <f>BE6</f>
        <v>Likely</v>
      </c>
      <c r="BQ6" s="251" t="s">
        <v>381</v>
      </c>
      <c r="BR6" s="252"/>
      <c r="BS6" s="244"/>
      <c r="BT6" s="245" t="s">
        <v>382</v>
      </c>
      <c r="BU6" s="245"/>
      <c r="BV6" s="247"/>
    </row>
    <row r="7" spans="1:74" ht="15" thickTop="1" x14ac:dyDescent="0.35">
      <c r="B7" s="238" t="s">
        <v>238</v>
      </c>
      <c r="C7" s="354" t="s">
        <v>239</v>
      </c>
      <c r="D7" s="248" t="s">
        <v>243</v>
      </c>
      <c r="E7" s="360" t="s">
        <v>244</v>
      </c>
      <c r="F7" s="360" t="s">
        <v>309</v>
      </c>
      <c r="G7" s="360" t="str">
        <f>F7</f>
        <v>Russian new</v>
      </c>
      <c r="H7" s="360" t="s">
        <v>244</v>
      </c>
      <c r="I7" s="360" t="s">
        <v>244</v>
      </c>
      <c r="J7" s="360" t="s">
        <v>244</v>
      </c>
      <c r="K7" s="361" t="s">
        <v>245</v>
      </c>
      <c r="L7" s="249" t="s">
        <v>246</v>
      </c>
      <c r="M7" s="249" t="s">
        <v>246</v>
      </c>
      <c r="N7" s="249" t="s">
        <v>321</v>
      </c>
      <c r="O7" s="249" t="s">
        <v>391</v>
      </c>
      <c r="P7" s="249" t="s">
        <v>247</v>
      </c>
      <c r="Q7" s="250" t="s">
        <v>248</v>
      </c>
      <c r="R7" s="251" t="str">
        <f>$L7</f>
        <v>Russian</v>
      </c>
      <c r="S7" s="252" t="str">
        <f>$M7</f>
        <v>Russian</v>
      </c>
      <c r="T7" s="252" t="str">
        <f>$N7</f>
        <v>Russian avg.</v>
      </c>
      <c r="U7" s="252" t="str">
        <f>$O7</f>
        <v>Months left</v>
      </c>
      <c r="V7" s="252" t="str">
        <f>$P7</f>
        <v>Ukraine</v>
      </c>
      <c r="W7" s="253" t="str">
        <f>$Q7</f>
        <v>Kill ratios</v>
      </c>
      <c r="X7" s="251" t="str">
        <f>$L7</f>
        <v>Russian</v>
      </c>
      <c r="Y7" s="252" t="str">
        <f>$M7</f>
        <v>Russian</v>
      </c>
      <c r="Z7" s="252" t="str">
        <f>$N7</f>
        <v>Russian avg.</v>
      </c>
      <c r="AA7" s="252" t="str">
        <f>$O7</f>
        <v>Months left</v>
      </c>
      <c r="AB7" s="252" t="str">
        <f>$P7</f>
        <v>Ukraine</v>
      </c>
      <c r="AC7" s="253" t="str">
        <f>$Q7</f>
        <v>Kill ratios</v>
      </c>
      <c r="AD7" s="254" t="str">
        <f>$L7</f>
        <v>Russian</v>
      </c>
      <c r="AE7" s="255" t="str">
        <f>$M7</f>
        <v>Russian</v>
      </c>
      <c r="AF7" s="255" t="str">
        <f>$N7</f>
        <v>Russian avg.</v>
      </c>
      <c r="AG7" s="255" t="str">
        <f>$O7</f>
        <v>Months left</v>
      </c>
      <c r="AH7" s="255" t="str">
        <f>$P7</f>
        <v>Ukraine</v>
      </c>
      <c r="AI7" s="256" t="str">
        <f>$Q7</f>
        <v>Kill ratios</v>
      </c>
      <c r="AJ7" s="254" t="str">
        <f>$L7</f>
        <v>Russian</v>
      </c>
      <c r="AK7" s="255" t="str">
        <f>$M7</f>
        <v>Russian</v>
      </c>
      <c r="AL7" s="255" t="str">
        <f>$N7</f>
        <v>Russian avg.</v>
      </c>
      <c r="AM7" s="255" t="str">
        <f>$O7</f>
        <v>Months left</v>
      </c>
      <c r="AN7" s="255" t="str">
        <f>$P7</f>
        <v>Ukraine</v>
      </c>
      <c r="AO7" s="256" t="str">
        <f>$Q7</f>
        <v>Kill ratios</v>
      </c>
      <c r="AQ7" s="365" t="s">
        <v>324</v>
      </c>
      <c r="AR7" s="363">
        <f>AV4</f>
        <v>777</v>
      </c>
      <c r="AS7" s="259" t="s">
        <v>244</v>
      </c>
      <c r="AT7" s="326" t="str">
        <f>G7</f>
        <v>Russian new</v>
      </c>
      <c r="AU7" s="252" t="str">
        <f>$L7</f>
        <v>Russian</v>
      </c>
      <c r="AV7" s="252" t="str">
        <f>$M7</f>
        <v>Russian</v>
      </c>
      <c r="AW7" s="252" t="str">
        <f>$N7</f>
        <v>Russian avg.</v>
      </c>
      <c r="AX7" s="252" t="str">
        <f>$O7</f>
        <v>Months left</v>
      </c>
      <c r="AY7" s="252" t="str">
        <f>$P7</f>
        <v>Ukraine</v>
      </c>
      <c r="AZ7" s="253" t="str">
        <f>$Q7</f>
        <v>Kill ratios</v>
      </c>
      <c r="BB7" s="365" t="s">
        <v>324</v>
      </c>
      <c r="BC7" s="344">
        <f>BG4</f>
        <v>301</v>
      </c>
      <c r="BD7" s="326" t="s">
        <v>244</v>
      </c>
      <c r="BE7" s="326" t="str">
        <f>G7</f>
        <v>Russian new</v>
      </c>
      <c r="BF7" s="255" t="str">
        <f>$L7</f>
        <v>Russian</v>
      </c>
      <c r="BG7" s="255" t="str">
        <f>$M7</f>
        <v>Russian</v>
      </c>
      <c r="BH7" s="255" t="str">
        <f>$N7</f>
        <v>Russian avg.</v>
      </c>
      <c r="BI7" s="255" t="str">
        <f>$O7</f>
        <v>Months left</v>
      </c>
      <c r="BJ7" s="255" t="str">
        <f>$P7</f>
        <v>Ukraine</v>
      </c>
      <c r="BK7" s="256" t="str">
        <f>$Q7</f>
        <v>Kill ratios</v>
      </c>
      <c r="BM7" s="353"/>
      <c r="BN7" s="344"/>
      <c r="BO7" s="326" t="s">
        <v>244</v>
      </c>
      <c r="BP7" s="326" t="str">
        <f>G7</f>
        <v>Russian new</v>
      </c>
      <c r="BQ7" s="252" t="str">
        <f>$N7</f>
        <v>Russian avg.</v>
      </c>
      <c r="BR7" s="252" t="str">
        <f>$O7</f>
        <v>Months left</v>
      </c>
      <c r="BS7" s="253" t="str">
        <f>$Q7</f>
        <v>Kill ratios</v>
      </c>
      <c r="BT7" s="255" t="str">
        <f>$N7</f>
        <v>Russian avg.</v>
      </c>
      <c r="BU7" s="255" t="str">
        <f>$O7</f>
        <v>Months left</v>
      </c>
      <c r="BV7" s="256" t="str">
        <f>$Q7</f>
        <v>Kill ratios</v>
      </c>
    </row>
    <row r="8" spans="1:74" x14ac:dyDescent="0.35">
      <c r="B8" s="257"/>
      <c r="C8" s="355"/>
      <c r="D8" s="259" t="s">
        <v>249</v>
      </c>
      <c r="E8" s="260" t="s">
        <v>250</v>
      </c>
      <c r="F8" s="260" t="s">
        <v>310</v>
      </c>
      <c r="G8" s="260" t="str">
        <f>F8</f>
        <v>production</v>
      </c>
      <c r="H8" s="260" t="s">
        <v>250</v>
      </c>
      <c r="I8" s="260" t="s">
        <v>250</v>
      </c>
      <c r="J8" s="260" t="s">
        <v>250</v>
      </c>
      <c r="K8" s="261" t="s">
        <v>250</v>
      </c>
      <c r="L8" s="262" t="s">
        <v>251</v>
      </c>
      <c r="M8" s="262" t="s">
        <v>252</v>
      </c>
      <c r="N8" s="262" t="s">
        <v>319</v>
      </c>
      <c r="O8" s="262" t="s">
        <v>389</v>
      </c>
      <c r="P8" s="262" t="str">
        <f>L8</f>
        <v xml:space="preserve">losses </v>
      </c>
      <c r="Q8" s="263" t="s">
        <v>253</v>
      </c>
      <c r="R8" s="264" t="str">
        <f>$L8</f>
        <v xml:space="preserve">losses </v>
      </c>
      <c r="S8" s="265" t="str">
        <f>$M8</f>
        <v>losses</v>
      </c>
      <c r="T8" s="265" t="str">
        <f>$N8</f>
        <v>losses unco.</v>
      </c>
      <c r="U8" s="265" t="str">
        <f>$O8</f>
        <v xml:space="preserve">to depletion </v>
      </c>
      <c r="V8" s="265" t="str">
        <f>$P8</f>
        <v xml:space="preserve">losses </v>
      </c>
      <c r="W8" s="266" t="str">
        <f>$Q8</f>
        <v>RUS/UKR</v>
      </c>
      <c r="X8" s="264" t="str">
        <f>$L8</f>
        <v xml:space="preserve">losses </v>
      </c>
      <c r="Y8" s="265" t="str">
        <f>$M8</f>
        <v>losses</v>
      </c>
      <c r="Z8" s="265" t="str">
        <f>$N8</f>
        <v>losses unco.</v>
      </c>
      <c r="AA8" s="265" t="str">
        <f>$O8</f>
        <v xml:space="preserve">to depletion </v>
      </c>
      <c r="AB8" s="265" t="str">
        <f>$P8</f>
        <v xml:space="preserve">losses </v>
      </c>
      <c r="AC8" s="266" t="str">
        <f>$Q8</f>
        <v>RUS/UKR</v>
      </c>
      <c r="AD8" s="267" t="str">
        <f>$L8</f>
        <v xml:space="preserve">losses </v>
      </c>
      <c r="AE8" s="268" t="str">
        <f>$M8</f>
        <v>losses</v>
      </c>
      <c r="AF8" s="268" t="str">
        <f>$N8</f>
        <v>losses unco.</v>
      </c>
      <c r="AG8" s="268" t="str">
        <f>$O8</f>
        <v xml:space="preserve">to depletion </v>
      </c>
      <c r="AH8" s="268" t="str">
        <f>$P8</f>
        <v xml:space="preserve">losses </v>
      </c>
      <c r="AI8" s="269" t="str">
        <f>$Q8</f>
        <v>RUS/UKR</v>
      </c>
      <c r="AJ8" s="267" t="str">
        <f>$L8</f>
        <v xml:space="preserve">losses </v>
      </c>
      <c r="AK8" s="268" t="str">
        <f>$M8</f>
        <v>losses</v>
      </c>
      <c r="AL8" s="268" t="str">
        <f>$N8</f>
        <v>losses unco.</v>
      </c>
      <c r="AM8" s="268" t="str">
        <f>$O8</f>
        <v xml:space="preserve">to depletion </v>
      </c>
      <c r="AN8" s="268" t="str">
        <f>$P8</f>
        <v xml:space="preserve">losses </v>
      </c>
      <c r="AO8" s="269" t="str">
        <f>$Q8</f>
        <v>RUS/UKR</v>
      </c>
      <c r="AQ8" s="365" t="s">
        <v>325</v>
      </c>
      <c r="AR8" s="363">
        <f>DATEDIF($D$9,J9,"M")</f>
        <v>25</v>
      </c>
      <c r="AS8" s="259" t="s">
        <v>250</v>
      </c>
      <c r="AT8" s="326" t="str">
        <f t="shared" ref="AT8:AT9" si="0">G8</f>
        <v>production</v>
      </c>
      <c r="AU8" s="265" t="str">
        <f>$L8</f>
        <v xml:space="preserve">losses </v>
      </c>
      <c r="AV8" s="265" t="str">
        <f>$M8</f>
        <v>losses</v>
      </c>
      <c r="AW8" s="265" t="str">
        <f>$N8</f>
        <v>losses unco.</v>
      </c>
      <c r="AX8" s="265" t="str">
        <f>$O8</f>
        <v xml:space="preserve">to depletion </v>
      </c>
      <c r="AY8" s="265" t="str">
        <f>$P8</f>
        <v xml:space="preserve">losses </v>
      </c>
      <c r="AZ8" s="266" t="str">
        <f>$Q8</f>
        <v>RUS/UKR</v>
      </c>
      <c r="BB8" s="365" t="s">
        <v>325</v>
      </c>
      <c r="BC8" s="366">
        <f>DATEDIF(H9,J9,"m")</f>
        <v>9</v>
      </c>
      <c r="BD8" s="326" t="s">
        <v>250</v>
      </c>
      <c r="BE8" s="326" t="str">
        <f>G8</f>
        <v>production</v>
      </c>
      <c r="BF8" s="268" t="str">
        <f>$L8</f>
        <v xml:space="preserve">losses </v>
      </c>
      <c r="BG8" s="268" t="str">
        <f>$M8</f>
        <v>losses</v>
      </c>
      <c r="BH8" s="268" t="str">
        <f>$N8</f>
        <v>losses unco.</v>
      </c>
      <c r="BI8" s="268" t="str">
        <f>$O8</f>
        <v xml:space="preserve">to depletion </v>
      </c>
      <c r="BJ8" s="268" t="str">
        <f>$P8</f>
        <v xml:space="preserve">losses </v>
      </c>
      <c r="BK8" s="269" t="str">
        <f>$Q8</f>
        <v>RUS/UKR</v>
      </c>
      <c r="BM8" s="257"/>
      <c r="BN8" s="344"/>
      <c r="BO8" s="326" t="s">
        <v>250</v>
      </c>
      <c r="BP8" s="326" t="str">
        <f>G8</f>
        <v>production</v>
      </c>
      <c r="BQ8" s="265" t="str">
        <f>$N8</f>
        <v>losses unco.</v>
      </c>
      <c r="BR8" s="265" t="str">
        <f>$O8</f>
        <v xml:space="preserve">to depletion </v>
      </c>
      <c r="BS8" s="266" t="str">
        <f>$Q8</f>
        <v>RUS/UKR</v>
      </c>
      <c r="BT8" s="268" t="str">
        <f>$N8</f>
        <v>losses unco.</v>
      </c>
      <c r="BU8" s="268" t="str">
        <f>$O8</f>
        <v xml:space="preserve">to depletion </v>
      </c>
      <c r="BV8" s="269" t="str">
        <f>$Q8</f>
        <v>RUS/UKR</v>
      </c>
    </row>
    <row r="9" spans="1:74" ht="15" customHeight="1" thickBot="1" x14ac:dyDescent="0.5">
      <c r="B9" s="358"/>
      <c r="C9" s="359"/>
      <c r="D9" s="339">
        <v>44616</v>
      </c>
      <c r="E9" s="340">
        <f>D9</f>
        <v>44616</v>
      </c>
      <c r="F9" s="272" t="s">
        <v>311</v>
      </c>
      <c r="G9" s="272" t="s">
        <v>328</v>
      </c>
      <c r="H9" s="340">
        <v>45092</v>
      </c>
      <c r="I9" s="340">
        <v>45367</v>
      </c>
      <c r="J9" s="340">
        <v>45393</v>
      </c>
      <c r="K9" s="341">
        <v>44616</v>
      </c>
      <c r="L9" s="273" t="s">
        <v>254</v>
      </c>
      <c r="M9" s="273" t="s">
        <v>329</v>
      </c>
      <c r="N9" s="273" t="s">
        <v>320</v>
      </c>
      <c r="O9" s="273" t="s">
        <v>390</v>
      </c>
      <c r="P9" s="273" t="str">
        <f>L9</f>
        <v>confirmed</v>
      </c>
      <c r="Q9" s="274" t="s">
        <v>254</v>
      </c>
      <c r="R9" s="275" t="str">
        <f>$L9</f>
        <v>confirmed</v>
      </c>
      <c r="S9" s="276" t="str">
        <f>$M9</f>
        <v>unconfi.</v>
      </c>
      <c r="T9" s="276" t="str">
        <f>$N9</f>
        <v>per day</v>
      </c>
      <c r="U9" s="276" t="str">
        <f>$O9</f>
        <v>of all stocks</v>
      </c>
      <c r="V9" s="276" t="str">
        <f>$P9</f>
        <v>confirmed</v>
      </c>
      <c r="W9" s="277" t="str">
        <f>$Q9</f>
        <v>confirmed</v>
      </c>
      <c r="X9" s="275" t="str">
        <f>$L9</f>
        <v>confirmed</v>
      </c>
      <c r="Y9" s="276" t="str">
        <f>$M9</f>
        <v>unconfi.</v>
      </c>
      <c r="Z9" s="276" t="str">
        <f>$N9</f>
        <v>per day</v>
      </c>
      <c r="AA9" s="276" t="str">
        <f>$O9</f>
        <v>of all stocks</v>
      </c>
      <c r="AB9" s="276" t="str">
        <f>$P9</f>
        <v>confirmed</v>
      </c>
      <c r="AC9" s="277" t="str">
        <f>$Q9</f>
        <v>confirmed</v>
      </c>
      <c r="AD9" s="278" t="str">
        <f>$L9</f>
        <v>confirmed</v>
      </c>
      <c r="AE9" s="279" t="str">
        <f>$M9</f>
        <v>unconfi.</v>
      </c>
      <c r="AF9" s="279" t="str">
        <f>$N9</f>
        <v>per day</v>
      </c>
      <c r="AG9" s="279" t="str">
        <f>$O9</f>
        <v>of all stocks</v>
      </c>
      <c r="AH9" s="279" t="str">
        <f>$P9</f>
        <v>confirmed</v>
      </c>
      <c r="AI9" s="280" t="str">
        <f>$Q9</f>
        <v>confirmed</v>
      </c>
      <c r="AJ9" s="278" t="str">
        <f>$L9</f>
        <v>confirmed</v>
      </c>
      <c r="AK9" s="279" t="str">
        <f>$M9</f>
        <v>unconfi.</v>
      </c>
      <c r="AL9" s="279" t="str">
        <f>$N9</f>
        <v>per day</v>
      </c>
      <c r="AM9" s="279" t="str">
        <f>$O9</f>
        <v>of all stocks</v>
      </c>
      <c r="AN9" s="279" t="str">
        <f>$P9</f>
        <v>confirmed</v>
      </c>
      <c r="AO9" s="280" t="str">
        <f>$Q9</f>
        <v>confirmed</v>
      </c>
      <c r="AQ9" s="270"/>
      <c r="AR9" s="362" t="s">
        <v>239</v>
      </c>
      <c r="AS9" s="339">
        <f>J9</f>
        <v>45393</v>
      </c>
      <c r="AT9" s="370" t="str">
        <f t="shared" si="0"/>
        <v>daily in 2023</v>
      </c>
      <c r="AU9" s="276" t="str">
        <f>$L9</f>
        <v>confirmed</v>
      </c>
      <c r="AV9" s="276" t="str">
        <f>$M9</f>
        <v>unconfi.</v>
      </c>
      <c r="AW9" s="276" t="str">
        <f>$N9</f>
        <v>per day</v>
      </c>
      <c r="AX9" s="276" t="str">
        <f>$O9</f>
        <v>of all stocks</v>
      </c>
      <c r="AY9" s="276" t="str">
        <f>$P9</f>
        <v>confirmed</v>
      </c>
      <c r="AZ9" s="277" t="str">
        <f>$Q9</f>
        <v>confirmed</v>
      </c>
      <c r="BB9" s="270"/>
      <c r="BC9" s="362" t="s">
        <v>239</v>
      </c>
      <c r="BD9" s="343">
        <f>J9</f>
        <v>45393</v>
      </c>
      <c r="BE9" s="370" t="str">
        <f>G9</f>
        <v>daily in 2023</v>
      </c>
      <c r="BF9" s="279" t="str">
        <f>$L9</f>
        <v>confirmed</v>
      </c>
      <c r="BG9" s="279" t="str">
        <f>$M9</f>
        <v>unconfi.</v>
      </c>
      <c r="BH9" s="279" t="str">
        <f>$N9</f>
        <v>per day</v>
      </c>
      <c r="BI9" s="279" t="str">
        <f>$O9</f>
        <v>of all stocks</v>
      </c>
      <c r="BJ9" s="279" t="str">
        <f>$P9</f>
        <v>confirmed</v>
      </c>
      <c r="BK9" s="280" t="str">
        <f>$Q9</f>
        <v>confirmed</v>
      </c>
      <c r="BM9" s="270"/>
      <c r="BN9" s="362" t="s">
        <v>239</v>
      </c>
      <c r="BO9" s="343">
        <f>J9</f>
        <v>45393</v>
      </c>
      <c r="BP9" s="370" t="str">
        <f>G9</f>
        <v>daily in 2023</v>
      </c>
      <c r="BQ9" s="276" t="str">
        <f>$N9</f>
        <v>per day</v>
      </c>
      <c r="BR9" s="276" t="str">
        <f>$O9</f>
        <v>of all stocks</v>
      </c>
      <c r="BS9" s="277" t="str">
        <f>$Q9</f>
        <v>confirmed</v>
      </c>
      <c r="BT9" s="279" t="str">
        <f>$N9</f>
        <v>per day</v>
      </c>
      <c r="BU9" s="279" t="str">
        <f>$O9</f>
        <v>of all stocks</v>
      </c>
      <c r="BV9" s="280" t="str">
        <f>$Q9</f>
        <v>confirmed</v>
      </c>
    </row>
    <row r="10" spans="1:74" ht="15" thickTop="1" x14ac:dyDescent="0.35">
      <c r="B10" s="281">
        <v>1</v>
      </c>
      <c r="C10" s="258" t="s">
        <v>255</v>
      </c>
      <c r="D10" s="282">
        <v>3300</v>
      </c>
      <c r="E10" s="283">
        <f>S10/0.5</f>
        <v>13558</v>
      </c>
      <c r="F10" s="283">
        <v>250</v>
      </c>
      <c r="G10" s="346">
        <f>F10/365</f>
        <v>0.68493150684931503</v>
      </c>
      <c r="H10" s="283">
        <f>($E10+(DATEDIF($D$9,H$9,"M")/12)*$F10)-M10</f>
        <v>9915.5</v>
      </c>
      <c r="I10" s="283">
        <f>($E10+(DATEDIF($D$9,I$9,"M")/12)*$F10)-S10</f>
        <v>7279</v>
      </c>
      <c r="J10" s="283">
        <f>($E10+(DATEDIF($D$9,J$9,"M")/12)*$F10)-Y10</f>
        <v>6941.8333333333339</v>
      </c>
      <c r="K10" s="283">
        <v>850</v>
      </c>
      <c r="L10" s="282">
        <v>2043</v>
      </c>
      <c r="M10" s="283">
        <v>3955</v>
      </c>
      <c r="N10" s="319">
        <f>M10/M$4</f>
        <v>8.3088235294117645</v>
      </c>
      <c r="O10" s="283">
        <f>H10/(N10*30)</f>
        <v>39.778997050147495</v>
      </c>
      <c r="P10" s="283">
        <v>533</v>
      </c>
      <c r="Q10" s="284">
        <f t="shared" ref="Q10:Q44" si="1">L10/P10</f>
        <v>3.8330206378986866</v>
      </c>
      <c r="R10" s="283">
        <v>2827</v>
      </c>
      <c r="S10" s="283">
        <v>6779</v>
      </c>
      <c r="T10" s="319">
        <f>S10/S$4</f>
        <v>9.0266311584553929</v>
      </c>
      <c r="U10" s="283">
        <f>I10/(T10*30)</f>
        <v>26.879721689531394</v>
      </c>
      <c r="V10" s="283">
        <v>765</v>
      </c>
      <c r="W10" s="284">
        <f>R10/V10</f>
        <v>3.6954248366013074</v>
      </c>
      <c r="X10" s="283">
        <v>2920</v>
      </c>
      <c r="Y10" s="283">
        <v>7137</v>
      </c>
      <c r="Z10" s="319">
        <f>Y10/Y$4</f>
        <v>9.185328185328185</v>
      </c>
      <c r="AA10" s="283">
        <f>J10/(Z10*30)</f>
        <v>25.191744897482607</v>
      </c>
      <c r="AB10" s="283">
        <v>794</v>
      </c>
      <c r="AC10" s="284">
        <f>X10/AB10</f>
        <v>3.677581863979849</v>
      </c>
      <c r="AD10" s="283">
        <f t="shared" ref="AD10:AD39" si="2">R10-$L10</f>
        <v>784</v>
      </c>
      <c r="AE10" s="283">
        <f>S10-$M10</f>
        <v>2824</v>
      </c>
      <c r="AF10" s="332">
        <f>AE10/AE$4</f>
        <v>10.269090909090909</v>
      </c>
      <c r="AG10" s="283">
        <f>I10/(AF10*30)</f>
        <v>23.62753777148253</v>
      </c>
      <c r="AH10" s="283">
        <f t="shared" ref="AH10:AH39" si="3">V10-$P10</f>
        <v>232</v>
      </c>
      <c r="AI10" s="284">
        <f>AD10/AH10</f>
        <v>3.3793103448275863</v>
      </c>
      <c r="AJ10" s="283">
        <f t="shared" ref="AJ10:AJ39" si="4">X10-$L10</f>
        <v>877</v>
      </c>
      <c r="AK10" s="283">
        <f>Y10-$M10</f>
        <v>3182</v>
      </c>
      <c r="AL10" s="332">
        <f>AK10/AK$4</f>
        <v>10.571428571428571</v>
      </c>
      <c r="AM10" s="283">
        <f>J10/(AL10*30)</f>
        <v>21.888663663663667</v>
      </c>
      <c r="AN10" s="283">
        <f t="shared" ref="AN10:AN39" si="5">AB10-$P10</f>
        <v>261</v>
      </c>
      <c r="AO10" s="284">
        <f>AJ10/AN10</f>
        <v>3.3601532567049808</v>
      </c>
      <c r="AQ10" s="281">
        <v>1</v>
      </c>
      <c r="AR10" s="258" t="s">
        <v>255</v>
      </c>
      <c r="AS10" s="371">
        <f>J10</f>
        <v>6941.8333333333339</v>
      </c>
      <c r="AT10" s="374">
        <f>G10</f>
        <v>0.68493150684931503</v>
      </c>
      <c r="AU10" s="283">
        <f>X10</f>
        <v>2920</v>
      </c>
      <c r="AV10" s="283">
        <f>Y10</f>
        <v>7137</v>
      </c>
      <c r="AW10" s="319">
        <f>AV10/AV$4</f>
        <v>9.185328185328185</v>
      </c>
      <c r="AX10" s="283">
        <f>AS10/(AW10*30)</f>
        <v>25.191744897482607</v>
      </c>
      <c r="AY10" s="283">
        <f t="shared" ref="AY10:AY25" si="6">AB10</f>
        <v>794</v>
      </c>
      <c r="AZ10" s="284">
        <f>AU10/AY10</f>
        <v>3.677581863979849</v>
      </c>
      <c r="BB10" s="281">
        <v>1</v>
      </c>
      <c r="BC10" s="258" t="s">
        <v>255</v>
      </c>
      <c r="BD10" s="328">
        <f>J10</f>
        <v>6941.8333333333339</v>
      </c>
      <c r="BE10" s="374">
        <f>G10</f>
        <v>0.68493150684931503</v>
      </c>
      <c r="BF10" s="283">
        <f>AJ10</f>
        <v>877</v>
      </c>
      <c r="BG10" s="333">
        <f>AK10</f>
        <v>3182</v>
      </c>
      <c r="BH10" s="319">
        <f>BG10/BG$4</f>
        <v>10.571428571428571</v>
      </c>
      <c r="BI10" s="283">
        <f>BD10/(BH10*30)</f>
        <v>21.888663663663667</v>
      </c>
      <c r="BJ10" s="333">
        <f t="shared" ref="BJ10:BJ44" si="7">AN10</f>
        <v>261</v>
      </c>
      <c r="BK10" s="284">
        <f>BF10/BJ10</f>
        <v>3.3601532567049808</v>
      </c>
      <c r="BM10" s="281">
        <v>1</v>
      </c>
      <c r="BN10" s="258" t="s">
        <v>255</v>
      </c>
      <c r="BO10" s="328">
        <f>J10</f>
        <v>6941.8333333333339</v>
      </c>
      <c r="BP10" s="374">
        <f>G10</f>
        <v>0.68493150684931503</v>
      </c>
      <c r="BQ10" s="352">
        <f>AW10</f>
        <v>9.185328185328185</v>
      </c>
      <c r="BR10" s="333">
        <f>$BO10/(BQ10*30)</f>
        <v>25.191744897482607</v>
      </c>
      <c r="BS10" s="334">
        <f t="shared" ref="BS10:BS46" si="8">AZ10</f>
        <v>3.677581863979849</v>
      </c>
      <c r="BT10" s="352">
        <f>BH10</f>
        <v>10.571428571428571</v>
      </c>
      <c r="BU10" s="333">
        <f>$BO10/(BT10*30)</f>
        <v>21.888663663663667</v>
      </c>
      <c r="BV10" s="334">
        <f t="shared" ref="BV10:BV46" si="9">BK10</f>
        <v>3.3601532567049808</v>
      </c>
    </row>
    <row r="11" spans="1:74" x14ac:dyDescent="0.35">
      <c r="B11" s="281">
        <v>1.2</v>
      </c>
      <c r="C11" s="285" t="s">
        <v>256</v>
      </c>
      <c r="D11" s="286"/>
      <c r="E11" s="287"/>
      <c r="F11" s="287"/>
      <c r="G11" s="323"/>
      <c r="H11" s="287"/>
      <c r="I11" s="287"/>
      <c r="J11" s="287"/>
      <c r="K11" s="287"/>
      <c r="L11" s="286">
        <v>544</v>
      </c>
      <c r="M11" s="287"/>
      <c r="N11" s="349"/>
      <c r="O11" s="287"/>
      <c r="P11" s="287">
        <v>139</v>
      </c>
      <c r="Q11" s="288">
        <f t="shared" si="1"/>
        <v>3.9136690647482015</v>
      </c>
      <c r="R11" s="287">
        <v>537</v>
      </c>
      <c r="S11" s="287"/>
      <c r="T11" s="349"/>
      <c r="U11" s="287"/>
      <c r="V11" s="287">
        <v>131</v>
      </c>
      <c r="W11" s="288">
        <f t="shared" ref="W11:W44" si="10">R11/V11</f>
        <v>4.0992366412213741</v>
      </c>
      <c r="X11" s="287">
        <v>534</v>
      </c>
      <c r="Y11" s="287"/>
      <c r="Z11" s="349"/>
      <c r="AA11" s="287"/>
      <c r="AB11" s="287">
        <v>131</v>
      </c>
      <c r="AC11" s="288">
        <f t="shared" ref="AC11:AC37" si="11">X11/AB11</f>
        <v>4.0763358778625953</v>
      </c>
      <c r="AD11" s="287">
        <f t="shared" si="2"/>
        <v>-7</v>
      </c>
      <c r="AE11" s="287"/>
      <c r="AF11" s="378"/>
      <c r="AG11" s="287"/>
      <c r="AH11" s="287">
        <f t="shared" si="3"/>
        <v>-8</v>
      </c>
      <c r="AI11" s="289" t="s">
        <v>34</v>
      </c>
      <c r="AJ11" s="287">
        <f t="shared" si="4"/>
        <v>-10</v>
      </c>
      <c r="AK11" s="287"/>
      <c r="AL11" s="378"/>
      <c r="AM11" s="287"/>
      <c r="AN11" s="287">
        <f t="shared" si="5"/>
        <v>-8</v>
      </c>
      <c r="AO11" s="289" t="s">
        <v>34</v>
      </c>
      <c r="AQ11" s="281">
        <v>1.2</v>
      </c>
      <c r="AR11" s="285" t="s">
        <v>256</v>
      </c>
      <c r="AS11" s="286"/>
      <c r="AT11" s="375"/>
      <c r="AU11" s="287">
        <f t="shared" ref="AU11:AU44" si="12">X11</f>
        <v>534</v>
      </c>
      <c r="AV11" s="287"/>
      <c r="AW11" s="349"/>
      <c r="AX11" s="349"/>
      <c r="AY11" s="287">
        <f t="shared" si="6"/>
        <v>131</v>
      </c>
      <c r="AZ11" s="288">
        <f t="shared" ref="AZ11:AZ37" si="13">AU11/AY11</f>
        <v>4.0763358778625953</v>
      </c>
      <c r="BB11" s="281">
        <v>1.2</v>
      </c>
      <c r="BC11" s="285" t="s">
        <v>256</v>
      </c>
      <c r="BD11" s="327"/>
      <c r="BE11" s="375"/>
      <c r="BF11" s="287">
        <f t="shared" ref="BF11:BF39" si="14">AJ11</f>
        <v>-10</v>
      </c>
      <c r="BG11" s="287"/>
      <c r="BH11" s="349"/>
      <c r="BI11" s="349"/>
      <c r="BJ11" s="287">
        <f t="shared" si="7"/>
        <v>-8</v>
      </c>
      <c r="BK11" s="289" t="s">
        <v>34</v>
      </c>
      <c r="BM11" s="281">
        <v>1.2</v>
      </c>
      <c r="BN11" s="285" t="s">
        <v>256</v>
      </c>
      <c r="BO11" s="327"/>
      <c r="BP11" s="375"/>
      <c r="BQ11" s="378"/>
      <c r="BR11" s="378"/>
      <c r="BS11" s="379">
        <f t="shared" si="8"/>
        <v>4.0763358778625953</v>
      </c>
      <c r="BT11" s="378"/>
      <c r="BU11" s="378"/>
      <c r="BV11" s="379" t="str">
        <f t="shared" si="9"/>
        <v>-</v>
      </c>
    </row>
    <row r="12" spans="1:74" x14ac:dyDescent="0.35">
      <c r="B12" s="281">
        <v>2</v>
      </c>
      <c r="C12" s="258" t="s">
        <v>257</v>
      </c>
      <c r="D12" s="99"/>
      <c r="E12" s="159"/>
      <c r="F12" s="159"/>
      <c r="G12" s="9"/>
      <c r="H12" s="159"/>
      <c r="I12" s="159"/>
      <c r="J12" s="159"/>
      <c r="K12" s="159"/>
      <c r="L12" s="99">
        <v>885</v>
      </c>
      <c r="M12" s="159"/>
      <c r="N12" s="306"/>
      <c r="O12" s="159"/>
      <c r="P12" s="159">
        <v>285</v>
      </c>
      <c r="Q12" s="290">
        <f t="shared" si="1"/>
        <v>3.1052631578947367</v>
      </c>
      <c r="R12" s="159">
        <v>1261</v>
      </c>
      <c r="S12" s="159"/>
      <c r="T12" s="306"/>
      <c r="U12" s="159"/>
      <c r="V12" s="159">
        <v>360</v>
      </c>
      <c r="W12" s="290">
        <f t="shared" si="10"/>
        <v>3.5027777777777778</v>
      </c>
      <c r="X12" s="159">
        <v>1290</v>
      </c>
      <c r="Y12" s="159"/>
      <c r="Z12" s="306"/>
      <c r="AA12" s="159"/>
      <c r="AB12" s="159">
        <v>362</v>
      </c>
      <c r="AC12" s="290">
        <f t="shared" si="11"/>
        <v>3.5635359116022101</v>
      </c>
      <c r="AD12" s="159">
        <f t="shared" si="2"/>
        <v>376</v>
      </c>
      <c r="AE12" s="159"/>
      <c r="AF12" s="175"/>
      <c r="AG12" s="159"/>
      <c r="AH12" s="159">
        <f t="shared" si="3"/>
        <v>75</v>
      </c>
      <c r="AI12" s="290">
        <f t="shared" ref="AI12:AI37" si="15">AD12/AH12</f>
        <v>5.0133333333333336</v>
      </c>
      <c r="AJ12" s="159">
        <f t="shared" si="4"/>
        <v>405</v>
      </c>
      <c r="AK12" s="159"/>
      <c r="AL12" s="175"/>
      <c r="AM12" s="159"/>
      <c r="AN12" s="159">
        <f t="shared" si="5"/>
        <v>77</v>
      </c>
      <c r="AO12" s="290">
        <f t="shared" ref="AO12:AO19" si="16">AJ12/AN12</f>
        <v>5.2597402597402594</v>
      </c>
      <c r="AQ12" s="281">
        <v>2</v>
      </c>
      <c r="AR12" s="258" t="s">
        <v>257</v>
      </c>
      <c r="AS12" s="99"/>
      <c r="AT12" s="376"/>
      <c r="AU12" s="159">
        <f t="shared" si="12"/>
        <v>1290</v>
      </c>
      <c r="AV12" s="159"/>
      <c r="AW12" s="306"/>
      <c r="AX12" s="306"/>
      <c r="AY12" s="159">
        <f t="shared" si="6"/>
        <v>362</v>
      </c>
      <c r="AZ12" s="290">
        <f t="shared" si="13"/>
        <v>3.5635359116022101</v>
      </c>
      <c r="BB12" s="281">
        <v>2</v>
      </c>
      <c r="BC12" s="258" t="s">
        <v>257</v>
      </c>
      <c r="BD12" s="105"/>
      <c r="BE12" s="376"/>
      <c r="BF12" s="159">
        <f t="shared" si="14"/>
        <v>405</v>
      </c>
      <c r="BG12" s="159"/>
      <c r="BH12" s="306"/>
      <c r="BI12" s="306"/>
      <c r="BJ12" s="159">
        <f t="shared" si="7"/>
        <v>77</v>
      </c>
      <c r="BK12" s="290">
        <f>BF12/BJ12</f>
        <v>5.2597402597402594</v>
      </c>
      <c r="BM12" s="281">
        <v>2</v>
      </c>
      <c r="BN12" s="258" t="s">
        <v>257</v>
      </c>
      <c r="BO12" s="105"/>
      <c r="BP12" s="376"/>
      <c r="BQ12" s="175"/>
      <c r="BR12" s="175"/>
      <c r="BS12" s="380">
        <f t="shared" si="8"/>
        <v>3.5635359116022101</v>
      </c>
      <c r="BT12" s="175"/>
      <c r="BU12" s="175"/>
      <c r="BV12" s="380">
        <f t="shared" si="9"/>
        <v>5.2597402597402594</v>
      </c>
    </row>
    <row r="13" spans="1:74" x14ac:dyDescent="0.35">
      <c r="B13" s="281">
        <v>3</v>
      </c>
      <c r="C13" s="258" t="s">
        <v>258</v>
      </c>
      <c r="D13" s="99"/>
      <c r="E13" s="159"/>
      <c r="F13" s="159"/>
      <c r="G13" s="9"/>
      <c r="H13" s="159"/>
      <c r="I13" s="159"/>
      <c r="J13" s="159"/>
      <c r="K13" s="159"/>
      <c r="L13" s="99">
        <v>2402</v>
      </c>
      <c r="M13" s="159"/>
      <c r="N13" s="306"/>
      <c r="O13" s="159"/>
      <c r="P13" s="159">
        <v>571</v>
      </c>
      <c r="Q13" s="290">
        <f t="shared" si="1"/>
        <v>4.2066549912434326</v>
      </c>
      <c r="R13" s="159">
        <v>3620</v>
      </c>
      <c r="S13" s="159"/>
      <c r="T13" s="306"/>
      <c r="U13" s="159"/>
      <c r="V13" s="159">
        <v>875</v>
      </c>
      <c r="W13" s="290">
        <f t="shared" si="10"/>
        <v>4.137142857142857</v>
      </c>
      <c r="X13" s="159">
        <v>3812</v>
      </c>
      <c r="Y13" s="159"/>
      <c r="Z13" s="306"/>
      <c r="AA13" s="159"/>
      <c r="AB13" s="159">
        <v>896</v>
      </c>
      <c r="AC13" s="290">
        <f t="shared" si="11"/>
        <v>4.2544642857142856</v>
      </c>
      <c r="AD13" s="159">
        <f t="shared" si="2"/>
        <v>1218</v>
      </c>
      <c r="AE13" s="159"/>
      <c r="AF13" s="175"/>
      <c r="AG13" s="159"/>
      <c r="AH13" s="159">
        <f t="shared" si="3"/>
        <v>304</v>
      </c>
      <c r="AI13" s="290">
        <f t="shared" si="15"/>
        <v>4.0065789473684212</v>
      </c>
      <c r="AJ13" s="159">
        <f t="shared" si="4"/>
        <v>1410</v>
      </c>
      <c r="AK13" s="159"/>
      <c r="AL13" s="175"/>
      <c r="AM13" s="159"/>
      <c r="AN13" s="159">
        <f t="shared" si="5"/>
        <v>325</v>
      </c>
      <c r="AO13" s="290">
        <f t="shared" si="16"/>
        <v>4.3384615384615381</v>
      </c>
      <c r="AQ13" s="281">
        <v>3</v>
      </c>
      <c r="AR13" s="258" t="s">
        <v>258</v>
      </c>
      <c r="AS13" s="99"/>
      <c r="AT13" s="376"/>
      <c r="AU13" s="159">
        <f t="shared" si="12"/>
        <v>3812</v>
      </c>
      <c r="AV13" s="159"/>
      <c r="AW13" s="306"/>
      <c r="AX13" s="306"/>
      <c r="AY13" s="159">
        <f t="shared" si="6"/>
        <v>896</v>
      </c>
      <c r="AZ13" s="290">
        <f t="shared" si="13"/>
        <v>4.2544642857142856</v>
      </c>
      <c r="BB13" s="281">
        <v>3</v>
      </c>
      <c r="BC13" s="258" t="s">
        <v>258</v>
      </c>
      <c r="BD13" s="105"/>
      <c r="BE13" s="376"/>
      <c r="BF13" s="159">
        <f t="shared" si="14"/>
        <v>1410</v>
      </c>
      <c r="BG13" s="159"/>
      <c r="BH13" s="306"/>
      <c r="BI13" s="306"/>
      <c r="BJ13" s="159">
        <f t="shared" si="7"/>
        <v>325</v>
      </c>
      <c r="BK13" s="290">
        <f t="shared" ref="BK13:BK37" si="17">BF13/BJ13</f>
        <v>4.3384615384615381</v>
      </c>
      <c r="BM13" s="281">
        <v>3</v>
      </c>
      <c r="BN13" s="258" t="s">
        <v>258</v>
      </c>
      <c r="BO13" s="105"/>
      <c r="BP13" s="376"/>
      <c r="BQ13" s="175"/>
      <c r="BR13" s="175"/>
      <c r="BS13" s="380">
        <f t="shared" si="8"/>
        <v>4.2544642857142856</v>
      </c>
      <c r="BT13" s="175"/>
      <c r="BU13" s="175"/>
      <c r="BV13" s="380">
        <f t="shared" si="9"/>
        <v>4.3384615384615381</v>
      </c>
    </row>
    <row r="14" spans="1:74" x14ac:dyDescent="0.35">
      <c r="B14" s="281">
        <v>4</v>
      </c>
      <c r="C14" s="258" t="s">
        <v>259</v>
      </c>
      <c r="D14" s="99"/>
      <c r="E14" s="159"/>
      <c r="F14" s="159"/>
      <c r="G14" s="9"/>
      <c r="H14" s="159"/>
      <c r="I14" s="159"/>
      <c r="J14" s="159"/>
      <c r="K14" s="159"/>
      <c r="L14" s="99">
        <v>316</v>
      </c>
      <c r="M14" s="159"/>
      <c r="N14" s="306"/>
      <c r="O14" s="159"/>
      <c r="P14" s="159">
        <v>274</v>
      </c>
      <c r="Q14" s="290">
        <f t="shared" si="1"/>
        <v>1.1532846715328466</v>
      </c>
      <c r="R14" s="159">
        <v>409</v>
      </c>
      <c r="S14" s="159"/>
      <c r="T14" s="306"/>
      <c r="U14" s="159"/>
      <c r="V14" s="159">
        <v>423</v>
      </c>
      <c r="W14" s="290">
        <f t="shared" si="10"/>
        <v>0.96690307328605196</v>
      </c>
      <c r="X14" s="159">
        <v>421</v>
      </c>
      <c r="Y14" s="159"/>
      <c r="Z14" s="306"/>
      <c r="AA14" s="159"/>
      <c r="AB14" s="159">
        <v>441</v>
      </c>
      <c r="AC14" s="290">
        <f t="shared" si="11"/>
        <v>0.95464852607709749</v>
      </c>
      <c r="AD14" s="159">
        <f t="shared" si="2"/>
        <v>93</v>
      </c>
      <c r="AE14" s="159"/>
      <c r="AF14" s="175"/>
      <c r="AG14" s="159"/>
      <c r="AH14" s="159">
        <f t="shared" si="3"/>
        <v>149</v>
      </c>
      <c r="AI14" s="290">
        <f t="shared" si="15"/>
        <v>0.62416107382550334</v>
      </c>
      <c r="AJ14" s="159">
        <f t="shared" si="4"/>
        <v>105</v>
      </c>
      <c r="AK14" s="159"/>
      <c r="AL14" s="175"/>
      <c r="AM14" s="159"/>
      <c r="AN14" s="159">
        <f t="shared" si="5"/>
        <v>167</v>
      </c>
      <c r="AO14" s="290">
        <f t="shared" si="16"/>
        <v>0.62874251497005984</v>
      </c>
      <c r="AQ14" s="281">
        <v>4</v>
      </c>
      <c r="AR14" s="258" t="s">
        <v>259</v>
      </c>
      <c r="AS14" s="99"/>
      <c r="AT14" s="376"/>
      <c r="AU14" s="159">
        <f t="shared" si="12"/>
        <v>421</v>
      </c>
      <c r="AV14" s="159"/>
      <c r="AW14" s="306"/>
      <c r="AX14" s="306"/>
      <c r="AY14" s="159">
        <f t="shared" si="6"/>
        <v>441</v>
      </c>
      <c r="AZ14" s="290">
        <f t="shared" si="13"/>
        <v>0.95464852607709749</v>
      </c>
      <c r="BB14" s="281">
        <v>4</v>
      </c>
      <c r="BC14" s="258" t="s">
        <v>259</v>
      </c>
      <c r="BD14" s="105"/>
      <c r="BE14" s="376"/>
      <c r="BF14" s="159">
        <f t="shared" si="14"/>
        <v>105</v>
      </c>
      <c r="BG14" s="159"/>
      <c r="BH14" s="306"/>
      <c r="BI14" s="306"/>
      <c r="BJ14" s="159">
        <f t="shared" si="7"/>
        <v>167</v>
      </c>
      <c r="BK14" s="290">
        <f t="shared" si="17"/>
        <v>0.62874251497005984</v>
      </c>
      <c r="BM14" s="281">
        <v>4</v>
      </c>
      <c r="BN14" s="258" t="s">
        <v>259</v>
      </c>
      <c r="BO14" s="105"/>
      <c r="BP14" s="376"/>
      <c r="BQ14" s="175"/>
      <c r="BR14" s="175"/>
      <c r="BS14" s="380">
        <f t="shared" si="8"/>
        <v>0.95464852607709749</v>
      </c>
      <c r="BT14" s="175"/>
      <c r="BU14" s="175"/>
      <c r="BV14" s="380">
        <f t="shared" si="9"/>
        <v>0.62874251497005984</v>
      </c>
    </row>
    <row r="15" spans="1:74" x14ac:dyDescent="0.35">
      <c r="B15" s="281">
        <v>5</v>
      </c>
      <c r="C15" s="258" t="s">
        <v>260</v>
      </c>
      <c r="D15" s="99"/>
      <c r="E15" s="159"/>
      <c r="F15" s="159"/>
      <c r="G15" s="9"/>
      <c r="H15" s="159"/>
      <c r="I15" s="159"/>
      <c r="J15" s="159"/>
      <c r="K15" s="159"/>
      <c r="L15" s="99">
        <v>43</v>
      </c>
      <c r="M15" s="159"/>
      <c r="N15" s="306"/>
      <c r="O15" s="159"/>
      <c r="P15" s="159">
        <v>86</v>
      </c>
      <c r="Q15" s="290">
        <f t="shared" si="1"/>
        <v>0.5</v>
      </c>
      <c r="R15" s="159">
        <v>53</v>
      </c>
      <c r="S15" s="159"/>
      <c r="T15" s="306"/>
      <c r="U15" s="159"/>
      <c r="V15" s="159">
        <v>202</v>
      </c>
      <c r="W15" s="290">
        <f t="shared" si="10"/>
        <v>0.26237623762376239</v>
      </c>
      <c r="X15" s="159">
        <v>54</v>
      </c>
      <c r="Y15" s="159"/>
      <c r="Z15" s="306"/>
      <c r="AA15" s="159"/>
      <c r="AB15" s="159">
        <v>202</v>
      </c>
      <c r="AC15" s="290">
        <f t="shared" si="11"/>
        <v>0.26732673267326734</v>
      </c>
      <c r="AD15" s="159">
        <f t="shared" si="2"/>
        <v>10</v>
      </c>
      <c r="AE15" s="159"/>
      <c r="AF15" s="175"/>
      <c r="AG15" s="159"/>
      <c r="AH15" s="159">
        <f t="shared" si="3"/>
        <v>116</v>
      </c>
      <c r="AI15" s="290">
        <f t="shared" si="15"/>
        <v>8.6206896551724144E-2</v>
      </c>
      <c r="AJ15" s="159">
        <f t="shared" si="4"/>
        <v>11</v>
      </c>
      <c r="AK15" s="159"/>
      <c r="AL15" s="175"/>
      <c r="AM15" s="159"/>
      <c r="AN15" s="159">
        <f t="shared" si="5"/>
        <v>116</v>
      </c>
      <c r="AO15" s="290">
        <f t="shared" si="16"/>
        <v>9.4827586206896547E-2</v>
      </c>
      <c r="AQ15" s="281">
        <v>5</v>
      </c>
      <c r="AR15" s="258" t="s">
        <v>260</v>
      </c>
      <c r="AS15" s="99"/>
      <c r="AT15" s="376"/>
      <c r="AU15" s="159">
        <f t="shared" si="12"/>
        <v>54</v>
      </c>
      <c r="AV15" s="159"/>
      <c r="AW15" s="306"/>
      <c r="AX15" s="306"/>
      <c r="AY15" s="159">
        <f t="shared" si="6"/>
        <v>202</v>
      </c>
      <c r="AZ15" s="290">
        <f t="shared" si="13"/>
        <v>0.26732673267326734</v>
      </c>
      <c r="BB15" s="281">
        <v>5</v>
      </c>
      <c r="BC15" s="258" t="s">
        <v>260</v>
      </c>
      <c r="BD15" s="105"/>
      <c r="BE15" s="376"/>
      <c r="BF15" s="159">
        <f t="shared" si="14"/>
        <v>11</v>
      </c>
      <c r="BG15" s="159"/>
      <c r="BH15" s="306"/>
      <c r="BI15" s="306"/>
      <c r="BJ15" s="159">
        <f t="shared" si="7"/>
        <v>116</v>
      </c>
      <c r="BK15" s="290">
        <f t="shared" si="17"/>
        <v>9.4827586206896547E-2</v>
      </c>
      <c r="BM15" s="281">
        <v>5</v>
      </c>
      <c r="BN15" s="258" t="s">
        <v>260</v>
      </c>
      <c r="BO15" s="105"/>
      <c r="BP15" s="376"/>
      <c r="BQ15" s="175"/>
      <c r="BR15" s="175"/>
      <c r="BS15" s="380">
        <f t="shared" si="8"/>
        <v>0.26732673267326734</v>
      </c>
      <c r="BT15" s="175"/>
      <c r="BU15" s="175"/>
      <c r="BV15" s="380">
        <f t="shared" si="9"/>
        <v>9.4827586206896547E-2</v>
      </c>
    </row>
    <row r="16" spans="1:74" x14ac:dyDescent="0.35">
      <c r="B16" s="281">
        <v>6</v>
      </c>
      <c r="C16" s="258" t="s">
        <v>261</v>
      </c>
      <c r="D16" s="99"/>
      <c r="E16" s="159"/>
      <c r="F16" s="159"/>
      <c r="G16" s="9"/>
      <c r="H16" s="159"/>
      <c r="I16" s="159"/>
      <c r="J16" s="159"/>
      <c r="K16" s="159"/>
      <c r="L16" s="99">
        <v>191</v>
      </c>
      <c r="M16" s="159"/>
      <c r="N16" s="306"/>
      <c r="O16" s="159"/>
      <c r="P16" s="159">
        <v>322</v>
      </c>
      <c r="Q16" s="290">
        <f t="shared" si="1"/>
        <v>0.59316770186335399</v>
      </c>
      <c r="R16" s="159">
        <v>238</v>
      </c>
      <c r="S16" s="159"/>
      <c r="T16" s="306"/>
      <c r="U16" s="159"/>
      <c r="V16" s="159">
        <v>420</v>
      </c>
      <c r="W16" s="290">
        <f t="shared" si="10"/>
        <v>0.56666666666666665</v>
      </c>
      <c r="X16" s="159">
        <v>240</v>
      </c>
      <c r="Y16" s="159"/>
      <c r="Z16" s="306"/>
      <c r="AA16" s="159"/>
      <c r="AB16" s="159">
        <v>432</v>
      </c>
      <c r="AC16" s="290">
        <f t="shared" si="11"/>
        <v>0.55555555555555558</v>
      </c>
      <c r="AD16" s="159">
        <f t="shared" si="2"/>
        <v>47</v>
      </c>
      <c r="AE16" s="159"/>
      <c r="AF16" s="175"/>
      <c r="AG16" s="159"/>
      <c r="AH16" s="159">
        <f t="shared" si="3"/>
        <v>98</v>
      </c>
      <c r="AI16" s="290">
        <f t="shared" si="15"/>
        <v>0.47959183673469385</v>
      </c>
      <c r="AJ16" s="159">
        <f t="shared" si="4"/>
        <v>49</v>
      </c>
      <c r="AK16" s="159"/>
      <c r="AL16" s="175"/>
      <c r="AM16" s="159"/>
      <c r="AN16" s="159">
        <f t="shared" si="5"/>
        <v>110</v>
      </c>
      <c r="AO16" s="290">
        <f t="shared" si="16"/>
        <v>0.44545454545454544</v>
      </c>
      <c r="AQ16" s="281">
        <v>6</v>
      </c>
      <c r="AR16" s="258" t="s">
        <v>261</v>
      </c>
      <c r="AS16" s="99"/>
      <c r="AT16" s="376"/>
      <c r="AU16" s="159">
        <f t="shared" si="12"/>
        <v>240</v>
      </c>
      <c r="AV16" s="159"/>
      <c r="AW16" s="306"/>
      <c r="AX16" s="306"/>
      <c r="AY16" s="159">
        <f t="shared" si="6"/>
        <v>432</v>
      </c>
      <c r="AZ16" s="290">
        <f t="shared" si="13"/>
        <v>0.55555555555555558</v>
      </c>
      <c r="BB16" s="281">
        <v>6</v>
      </c>
      <c r="BC16" s="258" t="s">
        <v>261</v>
      </c>
      <c r="BD16" s="105"/>
      <c r="BE16" s="376"/>
      <c r="BF16" s="159">
        <f t="shared" si="14"/>
        <v>49</v>
      </c>
      <c r="BG16" s="159"/>
      <c r="BH16" s="306"/>
      <c r="BI16" s="306"/>
      <c r="BJ16" s="159">
        <f t="shared" si="7"/>
        <v>110</v>
      </c>
      <c r="BK16" s="290">
        <f t="shared" si="17"/>
        <v>0.44545454545454544</v>
      </c>
      <c r="BM16" s="281">
        <v>6</v>
      </c>
      <c r="BN16" s="258" t="s">
        <v>261</v>
      </c>
      <c r="BO16" s="105"/>
      <c r="BP16" s="376"/>
      <c r="BQ16" s="175"/>
      <c r="BR16" s="175"/>
      <c r="BS16" s="380">
        <f t="shared" si="8"/>
        <v>0.55555555555555558</v>
      </c>
      <c r="BT16" s="175"/>
      <c r="BU16" s="175"/>
      <c r="BV16" s="380">
        <f t="shared" si="9"/>
        <v>0.44545454545454544</v>
      </c>
    </row>
    <row r="17" spans="2:74" x14ac:dyDescent="0.35">
      <c r="B17" s="281">
        <v>7</v>
      </c>
      <c r="C17" s="258" t="s">
        <v>262</v>
      </c>
      <c r="D17" s="99"/>
      <c r="E17" s="159"/>
      <c r="F17" s="159"/>
      <c r="G17" s="9"/>
      <c r="H17" s="159"/>
      <c r="I17" s="159"/>
      <c r="J17" s="159"/>
      <c r="K17" s="159"/>
      <c r="L17" s="99">
        <v>243</v>
      </c>
      <c r="M17" s="159"/>
      <c r="N17" s="306"/>
      <c r="O17" s="159"/>
      <c r="P17" s="159">
        <v>15</v>
      </c>
      <c r="Q17" s="290">
        <f t="shared" si="1"/>
        <v>16.2</v>
      </c>
      <c r="R17" s="159">
        <v>274</v>
      </c>
      <c r="S17" s="159"/>
      <c r="T17" s="306"/>
      <c r="U17" s="159"/>
      <c r="V17" s="159">
        <v>18</v>
      </c>
      <c r="W17" s="290">
        <f t="shared" si="10"/>
        <v>15.222222222222221</v>
      </c>
      <c r="X17" s="159">
        <v>276</v>
      </c>
      <c r="Y17" s="159"/>
      <c r="Z17" s="306"/>
      <c r="AA17" s="159"/>
      <c r="AB17" s="159">
        <v>18</v>
      </c>
      <c r="AC17" s="290">
        <f t="shared" si="11"/>
        <v>15.333333333333334</v>
      </c>
      <c r="AD17" s="159">
        <f t="shared" si="2"/>
        <v>31</v>
      </c>
      <c r="AE17" s="159"/>
      <c r="AF17" s="175"/>
      <c r="AG17" s="159"/>
      <c r="AH17" s="159">
        <f t="shared" si="3"/>
        <v>3</v>
      </c>
      <c r="AI17" s="290">
        <f t="shared" si="15"/>
        <v>10.333333333333334</v>
      </c>
      <c r="AJ17" s="159">
        <f t="shared" si="4"/>
        <v>33</v>
      </c>
      <c r="AK17" s="159"/>
      <c r="AL17" s="175"/>
      <c r="AM17" s="159"/>
      <c r="AN17" s="159">
        <f t="shared" si="5"/>
        <v>3</v>
      </c>
      <c r="AO17" s="290">
        <f t="shared" si="16"/>
        <v>11</v>
      </c>
      <c r="AQ17" s="281">
        <v>7</v>
      </c>
      <c r="AR17" s="258" t="s">
        <v>262</v>
      </c>
      <c r="AS17" s="99"/>
      <c r="AT17" s="376"/>
      <c r="AU17" s="159">
        <f t="shared" si="12"/>
        <v>276</v>
      </c>
      <c r="AV17" s="159"/>
      <c r="AW17" s="306"/>
      <c r="AX17" s="306"/>
      <c r="AY17" s="159">
        <f t="shared" si="6"/>
        <v>18</v>
      </c>
      <c r="AZ17" s="290">
        <f t="shared" si="13"/>
        <v>15.333333333333334</v>
      </c>
      <c r="BB17" s="281">
        <v>7</v>
      </c>
      <c r="BC17" s="258" t="s">
        <v>262</v>
      </c>
      <c r="BD17" s="105"/>
      <c r="BE17" s="376"/>
      <c r="BF17" s="159">
        <f t="shared" si="14"/>
        <v>33</v>
      </c>
      <c r="BG17" s="159"/>
      <c r="BH17" s="306"/>
      <c r="BI17" s="306"/>
      <c r="BJ17" s="159">
        <f t="shared" si="7"/>
        <v>3</v>
      </c>
      <c r="BK17" s="290">
        <f>BF17/BJ17</f>
        <v>11</v>
      </c>
      <c r="BM17" s="281">
        <v>7</v>
      </c>
      <c r="BN17" s="258" t="s">
        <v>262</v>
      </c>
      <c r="BO17" s="105"/>
      <c r="BP17" s="376"/>
      <c r="BQ17" s="175"/>
      <c r="BR17" s="175"/>
      <c r="BS17" s="380">
        <f t="shared" si="8"/>
        <v>15.333333333333334</v>
      </c>
      <c r="BT17" s="175"/>
      <c r="BU17" s="175"/>
      <c r="BV17" s="380">
        <f t="shared" si="9"/>
        <v>11</v>
      </c>
    </row>
    <row r="18" spans="2:74" x14ac:dyDescent="0.35">
      <c r="B18" s="281">
        <v>8</v>
      </c>
      <c r="C18" s="258" t="s">
        <v>263</v>
      </c>
      <c r="D18" s="282">
        <v>13758</v>
      </c>
      <c r="E18" s="283">
        <f>S18/0.46</f>
        <v>28202.173913043476</v>
      </c>
      <c r="F18" s="283">
        <f>400+200</f>
        <v>600</v>
      </c>
      <c r="G18" s="346">
        <f>F18/365</f>
        <v>1.6438356164383561</v>
      </c>
      <c r="H18" s="283">
        <f>($E18+(DATEDIF($D$9,H$9,"M")/12)*$F18)-M18</f>
        <v>21285.173913043476</v>
      </c>
      <c r="I18" s="283">
        <f>($E18+(DATEDIF($D$9,I$9,"M")/12)*$F18)-S18</f>
        <v>16429.173913043476</v>
      </c>
      <c r="J18" s="283">
        <f>($E18+(DATEDIF($D$9,J$9,"M")/12)*$F18)-Y18</f>
        <v>15773.173913043476</v>
      </c>
      <c r="K18" s="287"/>
      <c r="L18" s="282">
        <f>SUM(L12:L17)</f>
        <v>4080</v>
      </c>
      <c r="M18" s="283">
        <v>7667</v>
      </c>
      <c r="N18" s="319">
        <f>M18/M$4</f>
        <v>16.107142857142858</v>
      </c>
      <c r="O18" s="283">
        <f>H18/(N18*30)</f>
        <v>44.049140396542299</v>
      </c>
      <c r="P18" s="283">
        <f>SUM(P12:P17)</f>
        <v>1553</v>
      </c>
      <c r="Q18" s="284">
        <f t="shared" si="1"/>
        <v>2.6271732131358663</v>
      </c>
      <c r="R18" s="283">
        <f>SUM(R12:R17)</f>
        <v>5855</v>
      </c>
      <c r="S18" s="283">
        <v>12973</v>
      </c>
      <c r="T18" s="319">
        <f>S18/S$4</f>
        <v>17.274300932090547</v>
      </c>
      <c r="U18" s="283">
        <f>I18/(T18*30)</f>
        <v>31.702535030950568</v>
      </c>
      <c r="V18" s="283">
        <f>SUM(V12:V17)</f>
        <v>2298</v>
      </c>
      <c r="W18" s="284">
        <f t="shared" si="10"/>
        <v>2.5478677110530898</v>
      </c>
      <c r="X18" s="283">
        <f>SUM(X12:X17)</f>
        <v>6093</v>
      </c>
      <c r="Y18" s="283">
        <v>13679</v>
      </c>
      <c r="Z18" s="319">
        <f>Y18/Y$4</f>
        <v>17.604890604890606</v>
      </c>
      <c r="AA18" s="283">
        <f>J18/(Z18*30)</f>
        <v>29.865136658222532</v>
      </c>
      <c r="AB18" s="283">
        <f>SUM(AB12:AB17)</f>
        <v>2351</v>
      </c>
      <c r="AC18" s="284">
        <f t="shared" si="11"/>
        <v>2.5916631220757123</v>
      </c>
      <c r="AD18" s="283">
        <f t="shared" si="2"/>
        <v>1775</v>
      </c>
      <c r="AE18" s="283">
        <f>S18-$M18</f>
        <v>5306</v>
      </c>
      <c r="AF18" s="332">
        <f>AE18/AE$4</f>
        <v>19.294545454545453</v>
      </c>
      <c r="AG18" s="283">
        <f>I18/(AF18*30)</f>
        <v>28.383106081712253</v>
      </c>
      <c r="AH18" s="283">
        <f t="shared" si="3"/>
        <v>745</v>
      </c>
      <c r="AI18" s="284">
        <f t="shared" si="15"/>
        <v>2.3825503355704698</v>
      </c>
      <c r="AJ18" s="283">
        <f t="shared" si="4"/>
        <v>2013</v>
      </c>
      <c r="AK18" s="283">
        <f>Y18-$M18</f>
        <v>6012</v>
      </c>
      <c r="AL18" s="332">
        <f>AK18/AK$4</f>
        <v>19.973421926910298</v>
      </c>
      <c r="AM18" s="283">
        <f>J18/(AL18*30)</f>
        <v>26.323604722921306</v>
      </c>
      <c r="AN18" s="283">
        <f t="shared" si="5"/>
        <v>798</v>
      </c>
      <c r="AO18" s="284">
        <f t="shared" si="16"/>
        <v>2.5225563909774436</v>
      </c>
      <c r="AQ18" s="281">
        <v>8</v>
      </c>
      <c r="AR18" s="258" t="s">
        <v>263</v>
      </c>
      <c r="AS18" s="282">
        <f>J18</f>
        <v>15773.173913043476</v>
      </c>
      <c r="AT18" s="374">
        <f>G18</f>
        <v>1.6438356164383561</v>
      </c>
      <c r="AU18" s="283">
        <f t="shared" si="12"/>
        <v>6093</v>
      </c>
      <c r="AV18" s="283">
        <f t="shared" ref="AV18:AV19" si="18">Y18</f>
        <v>13679</v>
      </c>
      <c r="AW18" s="319">
        <f>AV18/AV$4</f>
        <v>17.604890604890606</v>
      </c>
      <c r="AX18" s="283">
        <f>AS18/(AW18*30)</f>
        <v>29.865136658222532</v>
      </c>
      <c r="AY18" s="283">
        <f t="shared" si="6"/>
        <v>2351</v>
      </c>
      <c r="AZ18" s="284">
        <f t="shared" si="13"/>
        <v>2.5916631220757123</v>
      </c>
      <c r="BB18" s="281">
        <v>8</v>
      </c>
      <c r="BC18" s="258" t="s">
        <v>263</v>
      </c>
      <c r="BD18" s="328">
        <f>J18</f>
        <v>15773.173913043476</v>
      </c>
      <c r="BE18" s="374">
        <f>G18</f>
        <v>1.6438356164383561</v>
      </c>
      <c r="BF18" s="283">
        <f t="shared" si="14"/>
        <v>2013</v>
      </c>
      <c r="BG18" s="283">
        <f>AK18</f>
        <v>6012</v>
      </c>
      <c r="BH18" s="319">
        <f>BG18/BG$4</f>
        <v>19.973421926910298</v>
      </c>
      <c r="BI18" s="283">
        <f>BD18/(BH18*30)</f>
        <v>26.323604722921306</v>
      </c>
      <c r="BJ18" s="283">
        <f t="shared" si="7"/>
        <v>798</v>
      </c>
      <c r="BK18" s="284">
        <f t="shared" si="17"/>
        <v>2.5225563909774436</v>
      </c>
      <c r="BM18" s="281">
        <v>8</v>
      </c>
      <c r="BN18" s="258" t="s">
        <v>263</v>
      </c>
      <c r="BO18" s="328">
        <f>J18</f>
        <v>15773.173913043476</v>
      </c>
      <c r="BP18" s="374">
        <f>G18</f>
        <v>1.6438356164383561</v>
      </c>
      <c r="BQ18" s="332">
        <f>AW18</f>
        <v>17.604890604890606</v>
      </c>
      <c r="BR18" s="283">
        <f>$BO18/(BQ18*30)</f>
        <v>29.865136658222532</v>
      </c>
      <c r="BS18" s="335">
        <f t="shared" si="8"/>
        <v>2.5916631220757123</v>
      </c>
      <c r="BT18" s="332">
        <f>BH18</f>
        <v>19.973421926910298</v>
      </c>
      <c r="BU18" s="283">
        <f>$BO18/(BT18*30)</f>
        <v>26.323604722921306</v>
      </c>
      <c r="BV18" s="335">
        <f t="shared" si="9"/>
        <v>2.5225563909774436</v>
      </c>
    </row>
    <row r="19" spans="2:74" x14ac:dyDescent="0.35">
      <c r="B19" s="281">
        <v>9</v>
      </c>
      <c r="C19" s="258" t="s">
        <v>264</v>
      </c>
      <c r="D19" s="286"/>
      <c r="E19" s="403" t="s">
        <v>34</v>
      </c>
      <c r="F19" s="283">
        <f>F10*($S19/$S10)</f>
        <v>63.13615577518808</v>
      </c>
      <c r="G19" s="346">
        <f>F19/365</f>
        <v>0.17297576924709063</v>
      </c>
      <c r="H19" s="283">
        <f>H10*($S19/$S10)</f>
        <v>2504.1062103555096</v>
      </c>
      <c r="I19" s="283">
        <f>I10*($S19/$S10)</f>
        <v>1838.2723115503761</v>
      </c>
      <c r="J19" s="283">
        <f>J10*($S19/$S10)</f>
        <v>1753.122682794906</v>
      </c>
      <c r="K19" s="287"/>
      <c r="L19" s="282">
        <v>310</v>
      </c>
      <c r="M19" s="283">
        <v>519</v>
      </c>
      <c r="N19" s="319">
        <f>M19/M$4</f>
        <v>1.0903361344537814</v>
      </c>
      <c r="O19" s="283">
        <f>H19/(N19*30)</f>
        <v>76.554563656340576</v>
      </c>
      <c r="P19" s="283">
        <v>65</v>
      </c>
      <c r="Q19" s="284">
        <f t="shared" si="1"/>
        <v>4.7692307692307692</v>
      </c>
      <c r="R19" s="283">
        <v>445</v>
      </c>
      <c r="S19" s="283">
        <v>1712</v>
      </c>
      <c r="T19" s="319">
        <f>S19/S$4</f>
        <v>2.2796271637816243</v>
      </c>
      <c r="U19" s="283">
        <f>I19/(T19*30)</f>
        <v>26.879721689531397</v>
      </c>
      <c r="V19" s="283">
        <v>148</v>
      </c>
      <c r="W19" s="284">
        <f t="shared" si="10"/>
        <v>3.0067567567567566</v>
      </c>
      <c r="X19" s="283">
        <v>458</v>
      </c>
      <c r="Y19" s="283">
        <v>1882</v>
      </c>
      <c r="Z19" s="319">
        <f>Y19/Y$4</f>
        <v>2.4221364221364223</v>
      </c>
      <c r="AA19" s="283">
        <f>J19/(Z19*30)</f>
        <v>24.126396112852319</v>
      </c>
      <c r="AB19" s="283">
        <v>152</v>
      </c>
      <c r="AC19" s="284">
        <f t="shared" si="11"/>
        <v>3.013157894736842</v>
      </c>
      <c r="AD19" s="283">
        <f t="shared" si="2"/>
        <v>135</v>
      </c>
      <c r="AE19" s="283">
        <f>S19-$M19</f>
        <v>1193</v>
      </c>
      <c r="AF19" s="332">
        <f>AE19/AE$4</f>
        <v>4.3381818181818179</v>
      </c>
      <c r="AG19" s="283">
        <f>I19/(AF19*30)</f>
        <v>14.124752324010995</v>
      </c>
      <c r="AH19" s="283">
        <f t="shared" si="3"/>
        <v>83</v>
      </c>
      <c r="AI19" s="284">
        <f t="shared" si="15"/>
        <v>1.6265060240963856</v>
      </c>
      <c r="AJ19" s="283">
        <f t="shared" si="4"/>
        <v>148</v>
      </c>
      <c r="AK19" s="283">
        <f>Y19-$M19</f>
        <v>1363</v>
      </c>
      <c r="AL19" s="332">
        <f>AK19/AK$4</f>
        <v>4.5282392026578071</v>
      </c>
      <c r="AM19" s="283">
        <f>J19/(AL19*30)</f>
        <v>12.905109501620609</v>
      </c>
      <c r="AN19" s="283">
        <f t="shared" si="5"/>
        <v>87</v>
      </c>
      <c r="AO19" s="284">
        <f t="shared" si="16"/>
        <v>1.7011494252873562</v>
      </c>
      <c r="AQ19" s="281">
        <v>9</v>
      </c>
      <c r="AR19" s="258" t="s">
        <v>264</v>
      </c>
      <c r="AS19" s="282">
        <f>J19</f>
        <v>1753.122682794906</v>
      </c>
      <c r="AT19" s="374">
        <f>G19</f>
        <v>0.17297576924709063</v>
      </c>
      <c r="AU19" s="283">
        <f t="shared" si="12"/>
        <v>458</v>
      </c>
      <c r="AV19" s="283">
        <f t="shared" si="18"/>
        <v>1882</v>
      </c>
      <c r="AW19" s="319">
        <f>AV19/AV$4</f>
        <v>2.4221364221364223</v>
      </c>
      <c r="AX19" s="283">
        <f>AS19/(AW19*30)</f>
        <v>24.126396112852319</v>
      </c>
      <c r="AY19" s="283">
        <f t="shared" si="6"/>
        <v>152</v>
      </c>
      <c r="AZ19" s="284">
        <f t="shared" si="13"/>
        <v>3.013157894736842</v>
      </c>
      <c r="BB19" s="281">
        <v>9</v>
      </c>
      <c r="BC19" s="258" t="s">
        <v>264</v>
      </c>
      <c r="BD19" s="328">
        <f>J19</f>
        <v>1753.122682794906</v>
      </c>
      <c r="BE19" s="374">
        <f>G19</f>
        <v>0.17297576924709063</v>
      </c>
      <c r="BF19" s="283">
        <f t="shared" si="14"/>
        <v>148</v>
      </c>
      <c r="BG19" s="283">
        <f>AK19</f>
        <v>1363</v>
      </c>
      <c r="BH19" s="319">
        <f>BG19/BG$4</f>
        <v>4.5282392026578071</v>
      </c>
      <c r="BI19" s="283">
        <f>BD19/(BH19*30)</f>
        <v>12.905109501620609</v>
      </c>
      <c r="BJ19" s="283">
        <f t="shared" si="7"/>
        <v>87</v>
      </c>
      <c r="BK19" s="284">
        <f t="shared" si="17"/>
        <v>1.7011494252873562</v>
      </c>
      <c r="BM19" s="281">
        <v>9</v>
      </c>
      <c r="BN19" s="258" t="s">
        <v>264</v>
      </c>
      <c r="BO19" s="328">
        <f>J19</f>
        <v>1753.122682794906</v>
      </c>
      <c r="BP19" s="374">
        <f>G19</f>
        <v>0.17297576924709063</v>
      </c>
      <c r="BQ19" s="332">
        <f>AW19</f>
        <v>2.4221364221364223</v>
      </c>
      <c r="BR19" s="283">
        <f>$BO19/(BQ19*30)</f>
        <v>24.126396112852319</v>
      </c>
      <c r="BS19" s="335">
        <f t="shared" si="8"/>
        <v>3.013157894736842</v>
      </c>
      <c r="BT19" s="332">
        <f>BH19</f>
        <v>4.5282392026578071</v>
      </c>
      <c r="BU19" s="283">
        <f>$BO19/(BT19*30)</f>
        <v>12.905109501620609</v>
      </c>
      <c r="BV19" s="335">
        <f t="shared" si="9"/>
        <v>1.7011494252873562</v>
      </c>
    </row>
    <row r="20" spans="2:74" x14ac:dyDescent="0.35">
      <c r="B20" s="281">
        <v>10</v>
      </c>
      <c r="C20" s="258" t="s">
        <v>265</v>
      </c>
      <c r="D20" s="99"/>
      <c r="E20" s="159"/>
      <c r="F20" s="159"/>
      <c r="G20" s="9"/>
      <c r="H20" s="159"/>
      <c r="I20" s="159"/>
      <c r="J20" s="159"/>
      <c r="K20" s="159"/>
      <c r="L20" s="99">
        <v>38</v>
      </c>
      <c r="M20" s="159"/>
      <c r="N20" s="306"/>
      <c r="O20" s="159"/>
      <c r="P20" s="159">
        <v>21</v>
      </c>
      <c r="Q20" s="290">
        <f t="shared" si="1"/>
        <v>1.8095238095238095</v>
      </c>
      <c r="R20" s="159">
        <v>44</v>
      </c>
      <c r="S20" s="159"/>
      <c r="T20" s="306"/>
      <c r="U20" s="159"/>
      <c r="V20" s="159">
        <v>21</v>
      </c>
      <c r="W20" s="290">
        <f t="shared" si="10"/>
        <v>2.0952380952380953</v>
      </c>
      <c r="X20" s="159">
        <v>44</v>
      </c>
      <c r="Y20" s="159"/>
      <c r="Z20" s="306"/>
      <c r="AA20" s="159"/>
      <c r="AB20" s="159">
        <v>20</v>
      </c>
      <c r="AC20" s="290">
        <f t="shared" si="11"/>
        <v>2.2000000000000002</v>
      </c>
      <c r="AD20" s="159">
        <f t="shared" si="2"/>
        <v>6</v>
      </c>
      <c r="AE20" s="159"/>
      <c r="AF20" s="175"/>
      <c r="AG20" s="159"/>
      <c r="AH20" s="159">
        <f t="shared" si="3"/>
        <v>0</v>
      </c>
      <c r="AI20" s="291" t="s">
        <v>34</v>
      </c>
      <c r="AJ20" s="159">
        <f t="shared" si="4"/>
        <v>6</v>
      </c>
      <c r="AK20" s="159"/>
      <c r="AL20" s="175"/>
      <c r="AM20" s="159"/>
      <c r="AN20" s="159">
        <f t="shared" si="5"/>
        <v>-1</v>
      </c>
      <c r="AO20" s="291" t="s">
        <v>34</v>
      </c>
      <c r="AQ20" s="281">
        <v>10</v>
      </c>
      <c r="AR20" s="258" t="s">
        <v>265</v>
      </c>
      <c r="AS20" s="99"/>
      <c r="AT20" s="376"/>
      <c r="AU20" s="159">
        <f t="shared" si="12"/>
        <v>44</v>
      </c>
      <c r="AV20" s="159"/>
      <c r="AW20" s="306"/>
      <c r="AX20" s="306"/>
      <c r="AY20" s="159">
        <f t="shared" si="6"/>
        <v>20</v>
      </c>
      <c r="AZ20" s="290">
        <f t="shared" si="13"/>
        <v>2.2000000000000002</v>
      </c>
      <c r="BB20" s="281">
        <v>10</v>
      </c>
      <c r="BC20" s="258" t="s">
        <v>265</v>
      </c>
      <c r="BD20" s="105"/>
      <c r="BE20" s="376"/>
      <c r="BF20" s="159">
        <f t="shared" si="14"/>
        <v>6</v>
      </c>
      <c r="BG20" s="159"/>
      <c r="BH20" s="306"/>
      <c r="BI20" s="306"/>
      <c r="BJ20" s="159">
        <f t="shared" si="7"/>
        <v>-1</v>
      </c>
      <c r="BK20" s="291" t="s">
        <v>34</v>
      </c>
      <c r="BM20" s="281">
        <v>10</v>
      </c>
      <c r="BN20" s="258" t="s">
        <v>265</v>
      </c>
      <c r="BO20" s="105"/>
      <c r="BP20" s="376"/>
      <c r="BQ20" s="175"/>
      <c r="BR20" s="175"/>
      <c r="BS20" s="381">
        <f t="shared" si="8"/>
        <v>2.2000000000000002</v>
      </c>
      <c r="BT20" s="175"/>
      <c r="BU20" s="175"/>
      <c r="BV20" s="381" t="str">
        <f t="shared" si="9"/>
        <v>-</v>
      </c>
    </row>
    <row r="21" spans="2:74" x14ac:dyDescent="0.35">
      <c r="B21" s="281">
        <v>11</v>
      </c>
      <c r="C21" s="258" t="s">
        <v>266</v>
      </c>
      <c r="D21" s="99"/>
      <c r="E21" s="159"/>
      <c r="F21" s="159"/>
      <c r="G21" s="9"/>
      <c r="H21" s="159"/>
      <c r="I21" s="159"/>
      <c r="J21" s="159"/>
      <c r="K21" s="159"/>
      <c r="L21" s="99">
        <v>103</v>
      </c>
      <c r="M21" s="159"/>
      <c r="N21" s="306"/>
      <c r="O21" s="159"/>
      <c r="P21" s="159">
        <v>23</v>
      </c>
      <c r="Q21" s="290">
        <f t="shared" si="1"/>
        <v>4.4782608695652177</v>
      </c>
      <c r="R21" s="159">
        <v>116</v>
      </c>
      <c r="S21" s="159"/>
      <c r="T21" s="306"/>
      <c r="U21" s="159"/>
      <c r="V21" s="159">
        <v>26</v>
      </c>
      <c r="W21" s="290">
        <f t="shared" si="10"/>
        <v>4.4615384615384617</v>
      </c>
      <c r="X21" s="159">
        <v>116</v>
      </c>
      <c r="Y21" s="159"/>
      <c r="Z21" s="306"/>
      <c r="AA21" s="159"/>
      <c r="AB21" s="159">
        <v>26</v>
      </c>
      <c r="AC21" s="290">
        <f t="shared" si="11"/>
        <v>4.4615384615384617</v>
      </c>
      <c r="AD21" s="159">
        <f t="shared" si="2"/>
        <v>13</v>
      </c>
      <c r="AE21" s="159"/>
      <c r="AF21" s="175"/>
      <c r="AG21" s="159"/>
      <c r="AH21" s="159">
        <f t="shared" si="3"/>
        <v>3</v>
      </c>
      <c r="AI21" s="290">
        <f t="shared" si="15"/>
        <v>4.333333333333333</v>
      </c>
      <c r="AJ21" s="159">
        <f t="shared" si="4"/>
        <v>13</v>
      </c>
      <c r="AK21" s="159"/>
      <c r="AL21" s="175"/>
      <c r="AM21" s="159"/>
      <c r="AN21" s="159">
        <f t="shared" si="5"/>
        <v>3</v>
      </c>
      <c r="AO21" s="290">
        <f t="shared" ref="AO21:AO25" si="19">AJ21/AN21</f>
        <v>4.333333333333333</v>
      </c>
      <c r="AQ21" s="281">
        <v>11</v>
      </c>
      <c r="AR21" s="258" t="s">
        <v>266</v>
      </c>
      <c r="AS21" s="99"/>
      <c r="AT21" s="376"/>
      <c r="AU21" s="159">
        <f t="shared" si="12"/>
        <v>116</v>
      </c>
      <c r="AV21" s="159"/>
      <c r="AW21" s="306"/>
      <c r="AX21" s="306"/>
      <c r="AY21" s="159">
        <f t="shared" si="6"/>
        <v>26</v>
      </c>
      <c r="AZ21" s="290">
        <f t="shared" si="13"/>
        <v>4.4615384615384617</v>
      </c>
      <c r="BB21" s="281">
        <v>11</v>
      </c>
      <c r="BC21" s="258" t="s">
        <v>266</v>
      </c>
      <c r="BD21" s="105"/>
      <c r="BE21" s="376"/>
      <c r="BF21" s="159">
        <f t="shared" si="14"/>
        <v>13</v>
      </c>
      <c r="BG21" s="159"/>
      <c r="BH21" s="306"/>
      <c r="BI21" s="306"/>
      <c r="BJ21" s="159">
        <f t="shared" si="7"/>
        <v>3</v>
      </c>
      <c r="BK21" s="290">
        <f t="shared" si="17"/>
        <v>4.333333333333333</v>
      </c>
      <c r="BM21" s="281">
        <v>11</v>
      </c>
      <c r="BN21" s="258" t="s">
        <v>266</v>
      </c>
      <c r="BO21" s="105"/>
      <c r="BP21" s="376"/>
      <c r="BQ21" s="175"/>
      <c r="BR21" s="175"/>
      <c r="BS21" s="380">
        <f t="shared" si="8"/>
        <v>4.4615384615384617</v>
      </c>
      <c r="BT21" s="175"/>
      <c r="BU21" s="175"/>
      <c r="BV21" s="380">
        <f t="shared" si="9"/>
        <v>4.333333333333333</v>
      </c>
    </row>
    <row r="22" spans="2:74" x14ac:dyDescent="0.35">
      <c r="B22" s="281">
        <v>12</v>
      </c>
      <c r="C22" s="258" t="s">
        <v>267</v>
      </c>
      <c r="D22" s="99"/>
      <c r="E22" s="159"/>
      <c r="F22" s="159"/>
      <c r="G22" s="9"/>
      <c r="H22" s="159"/>
      <c r="I22" s="159"/>
      <c r="J22" s="159"/>
      <c r="K22" s="159"/>
      <c r="L22" s="99">
        <v>232</v>
      </c>
      <c r="M22" s="159"/>
      <c r="N22" s="306"/>
      <c r="O22" s="159"/>
      <c r="P22" s="159">
        <v>127</v>
      </c>
      <c r="Q22" s="290">
        <f t="shared" si="1"/>
        <v>1.8267716535433072</v>
      </c>
      <c r="R22" s="159">
        <v>352</v>
      </c>
      <c r="S22" s="159"/>
      <c r="T22" s="306"/>
      <c r="U22" s="159"/>
      <c r="V22" s="159">
        <v>187</v>
      </c>
      <c r="W22" s="290">
        <f t="shared" si="10"/>
        <v>1.8823529411764706</v>
      </c>
      <c r="X22" s="159">
        <v>361</v>
      </c>
      <c r="Y22" s="159"/>
      <c r="Z22" s="306"/>
      <c r="AA22" s="159"/>
      <c r="AB22" s="159">
        <v>196</v>
      </c>
      <c r="AC22" s="290">
        <f t="shared" si="11"/>
        <v>1.8418367346938775</v>
      </c>
      <c r="AD22" s="159">
        <f t="shared" si="2"/>
        <v>120</v>
      </c>
      <c r="AE22" s="159"/>
      <c r="AF22" s="175"/>
      <c r="AG22" s="159"/>
      <c r="AH22" s="159">
        <f t="shared" si="3"/>
        <v>60</v>
      </c>
      <c r="AI22" s="290">
        <f t="shared" si="15"/>
        <v>2</v>
      </c>
      <c r="AJ22" s="159">
        <f t="shared" si="4"/>
        <v>129</v>
      </c>
      <c r="AK22" s="159"/>
      <c r="AL22" s="175"/>
      <c r="AM22" s="159"/>
      <c r="AN22" s="159">
        <f t="shared" si="5"/>
        <v>69</v>
      </c>
      <c r="AO22" s="290">
        <f t="shared" si="19"/>
        <v>1.8695652173913044</v>
      </c>
      <c r="AQ22" s="281">
        <v>12</v>
      </c>
      <c r="AR22" s="258" t="s">
        <v>267</v>
      </c>
      <c r="AS22" s="99"/>
      <c r="AT22" s="376"/>
      <c r="AU22" s="159">
        <f t="shared" si="12"/>
        <v>361</v>
      </c>
      <c r="AV22" s="159"/>
      <c r="AW22" s="306"/>
      <c r="AX22" s="306"/>
      <c r="AY22" s="159">
        <f t="shared" si="6"/>
        <v>196</v>
      </c>
      <c r="AZ22" s="290">
        <f t="shared" si="13"/>
        <v>1.8418367346938775</v>
      </c>
      <c r="BB22" s="281">
        <v>12</v>
      </c>
      <c r="BC22" s="258" t="s">
        <v>267</v>
      </c>
      <c r="BD22" s="105"/>
      <c r="BE22" s="376"/>
      <c r="BF22" s="159">
        <f t="shared" si="14"/>
        <v>129</v>
      </c>
      <c r="BG22" s="159"/>
      <c r="BH22" s="306"/>
      <c r="BI22" s="306"/>
      <c r="BJ22" s="159">
        <f t="shared" si="7"/>
        <v>69</v>
      </c>
      <c r="BK22" s="290">
        <f t="shared" si="17"/>
        <v>1.8695652173913044</v>
      </c>
      <c r="BM22" s="281">
        <v>12</v>
      </c>
      <c r="BN22" s="258" t="s">
        <v>267</v>
      </c>
      <c r="BO22" s="105"/>
      <c r="BP22" s="376"/>
      <c r="BQ22" s="175"/>
      <c r="BR22" s="175"/>
      <c r="BS22" s="380">
        <f t="shared" si="8"/>
        <v>1.8418367346938775</v>
      </c>
      <c r="BT22" s="175"/>
      <c r="BU22" s="175"/>
      <c r="BV22" s="380">
        <f t="shared" si="9"/>
        <v>1.8695652173913044</v>
      </c>
    </row>
    <row r="23" spans="2:74" x14ac:dyDescent="0.35">
      <c r="B23" s="281">
        <v>13</v>
      </c>
      <c r="C23" s="258" t="s">
        <v>268</v>
      </c>
      <c r="D23" s="99"/>
      <c r="E23" s="159"/>
      <c r="F23" s="159"/>
      <c r="G23" s="9"/>
      <c r="H23" s="159"/>
      <c r="I23" s="159"/>
      <c r="J23" s="159"/>
      <c r="K23" s="159"/>
      <c r="L23" s="99">
        <v>415</v>
      </c>
      <c r="M23" s="159"/>
      <c r="N23" s="306"/>
      <c r="O23" s="159"/>
      <c r="P23" s="159">
        <v>167</v>
      </c>
      <c r="Q23" s="290">
        <f t="shared" si="1"/>
        <v>2.4850299401197606</v>
      </c>
      <c r="R23" s="159">
        <v>694</v>
      </c>
      <c r="S23" s="159"/>
      <c r="T23" s="306"/>
      <c r="U23" s="159"/>
      <c r="V23" s="159">
        <v>307</v>
      </c>
      <c r="W23" s="290">
        <f t="shared" si="10"/>
        <v>2.2605863192182412</v>
      </c>
      <c r="X23" s="159">
        <v>715</v>
      </c>
      <c r="Y23" s="159"/>
      <c r="Z23" s="306"/>
      <c r="AA23" s="159"/>
      <c r="AB23" s="159">
        <v>318</v>
      </c>
      <c r="AC23" s="290">
        <f t="shared" si="11"/>
        <v>2.2484276729559749</v>
      </c>
      <c r="AD23" s="159">
        <f t="shared" si="2"/>
        <v>279</v>
      </c>
      <c r="AE23" s="159"/>
      <c r="AF23" s="175"/>
      <c r="AG23" s="159"/>
      <c r="AH23" s="159">
        <f t="shared" si="3"/>
        <v>140</v>
      </c>
      <c r="AI23" s="290">
        <f t="shared" si="15"/>
        <v>1.9928571428571429</v>
      </c>
      <c r="AJ23" s="159">
        <f t="shared" si="4"/>
        <v>300</v>
      </c>
      <c r="AK23" s="159"/>
      <c r="AL23" s="175"/>
      <c r="AM23" s="159"/>
      <c r="AN23" s="159">
        <f t="shared" si="5"/>
        <v>151</v>
      </c>
      <c r="AO23" s="290">
        <f t="shared" si="19"/>
        <v>1.9867549668874172</v>
      </c>
      <c r="AQ23" s="281">
        <v>13</v>
      </c>
      <c r="AR23" s="258" t="s">
        <v>268</v>
      </c>
      <c r="AS23" s="99"/>
      <c r="AT23" s="376"/>
      <c r="AU23" s="159">
        <f t="shared" si="12"/>
        <v>715</v>
      </c>
      <c r="AV23" s="159"/>
      <c r="AW23" s="306"/>
      <c r="AX23" s="306"/>
      <c r="AY23" s="159">
        <f t="shared" si="6"/>
        <v>318</v>
      </c>
      <c r="AZ23" s="290">
        <f t="shared" si="13"/>
        <v>2.2484276729559749</v>
      </c>
      <c r="BB23" s="281">
        <v>13</v>
      </c>
      <c r="BC23" s="258" t="s">
        <v>268</v>
      </c>
      <c r="BD23" s="105"/>
      <c r="BE23" s="376"/>
      <c r="BF23" s="159">
        <f t="shared" si="14"/>
        <v>300</v>
      </c>
      <c r="BG23" s="159"/>
      <c r="BH23" s="306"/>
      <c r="BI23" s="306"/>
      <c r="BJ23" s="159">
        <f t="shared" si="7"/>
        <v>151</v>
      </c>
      <c r="BK23" s="290">
        <f t="shared" si="17"/>
        <v>1.9867549668874172</v>
      </c>
      <c r="BM23" s="281">
        <v>13</v>
      </c>
      <c r="BN23" s="258" t="s">
        <v>268</v>
      </c>
      <c r="BO23" s="105"/>
      <c r="BP23" s="376"/>
      <c r="BQ23" s="175"/>
      <c r="BR23" s="175"/>
      <c r="BS23" s="380">
        <f t="shared" si="8"/>
        <v>2.2484276729559749</v>
      </c>
      <c r="BT23" s="175"/>
      <c r="BU23" s="175"/>
      <c r="BV23" s="380">
        <f t="shared" si="9"/>
        <v>1.9867549668874172</v>
      </c>
    </row>
    <row r="24" spans="2:74" x14ac:dyDescent="0.35">
      <c r="B24" s="281">
        <v>14</v>
      </c>
      <c r="C24" s="258" t="s">
        <v>269</v>
      </c>
      <c r="D24" s="99"/>
      <c r="E24" s="159"/>
      <c r="F24" s="159"/>
      <c r="G24" s="9"/>
      <c r="H24" s="159"/>
      <c r="I24" s="159"/>
      <c r="J24" s="159"/>
      <c r="K24" s="159"/>
      <c r="L24" s="99">
        <v>208</v>
      </c>
      <c r="M24" s="159"/>
      <c r="N24" s="306"/>
      <c r="O24" s="159"/>
      <c r="P24" s="159">
        <v>45</v>
      </c>
      <c r="Q24" s="290">
        <f t="shared" si="1"/>
        <v>4.6222222222222218</v>
      </c>
      <c r="R24" s="159">
        <v>360</v>
      </c>
      <c r="S24" s="159"/>
      <c r="T24" s="306"/>
      <c r="U24" s="159"/>
      <c r="V24" s="159">
        <v>60</v>
      </c>
      <c r="W24" s="290">
        <f t="shared" si="10"/>
        <v>6</v>
      </c>
      <c r="X24" s="159">
        <v>368</v>
      </c>
      <c r="Y24" s="159"/>
      <c r="Z24" s="306"/>
      <c r="AA24" s="159"/>
      <c r="AB24" s="159">
        <v>64</v>
      </c>
      <c r="AC24" s="290">
        <f t="shared" si="11"/>
        <v>5.75</v>
      </c>
      <c r="AD24" s="159">
        <f t="shared" si="2"/>
        <v>152</v>
      </c>
      <c r="AE24" s="159"/>
      <c r="AF24" s="175"/>
      <c r="AG24" s="159"/>
      <c r="AH24" s="159">
        <f t="shared" si="3"/>
        <v>15</v>
      </c>
      <c r="AI24" s="290">
        <f t="shared" si="15"/>
        <v>10.133333333333333</v>
      </c>
      <c r="AJ24" s="159">
        <f t="shared" si="4"/>
        <v>160</v>
      </c>
      <c r="AK24" s="159"/>
      <c r="AL24" s="175"/>
      <c r="AM24" s="159"/>
      <c r="AN24" s="159">
        <f t="shared" si="5"/>
        <v>19</v>
      </c>
      <c r="AO24" s="290">
        <f t="shared" si="19"/>
        <v>8.4210526315789469</v>
      </c>
      <c r="AQ24" s="281">
        <v>14</v>
      </c>
      <c r="AR24" s="258" t="s">
        <v>269</v>
      </c>
      <c r="AS24" s="99"/>
      <c r="AT24" s="376"/>
      <c r="AU24" s="159">
        <f t="shared" si="12"/>
        <v>368</v>
      </c>
      <c r="AV24" s="159"/>
      <c r="AW24" s="306"/>
      <c r="AX24" s="306"/>
      <c r="AY24" s="159">
        <f t="shared" si="6"/>
        <v>64</v>
      </c>
      <c r="AZ24" s="290">
        <f t="shared" si="13"/>
        <v>5.75</v>
      </c>
      <c r="BB24" s="281">
        <v>14</v>
      </c>
      <c r="BC24" s="258" t="s">
        <v>269</v>
      </c>
      <c r="BD24" s="105"/>
      <c r="BE24" s="376"/>
      <c r="BF24" s="159">
        <f t="shared" si="14"/>
        <v>160</v>
      </c>
      <c r="BG24" s="159"/>
      <c r="BH24" s="306"/>
      <c r="BI24" s="306"/>
      <c r="BJ24" s="159">
        <f t="shared" si="7"/>
        <v>19</v>
      </c>
      <c r="BK24" s="290">
        <f t="shared" si="17"/>
        <v>8.4210526315789469</v>
      </c>
      <c r="BM24" s="281">
        <v>14</v>
      </c>
      <c r="BN24" s="258" t="s">
        <v>269</v>
      </c>
      <c r="BO24" s="105"/>
      <c r="BP24" s="376"/>
      <c r="BQ24" s="175"/>
      <c r="BR24" s="175"/>
      <c r="BS24" s="380">
        <f t="shared" si="8"/>
        <v>5.75</v>
      </c>
      <c r="BT24" s="175"/>
      <c r="BU24" s="175"/>
      <c r="BV24" s="380">
        <f t="shared" si="9"/>
        <v>8.4210526315789469</v>
      </c>
    </row>
    <row r="25" spans="2:74" x14ac:dyDescent="0.35">
      <c r="B25" s="281">
        <v>15</v>
      </c>
      <c r="C25" s="258" t="s">
        <v>270</v>
      </c>
      <c r="D25" s="282">
        <v>5689</v>
      </c>
      <c r="E25" s="283">
        <f>S25/0.53</f>
        <v>20011.32075471698</v>
      </c>
      <c r="F25" s="283">
        <f>F18</f>
        <v>600</v>
      </c>
      <c r="G25" s="346">
        <f>F25/365</f>
        <v>1.6438356164383561</v>
      </c>
      <c r="H25" s="283">
        <f>($E25+(DATEDIF($D$9,H$9,"M")/12)*$F25)-M25</f>
        <v>16968.32075471698</v>
      </c>
      <c r="I25" s="283">
        <f>($E25+(DATEDIF($D$9,I$9,"M")/12)*$F25)-S25</f>
        <v>10605.32075471698</v>
      </c>
      <c r="J25" s="283">
        <f>($E25+(DATEDIF($D$9,J$9,"M")/12)*$F25)-Y25</f>
        <v>9809.3207547169804</v>
      </c>
      <c r="K25" s="287"/>
      <c r="L25" s="282">
        <f>SUM(L20:L24)</f>
        <v>996</v>
      </c>
      <c r="M25" s="283">
        <v>3793</v>
      </c>
      <c r="N25" s="319">
        <f>M25/M$4</f>
        <v>7.9684873949579833</v>
      </c>
      <c r="O25" s="283">
        <f>H25/(N25*30)</f>
        <v>70.980935752221484</v>
      </c>
      <c r="P25" s="283">
        <f>SUM(P20:P24)</f>
        <v>383</v>
      </c>
      <c r="Q25" s="284">
        <f t="shared" si="1"/>
        <v>2.6005221932114884</v>
      </c>
      <c r="R25" s="283">
        <f>SUM(R20:R24)</f>
        <v>1566</v>
      </c>
      <c r="S25" s="283">
        <v>10606</v>
      </c>
      <c r="T25" s="319">
        <f>S25/S$4</f>
        <v>14.122503328894807</v>
      </c>
      <c r="U25" s="283">
        <f>I25/(T25*30)</f>
        <v>25.031730111234058</v>
      </c>
      <c r="V25" s="283">
        <f>SUM(V20:V24)</f>
        <v>601</v>
      </c>
      <c r="W25" s="284">
        <f t="shared" si="10"/>
        <v>2.605657237936772</v>
      </c>
      <c r="X25" s="283">
        <f>SUM(X20:X24)</f>
        <v>1604</v>
      </c>
      <c r="Y25" s="283">
        <v>11452</v>
      </c>
      <c r="Z25" s="319">
        <f>Y25/Y$4</f>
        <v>14.738738738738739</v>
      </c>
      <c r="AA25" s="283">
        <f>J25/(Z25*30)</f>
        <v>22.184894127416154</v>
      </c>
      <c r="AB25" s="283">
        <f>SUM(AB20:AB24)</f>
        <v>624</v>
      </c>
      <c r="AC25" s="284">
        <f t="shared" si="11"/>
        <v>2.5705128205128207</v>
      </c>
      <c r="AD25" s="283">
        <f t="shared" si="2"/>
        <v>570</v>
      </c>
      <c r="AE25" s="283">
        <f>S25-$M25</f>
        <v>6813</v>
      </c>
      <c r="AF25" s="332">
        <f>AE25/AE$4</f>
        <v>24.774545454545454</v>
      </c>
      <c r="AG25" s="283">
        <f>I25/(AF25*30)</f>
        <v>14.269109093141394</v>
      </c>
      <c r="AH25" s="283">
        <f t="shared" si="3"/>
        <v>218</v>
      </c>
      <c r="AI25" s="284">
        <f t="shared" si="15"/>
        <v>2.6146788990825689</v>
      </c>
      <c r="AJ25" s="283">
        <f t="shared" si="4"/>
        <v>608</v>
      </c>
      <c r="AK25" s="283">
        <f>Y25-$M25</f>
        <v>7659</v>
      </c>
      <c r="AL25" s="332">
        <f>AK25/AK$4</f>
        <v>25.44518272425249</v>
      </c>
      <c r="AM25" s="283">
        <f>J25/(AL25*30)</f>
        <v>12.850265688165607</v>
      </c>
      <c r="AN25" s="283">
        <f t="shared" si="5"/>
        <v>241</v>
      </c>
      <c r="AO25" s="284">
        <f t="shared" si="19"/>
        <v>2.5228215767634854</v>
      </c>
      <c r="AQ25" s="281">
        <v>15</v>
      </c>
      <c r="AR25" s="258" t="s">
        <v>270</v>
      </c>
      <c r="AS25" s="282">
        <f>J25</f>
        <v>9809.3207547169804</v>
      </c>
      <c r="AT25" s="374">
        <f>G25</f>
        <v>1.6438356164383561</v>
      </c>
      <c r="AU25" s="283">
        <f t="shared" si="12"/>
        <v>1604</v>
      </c>
      <c r="AV25" s="283">
        <f t="shared" ref="AV25" si="20">Y25</f>
        <v>11452</v>
      </c>
      <c r="AW25" s="319">
        <f>AV25/AV$4</f>
        <v>14.738738738738739</v>
      </c>
      <c r="AX25" s="283">
        <f>AS25/(AW25*30)</f>
        <v>22.184894127416154</v>
      </c>
      <c r="AY25" s="283">
        <f t="shared" si="6"/>
        <v>624</v>
      </c>
      <c r="AZ25" s="284">
        <f t="shared" si="13"/>
        <v>2.5705128205128207</v>
      </c>
      <c r="BB25" s="281">
        <v>15</v>
      </c>
      <c r="BC25" s="258" t="s">
        <v>270</v>
      </c>
      <c r="BD25" s="328">
        <f>J25</f>
        <v>9809.3207547169804</v>
      </c>
      <c r="BE25" s="374">
        <f>G25</f>
        <v>1.6438356164383561</v>
      </c>
      <c r="BF25" s="283">
        <f t="shared" si="14"/>
        <v>608</v>
      </c>
      <c r="BG25" s="283">
        <f>AK25</f>
        <v>7659</v>
      </c>
      <c r="BH25" s="319">
        <f>BG25/BG$4</f>
        <v>25.44518272425249</v>
      </c>
      <c r="BI25" s="283">
        <f>BD25/(BH25*30)</f>
        <v>12.850265688165607</v>
      </c>
      <c r="BJ25" s="283">
        <f t="shared" si="7"/>
        <v>241</v>
      </c>
      <c r="BK25" s="284">
        <f t="shared" si="17"/>
        <v>2.5228215767634854</v>
      </c>
      <c r="BM25" s="281">
        <v>15</v>
      </c>
      <c r="BN25" s="258" t="s">
        <v>270</v>
      </c>
      <c r="BO25" s="328">
        <f>J25</f>
        <v>9809.3207547169804</v>
      </c>
      <c r="BP25" s="374">
        <f>G25</f>
        <v>1.6438356164383561</v>
      </c>
      <c r="BQ25" s="332">
        <f>AW25</f>
        <v>14.738738738738739</v>
      </c>
      <c r="BR25" s="283">
        <f>$BO25/(BQ25*30)</f>
        <v>22.184894127416154</v>
      </c>
      <c r="BS25" s="335">
        <f t="shared" si="8"/>
        <v>2.5705128205128207</v>
      </c>
      <c r="BT25" s="332">
        <f>BH25</f>
        <v>25.44518272425249</v>
      </c>
      <c r="BU25" s="283">
        <f>$BO25/(BT25*30)</f>
        <v>12.850265688165607</v>
      </c>
      <c r="BV25" s="335">
        <f t="shared" si="9"/>
        <v>2.5228215767634854</v>
      </c>
    </row>
    <row r="26" spans="2:74" x14ac:dyDescent="0.35">
      <c r="B26" s="281">
        <v>16</v>
      </c>
      <c r="C26" s="258" t="s">
        <v>271</v>
      </c>
      <c r="D26" s="99"/>
      <c r="E26" s="159"/>
      <c r="F26" s="159"/>
      <c r="G26" s="9"/>
      <c r="H26" s="159"/>
      <c r="I26" s="159"/>
      <c r="J26" s="159"/>
      <c r="K26" s="159"/>
      <c r="L26" s="99">
        <v>17</v>
      </c>
      <c r="M26" s="159"/>
      <c r="N26" s="306"/>
      <c r="O26" s="159"/>
      <c r="P26" s="159">
        <v>4</v>
      </c>
      <c r="Q26" s="290">
        <f t="shared" si="1"/>
        <v>4.25</v>
      </c>
      <c r="R26" s="159">
        <v>50</v>
      </c>
      <c r="S26" s="159"/>
      <c r="T26" s="306"/>
      <c r="U26" s="159"/>
      <c r="V26" s="159">
        <v>4</v>
      </c>
      <c r="W26" s="290">
        <f t="shared" si="10"/>
        <v>12.5</v>
      </c>
      <c r="X26" s="159">
        <v>51</v>
      </c>
      <c r="Y26" s="159"/>
      <c r="Z26" s="306"/>
      <c r="AA26" s="159"/>
      <c r="AB26" s="159">
        <v>4</v>
      </c>
      <c r="AC26" s="290">
        <f t="shared" si="11"/>
        <v>12.75</v>
      </c>
      <c r="AD26" s="159">
        <f t="shared" si="2"/>
        <v>33</v>
      </c>
      <c r="AE26" s="159"/>
      <c r="AF26" s="175"/>
      <c r="AG26" s="159"/>
      <c r="AH26" s="159">
        <f t="shared" si="3"/>
        <v>0</v>
      </c>
      <c r="AI26" s="291" t="s">
        <v>34</v>
      </c>
      <c r="AJ26" s="159">
        <f t="shared" si="4"/>
        <v>34</v>
      </c>
      <c r="AK26" s="159"/>
      <c r="AL26" s="175"/>
      <c r="AM26" s="159"/>
      <c r="AN26" s="159">
        <f t="shared" si="5"/>
        <v>0</v>
      </c>
      <c r="AO26" s="291" t="s">
        <v>34</v>
      </c>
      <c r="AQ26" s="281">
        <v>16</v>
      </c>
      <c r="AR26" s="258" t="s">
        <v>271</v>
      </c>
      <c r="AS26" s="99"/>
      <c r="AT26" s="376"/>
      <c r="AU26" s="159">
        <f t="shared" si="12"/>
        <v>51</v>
      </c>
      <c r="AV26" s="159"/>
      <c r="AW26" s="306"/>
      <c r="AX26" s="306"/>
      <c r="AY26" s="159">
        <f t="shared" ref="AY26:AY41" si="21">AB26</f>
        <v>4</v>
      </c>
      <c r="AZ26" s="290">
        <f t="shared" si="13"/>
        <v>12.75</v>
      </c>
      <c r="BB26" s="281">
        <v>16</v>
      </c>
      <c r="BC26" s="258" t="s">
        <v>271</v>
      </c>
      <c r="BD26" s="105"/>
      <c r="BE26" s="376"/>
      <c r="BF26" s="159">
        <f t="shared" si="14"/>
        <v>34</v>
      </c>
      <c r="BG26" s="159"/>
      <c r="BH26" s="306"/>
      <c r="BI26" s="306"/>
      <c r="BJ26" s="159">
        <f t="shared" si="7"/>
        <v>0</v>
      </c>
      <c r="BK26" s="291" t="s">
        <v>34</v>
      </c>
      <c r="BM26" s="281">
        <v>16</v>
      </c>
      <c r="BN26" s="258" t="s">
        <v>271</v>
      </c>
      <c r="BO26" s="105"/>
      <c r="BP26" s="376"/>
      <c r="BQ26" s="227"/>
      <c r="BR26" s="227"/>
      <c r="BS26" s="381">
        <f t="shared" si="8"/>
        <v>12.75</v>
      </c>
      <c r="BT26" s="175"/>
      <c r="BU26" s="175"/>
      <c r="BV26" s="381" t="str">
        <f t="shared" si="9"/>
        <v>-</v>
      </c>
    </row>
    <row r="27" spans="2:74" x14ac:dyDescent="0.35">
      <c r="B27" s="281">
        <v>17</v>
      </c>
      <c r="C27" s="258" t="s">
        <v>272</v>
      </c>
      <c r="D27" s="99"/>
      <c r="E27" s="159"/>
      <c r="F27" s="159"/>
      <c r="G27" s="9"/>
      <c r="H27" s="159"/>
      <c r="I27" s="159"/>
      <c r="J27" s="159"/>
      <c r="K27" s="159"/>
      <c r="L27" s="99">
        <v>24</v>
      </c>
      <c r="M27" s="159"/>
      <c r="N27" s="306"/>
      <c r="O27" s="159"/>
      <c r="P27" s="159">
        <v>6</v>
      </c>
      <c r="Q27" s="290">
        <f t="shared" si="1"/>
        <v>4</v>
      </c>
      <c r="R27" s="159">
        <v>25</v>
      </c>
      <c r="S27" s="159"/>
      <c r="T27" s="306"/>
      <c r="U27" s="159"/>
      <c r="V27" s="159">
        <v>11</v>
      </c>
      <c r="W27" s="290">
        <f t="shared" si="10"/>
        <v>2.2727272727272729</v>
      </c>
      <c r="X27" s="159">
        <v>25</v>
      </c>
      <c r="Y27" s="159"/>
      <c r="Z27" s="306"/>
      <c r="AA27" s="159"/>
      <c r="AB27" s="159">
        <v>14</v>
      </c>
      <c r="AC27" s="290">
        <f t="shared" si="11"/>
        <v>1.7857142857142858</v>
      </c>
      <c r="AD27" s="159">
        <f t="shared" si="2"/>
        <v>1</v>
      </c>
      <c r="AE27" s="159"/>
      <c r="AF27" s="175"/>
      <c r="AG27" s="159"/>
      <c r="AH27" s="159">
        <f t="shared" si="3"/>
        <v>5</v>
      </c>
      <c r="AI27" s="290">
        <f t="shared" si="15"/>
        <v>0.2</v>
      </c>
      <c r="AJ27" s="159">
        <f t="shared" si="4"/>
        <v>1</v>
      </c>
      <c r="AK27" s="159"/>
      <c r="AL27" s="175"/>
      <c r="AM27" s="159"/>
      <c r="AN27" s="159">
        <f t="shared" si="5"/>
        <v>8</v>
      </c>
      <c r="AO27" s="290">
        <f t="shared" ref="AO27:AO37" si="22">AJ27/AN27</f>
        <v>0.125</v>
      </c>
      <c r="AQ27" s="281">
        <v>17</v>
      </c>
      <c r="AR27" s="258" t="s">
        <v>272</v>
      </c>
      <c r="AS27" s="99"/>
      <c r="AT27" s="376"/>
      <c r="AU27" s="159">
        <f t="shared" si="12"/>
        <v>25</v>
      </c>
      <c r="AV27" s="159"/>
      <c r="AW27" s="306"/>
      <c r="AX27" s="306"/>
      <c r="AY27" s="159">
        <f t="shared" si="21"/>
        <v>14</v>
      </c>
      <c r="AZ27" s="290">
        <f t="shared" si="13"/>
        <v>1.7857142857142858</v>
      </c>
      <c r="BB27" s="281">
        <v>17</v>
      </c>
      <c r="BC27" s="258" t="s">
        <v>272</v>
      </c>
      <c r="BD27" s="105"/>
      <c r="BE27" s="376"/>
      <c r="BF27" s="159">
        <f t="shared" si="14"/>
        <v>1</v>
      </c>
      <c r="BG27" s="159"/>
      <c r="BH27" s="306"/>
      <c r="BI27" s="306"/>
      <c r="BJ27" s="159">
        <f t="shared" si="7"/>
        <v>8</v>
      </c>
      <c r="BK27" s="290">
        <f t="shared" si="17"/>
        <v>0.125</v>
      </c>
      <c r="BM27" s="281">
        <v>17</v>
      </c>
      <c r="BN27" s="258" t="s">
        <v>272</v>
      </c>
      <c r="BO27" s="105"/>
      <c r="BP27" s="376"/>
      <c r="BQ27" s="227"/>
      <c r="BR27" s="227"/>
      <c r="BS27" s="380">
        <f t="shared" si="8"/>
        <v>1.7857142857142858</v>
      </c>
      <c r="BT27" s="175"/>
      <c r="BU27" s="175"/>
      <c r="BV27" s="380">
        <f t="shared" si="9"/>
        <v>0.125</v>
      </c>
    </row>
    <row r="28" spans="2:74" x14ac:dyDescent="0.35">
      <c r="B28" s="281">
        <v>18</v>
      </c>
      <c r="C28" s="258" t="s">
        <v>273</v>
      </c>
      <c r="D28" s="99"/>
      <c r="E28" s="159"/>
      <c r="F28" s="159"/>
      <c r="G28" s="9"/>
      <c r="H28" s="159"/>
      <c r="I28" s="159"/>
      <c r="J28" s="159"/>
      <c r="K28" s="159"/>
      <c r="L28" s="99">
        <v>117</v>
      </c>
      <c r="M28" s="159"/>
      <c r="N28" s="306"/>
      <c r="O28" s="159"/>
      <c r="P28" s="159">
        <v>113</v>
      </c>
      <c r="Q28" s="290">
        <f t="shared" si="1"/>
        <v>1.0353982300884956</v>
      </c>
      <c r="R28" s="159">
        <v>214</v>
      </c>
      <c r="S28" s="159"/>
      <c r="T28" s="306"/>
      <c r="U28" s="159"/>
      <c r="V28" s="159">
        <v>140</v>
      </c>
      <c r="W28" s="290">
        <f t="shared" si="10"/>
        <v>1.5285714285714285</v>
      </c>
      <c r="X28" s="159">
        <v>218</v>
      </c>
      <c r="Y28" s="159"/>
      <c r="Z28" s="306"/>
      <c r="AA28" s="159"/>
      <c r="AB28" s="159">
        <v>144</v>
      </c>
      <c r="AC28" s="290">
        <f t="shared" si="11"/>
        <v>1.5138888888888888</v>
      </c>
      <c r="AD28" s="159">
        <f t="shared" si="2"/>
        <v>97</v>
      </c>
      <c r="AE28" s="159"/>
      <c r="AF28" s="175"/>
      <c r="AG28" s="159"/>
      <c r="AH28" s="159">
        <f t="shared" si="3"/>
        <v>27</v>
      </c>
      <c r="AI28" s="290">
        <f t="shared" si="15"/>
        <v>3.5925925925925926</v>
      </c>
      <c r="AJ28" s="159">
        <f t="shared" si="4"/>
        <v>101</v>
      </c>
      <c r="AK28" s="159"/>
      <c r="AL28" s="175"/>
      <c r="AM28" s="159"/>
      <c r="AN28" s="159">
        <f t="shared" si="5"/>
        <v>31</v>
      </c>
      <c r="AO28" s="290">
        <f t="shared" si="22"/>
        <v>3.2580645161290325</v>
      </c>
      <c r="AQ28" s="281">
        <v>18</v>
      </c>
      <c r="AR28" s="258" t="s">
        <v>273</v>
      </c>
      <c r="AS28" s="99"/>
      <c r="AT28" s="376"/>
      <c r="AU28" s="159">
        <f t="shared" si="12"/>
        <v>218</v>
      </c>
      <c r="AV28" s="159"/>
      <c r="AW28" s="306"/>
      <c r="AX28" s="306"/>
      <c r="AY28" s="159">
        <f t="shared" si="21"/>
        <v>144</v>
      </c>
      <c r="AZ28" s="290">
        <f t="shared" si="13"/>
        <v>1.5138888888888888</v>
      </c>
      <c r="BB28" s="281">
        <v>18</v>
      </c>
      <c r="BC28" s="258" t="s">
        <v>273</v>
      </c>
      <c r="BD28" s="105"/>
      <c r="BE28" s="376"/>
      <c r="BF28" s="159">
        <f t="shared" si="14"/>
        <v>101</v>
      </c>
      <c r="BG28" s="159"/>
      <c r="BH28" s="306"/>
      <c r="BI28" s="306"/>
      <c r="BJ28" s="159">
        <f t="shared" si="7"/>
        <v>31</v>
      </c>
      <c r="BK28" s="290">
        <f t="shared" si="17"/>
        <v>3.2580645161290325</v>
      </c>
      <c r="BM28" s="281">
        <v>18</v>
      </c>
      <c r="BN28" s="258" t="s">
        <v>273</v>
      </c>
      <c r="BO28" s="105"/>
      <c r="BP28" s="376"/>
      <c r="BQ28" s="227"/>
      <c r="BR28" s="227"/>
      <c r="BS28" s="380">
        <f t="shared" si="8"/>
        <v>1.5138888888888888</v>
      </c>
      <c r="BT28" s="175"/>
      <c r="BU28" s="175"/>
      <c r="BV28" s="380">
        <f t="shared" si="9"/>
        <v>3.2580645161290325</v>
      </c>
    </row>
    <row r="29" spans="2:74" x14ac:dyDescent="0.35">
      <c r="B29" s="281">
        <v>19</v>
      </c>
      <c r="C29" s="258" t="s">
        <v>274</v>
      </c>
      <c r="D29" s="99"/>
      <c r="E29" s="159"/>
      <c r="F29" s="159"/>
      <c r="G29" s="9"/>
      <c r="H29" s="159"/>
      <c r="I29" s="159"/>
      <c r="J29" s="159"/>
      <c r="K29" s="159"/>
      <c r="L29" s="99">
        <v>32</v>
      </c>
      <c r="M29" s="159"/>
      <c r="N29" s="306"/>
      <c r="O29" s="159"/>
      <c r="P29" s="159">
        <v>63</v>
      </c>
      <c r="Q29" s="290">
        <f t="shared" si="1"/>
        <v>0.50793650793650791</v>
      </c>
      <c r="R29" s="159">
        <v>62</v>
      </c>
      <c r="S29" s="159"/>
      <c r="T29" s="306"/>
      <c r="U29" s="159"/>
      <c r="V29" s="159">
        <v>98</v>
      </c>
      <c r="W29" s="290">
        <f t="shared" si="10"/>
        <v>0.63265306122448983</v>
      </c>
      <c r="X29" s="159">
        <v>63</v>
      </c>
      <c r="Y29" s="159"/>
      <c r="Z29" s="306"/>
      <c r="AA29" s="159"/>
      <c r="AB29" s="159">
        <v>104</v>
      </c>
      <c r="AC29" s="290">
        <f t="shared" si="11"/>
        <v>0.60576923076923073</v>
      </c>
      <c r="AD29" s="159">
        <f t="shared" si="2"/>
        <v>30</v>
      </c>
      <c r="AE29" s="159"/>
      <c r="AF29" s="175"/>
      <c r="AG29" s="159"/>
      <c r="AH29" s="159">
        <f t="shared" si="3"/>
        <v>35</v>
      </c>
      <c r="AI29" s="290">
        <f t="shared" si="15"/>
        <v>0.8571428571428571</v>
      </c>
      <c r="AJ29" s="159">
        <f t="shared" si="4"/>
        <v>31</v>
      </c>
      <c r="AK29" s="159"/>
      <c r="AL29" s="175"/>
      <c r="AM29" s="159"/>
      <c r="AN29" s="159">
        <f t="shared" si="5"/>
        <v>41</v>
      </c>
      <c r="AO29" s="290">
        <f t="shared" si="22"/>
        <v>0.75609756097560976</v>
      </c>
      <c r="AQ29" s="281">
        <v>19</v>
      </c>
      <c r="AR29" s="258" t="s">
        <v>274</v>
      </c>
      <c r="AS29" s="99"/>
      <c r="AT29" s="376"/>
      <c r="AU29" s="159">
        <f t="shared" si="12"/>
        <v>63</v>
      </c>
      <c r="AV29" s="159"/>
      <c r="AW29" s="306"/>
      <c r="AX29" s="306"/>
      <c r="AY29" s="159">
        <f t="shared" si="21"/>
        <v>104</v>
      </c>
      <c r="AZ29" s="290">
        <f t="shared" si="13"/>
        <v>0.60576923076923073</v>
      </c>
      <c r="BB29" s="281">
        <v>19</v>
      </c>
      <c r="BC29" s="258" t="s">
        <v>274</v>
      </c>
      <c r="BD29" s="105"/>
      <c r="BE29" s="376"/>
      <c r="BF29" s="159">
        <f t="shared" si="14"/>
        <v>31</v>
      </c>
      <c r="BG29" s="159"/>
      <c r="BH29" s="306"/>
      <c r="BI29" s="306"/>
      <c r="BJ29" s="159">
        <f t="shared" si="7"/>
        <v>41</v>
      </c>
      <c r="BK29" s="290">
        <f t="shared" si="17"/>
        <v>0.75609756097560976</v>
      </c>
      <c r="BM29" s="281">
        <v>19</v>
      </c>
      <c r="BN29" s="258" t="s">
        <v>274</v>
      </c>
      <c r="BO29" s="105"/>
      <c r="BP29" s="376"/>
      <c r="BQ29" s="227"/>
      <c r="BR29" s="227"/>
      <c r="BS29" s="380">
        <f t="shared" si="8"/>
        <v>0.60576923076923073</v>
      </c>
      <c r="BT29" s="175"/>
      <c r="BU29" s="175"/>
      <c r="BV29" s="380">
        <f t="shared" si="9"/>
        <v>0.75609756097560976</v>
      </c>
    </row>
    <row r="30" spans="2:74" x14ac:dyDescent="0.35">
      <c r="B30" s="281">
        <v>20</v>
      </c>
      <c r="C30" s="258" t="s">
        <v>275</v>
      </c>
      <c r="D30" s="99"/>
      <c r="E30" s="159"/>
      <c r="F30" s="159"/>
      <c r="G30" s="9"/>
      <c r="H30" s="159"/>
      <c r="I30" s="159"/>
      <c r="J30" s="159"/>
      <c r="K30" s="159"/>
      <c r="L30" s="99">
        <v>41</v>
      </c>
      <c r="M30" s="159"/>
      <c r="N30" s="306"/>
      <c r="O30" s="159"/>
      <c r="P30" s="159">
        <v>3</v>
      </c>
      <c r="Q30" s="290">
        <f t="shared" si="1"/>
        <v>13.666666666666666</v>
      </c>
      <c r="R30" s="159">
        <v>76</v>
      </c>
      <c r="S30" s="159"/>
      <c r="T30" s="306"/>
      <c r="U30" s="159"/>
      <c r="V30" s="159">
        <v>6</v>
      </c>
      <c r="W30" s="290">
        <f t="shared" si="10"/>
        <v>12.666666666666666</v>
      </c>
      <c r="X30" s="159">
        <v>79</v>
      </c>
      <c r="Y30" s="159"/>
      <c r="Z30" s="306"/>
      <c r="AA30" s="159"/>
      <c r="AB30" s="159">
        <v>7</v>
      </c>
      <c r="AC30" s="290">
        <f t="shared" si="11"/>
        <v>11.285714285714286</v>
      </c>
      <c r="AD30" s="159">
        <f t="shared" si="2"/>
        <v>35</v>
      </c>
      <c r="AE30" s="159"/>
      <c r="AF30" s="175"/>
      <c r="AG30" s="159"/>
      <c r="AH30" s="159">
        <f t="shared" si="3"/>
        <v>3</v>
      </c>
      <c r="AI30" s="290">
        <f t="shared" si="15"/>
        <v>11.666666666666666</v>
      </c>
      <c r="AJ30" s="159">
        <f t="shared" si="4"/>
        <v>38</v>
      </c>
      <c r="AK30" s="159"/>
      <c r="AL30" s="175"/>
      <c r="AM30" s="159"/>
      <c r="AN30" s="159">
        <f t="shared" si="5"/>
        <v>4</v>
      </c>
      <c r="AO30" s="290">
        <f t="shared" si="22"/>
        <v>9.5</v>
      </c>
      <c r="AQ30" s="281">
        <v>20</v>
      </c>
      <c r="AR30" s="258" t="s">
        <v>275</v>
      </c>
      <c r="AS30" s="99"/>
      <c r="AT30" s="376"/>
      <c r="AU30" s="159">
        <f t="shared" si="12"/>
        <v>79</v>
      </c>
      <c r="AV30" s="159"/>
      <c r="AW30" s="306"/>
      <c r="AX30" s="306"/>
      <c r="AY30" s="159">
        <f t="shared" si="21"/>
        <v>7</v>
      </c>
      <c r="AZ30" s="290">
        <f t="shared" si="13"/>
        <v>11.285714285714286</v>
      </c>
      <c r="BB30" s="281">
        <v>20</v>
      </c>
      <c r="BC30" s="258" t="s">
        <v>275</v>
      </c>
      <c r="BD30" s="105"/>
      <c r="BE30" s="376"/>
      <c r="BF30" s="159">
        <f t="shared" si="14"/>
        <v>38</v>
      </c>
      <c r="BG30" s="159"/>
      <c r="BH30" s="306"/>
      <c r="BI30" s="306"/>
      <c r="BJ30" s="159">
        <f t="shared" si="7"/>
        <v>4</v>
      </c>
      <c r="BK30" s="290">
        <f t="shared" si="17"/>
        <v>9.5</v>
      </c>
      <c r="BM30" s="281">
        <v>20</v>
      </c>
      <c r="BN30" s="258" t="s">
        <v>275</v>
      </c>
      <c r="BO30" s="105"/>
      <c r="BP30" s="376"/>
      <c r="BQ30" s="227"/>
      <c r="BR30" s="227"/>
      <c r="BS30" s="380">
        <f t="shared" si="8"/>
        <v>11.285714285714286</v>
      </c>
      <c r="BT30" s="175"/>
      <c r="BU30" s="175"/>
      <c r="BV30" s="380">
        <f t="shared" si="9"/>
        <v>9.5</v>
      </c>
    </row>
    <row r="31" spans="2:74" x14ac:dyDescent="0.35">
      <c r="B31" s="281">
        <v>21</v>
      </c>
      <c r="C31" s="258" t="s">
        <v>276</v>
      </c>
      <c r="D31" s="282"/>
      <c r="E31" s="283">
        <f>S31/0.26</f>
        <v>2765.3846153846152</v>
      </c>
      <c r="F31" s="283">
        <f>E31*0.1</f>
        <v>276.53846153846155</v>
      </c>
      <c r="G31" s="346">
        <f>F31/365</f>
        <v>0.75763962065331936</v>
      </c>
      <c r="H31" s="283">
        <f>($E31+(DATEDIF($D$9,H$9,"M")/12)*$F31)-M31</f>
        <v>2747.0576923076924</v>
      </c>
      <c r="I31" s="283">
        <f>($E31+(DATEDIF($D$9,I$9,"M")/12)*$F31)-S31</f>
        <v>2599.4615384615381</v>
      </c>
      <c r="J31" s="283">
        <f>($E31+(DATEDIF($D$9,J$9,"M")/12)*$F31)-Y31</f>
        <v>2587.5064102564102</v>
      </c>
      <c r="K31" s="283"/>
      <c r="L31" s="282">
        <f>SUM(L26:L30)</f>
        <v>231</v>
      </c>
      <c r="M31" s="283">
        <v>364</v>
      </c>
      <c r="N31" s="319">
        <f>M31/M$4</f>
        <v>0.76470588235294112</v>
      </c>
      <c r="O31" s="283">
        <f>H31/(N31*30)</f>
        <v>119.74354043392508</v>
      </c>
      <c r="P31" s="283">
        <f>SUM(P26:P30)</f>
        <v>189</v>
      </c>
      <c r="Q31" s="284">
        <f t="shared" si="1"/>
        <v>1.2222222222222223</v>
      </c>
      <c r="R31" s="283">
        <f>SUM(R26:R30)</f>
        <v>427</v>
      </c>
      <c r="S31" s="283">
        <v>719</v>
      </c>
      <c r="T31" s="319">
        <f>S31/S$4</f>
        <v>0.95739014647137155</v>
      </c>
      <c r="U31" s="283">
        <f>I31/(T31*30)</f>
        <v>90.505128205128187</v>
      </c>
      <c r="V31" s="283">
        <f>SUM(V26:V30)</f>
        <v>259</v>
      </c>
      <c r="W31" s="284">
        <f t="shared" si="10"/>
        <v>1.6486486486486487</v>
      </c>
      <c r="X31" s="283">
        <f>SUM(X26:X30)</f>
        <v>436</v>
      </c>
      <c r="Y31" s="283">
        <v>754</v>
      </c>
      <c r="Z31" s="319">
        <f>Y31/Y$4</f>
        <v>0.97039897039897038</v>
      </c>
      <c r="AA31" s="283">
        <f>J31/(Z31*30)</f>
        <v>88.881188362919133</v>
      </c>
      <c r="AB31" s="283">
        <f>SUM(AB26:AB30)</f>
        <v>273</v>
      </c>
      <c r="AC31" s="284">
        <f t="shared" si="11"/>
        <v>1.5970695970695972</v>
      </c>
      <c r="AD31" s="283">
        <f t="shared" si="2"/>
        <v>196</v>
      </c>
      <c r="AE31" s="283">
        <f>S31-$M31</f>
        <v>355</v>
      </c>
      <c r="AF31" s="332">
        <f>AE31/AE$4</f>
        <v>1.290909090909091</v>
      </c>
      <c r="AG31" s="283">
        <f>I31/(AF31*30)</f>
        <v>67.122246298302613</v>
      </c>
      <c r="AH31" s="283">
        <f t="shared" si="3"/>
        <v>70</v>
      </c>
      <c r="AI31" s="284">
        <f t="shared" si="15"/>
        <v>2.8</v>
      </c>
      <c r="AJ31" s="283">
        <f t="shared" si="4"/>
        <v>205</v>
      </c>
      <c r="AK31" s="283">
        <f>Y31-$M31</f>
        <v>390</v>
      </c>
      <c r="AL31" s="332">
        <f>AK31/AK$4</f>
        <v>1.2956810631229236</v>
      </c>
      <c r="AM31" s="283">
        <f>J31/(AL31*30)</f>
        <v>66.567472605741827</v>
      </c>
      <c r="AN31" s="283">
        <f t="shared" si="5"/>
        <v>84</v>
      </c>
      <c r="AO31" s="284">
        <f t="shared" si="22"/>
        <v>2.4404761904761907</v>
      </c>
      <c r="AQ31" s="281">
        <v>21</v>
      </c>
      <c r="AR31" s="258" t="s">
        <v>276</v>
      </c>
      <c r="AS31" s="282">
        <f>J31</f>
        <v>2587.5064102564102</v>
      </c>
      <c r="AT31" s="374">
        <f>G31</f>
        <v>0.75763962065331936</v>
      </c>
      <c r="AU31" s="283">
        <f t="shared" si="12"/>
        <v>436</v>
      </c>
      <c r="AV31" s="283">
        <f t="shared" ref="AV31:AV33" si="23">Y31</f>
        <v>754</v>
      </c>
      <c r="AW31" s="319">
        <f>AV31/AV$4</f>
        <v>0.97039897039897038</v>
      </c>
      <c r="AX31" s="283">
        <f>AS31/(AW31*30)</f>
        <v>88.881188362919133</v>
      </c>
      <c r="AY31" s="283">
        <f t="shared" si="21"/>
        <v>273</v>
      </c>
      <c r="AZ31" s="284">
        <f t="shared" si="13"/>
        <v>1.5970695970695972</v>
      </c>
      <c r="BB31" s="281">
        <v>21</v>
      </c>
      <c r="BC31" s="258" t="s">
        <v>276</v>
      </c>
      <c r="BD31" s="328">
        <f>J31</f>
        <v>2587.5064102564102</v>
      </c>
      <c r="BE31" s="374">
        <f>G31</f>
        <v>0.75763962065331936</v>
      </c>
      <c r="BF31" s="283">
        <f t="shared" si="14"/>
        <v>205</v>
      </c>
      <c r="BG31" s="283">
        <f>AK31</f>
        <v>390</v>
      </c>
      <c r="BH31" s="319">
        <f>BG31/BG$4</f>
        <v>1.2956810631229236</v>
      </c>
      <c r="BI31" s="283">
        <f>BD31/(BH31*30)</f>
        <v>66.567472605741827</v>
      </c>
      <c r="BJ31" s="283">
        <f t="shared" si="7"/>
        <v>84</v>
      </c>
      <c r="BK31" s="284">
        <f t="shared" si="17"/>
        <v>2.4404761904761907</v>
      </c>
      <c r="BM31" s="281">
        <v>21</v>
      </c>
      <c r="BN31" s="258" t="s">
        <v>276</v>
      </c>
      <c r="BO31" s="328">
        <f>J31</f>
        <v>2587.5064102564102</v>
      </c>
      <c r="BP31" s="374">
        <f>G31</f>
        <v>0.75763962065331936</v>
      </c>
      <c r="BQ31" s="332">
        <f>AW31</f>
        <v>0.97039897039897038</v>
      </c>
      <c r="BR31" s="283">
        <f>$BO31/(BQ31*30)</f>
        <v>88.881188362919133</v>
      </c>
      <c r="BS31" s="335">
        <f t="shared" si="8"/>
        <v>1.5970695970695972</v>
      </c>
      <c r="BT31" s="332">
        <f>BH31</f>
        <v>1.2956810631229236</v>
      </c>
      <c r="BU31" s="283">
        <f>$BO31/(BT31*30)</f>
        <v>66.567472605741827</v>
      </c>
      <c r="BV31" s="335">
        <f t="shared" si="9"/>
        <v>2.4404761904761907</v>
      </c>
    </row>
    <row r="32" spans="2:74" x14ac:dyDescent="0.35">
      <c r="B32" s="281">
        <v>22</v>
      </c>
      <c r="C32" s="258" t="s">
        <v>277</v>
      </c>
      <c r="D32" s="282">
        <v>1379</v>
      </c>
      <c r="E32" s="283">
        <f>S32/0.24</f>
        <v>1445.8333333333335</v>
      </c>
      <c r="F32" s="283">
        <f>2*27</f>
        <v>54</v>
      </c>
      <c r="G32" s="346">
        <f>F32/365</f>
        <v>0.14794520547945206</v>
      </c>
      <c r="H32" s="283">
        <f>($E32+(DATEDIF($D$9,H$9,"M")/12)*$F32)-M32</f>
        <v>1199.3333333333335</v>
      </c>
      <c r="I32" s="283">
        <f>($E32+(DATEDIF($D$9,I$9,"M")/12)*$F32)-S32</f>
        <v>1206.8333333333335</v>
      </c>
      <c r="J32" s="283">
        <f>($E32+(DATEDIF($D$9,J$9,"M")/12)*$F32)-Y32</f>
        <v>1211.3333333333335</v>
      </c>
      <c r="K32" s="283">
        <v>145</v>
      </c>
      <c r="L32" s="282">
        <v>82</v>
      </c>
      <c r="M32" s="283">
        <v>314</v>
      </c>
      <c r="N32" s="319">
        <f t="shared" ref="N32:N33" si="24">M32/M$4</f>
        <v>0.65966386554621848</v>
      </c>
      <c r="O32" s="283">
        <f>H32/(N32*30)</f>
        <v>60.60325548478415</v>
      </c>
      <c r="P32" s="283">
        <v>68</v>
      </c>
      <c r="Q32" s="284">
        <f t="shared" si="1"/>
        <v>1.2058823529411764</v>
      </c>
      <c r="R32" s="283">
        <v>105</v>
      </c>
      <c r="S32" s="283">
        <v>347</v>
      </c>
      <c r="T32" s="319">
        <f t="shared" ref="T32:T33" si="25">S32/S$4</f>
        <v>0.46205059920106523</v>
      </c>
      <c r="U32" s="283">
        <f>I32/(T32*30)</f>
        <v>87.063576689081032</v>
      </c>
      <c r="V32" s="283">
        <v>81</v>
      </c>
      <c r="W32" s="284">
        <f t="shared" si="10"/>
        <v>1.2962962962962963</v>
      </c>
      <c r="X32" s="283">
        <v>108</v>
      </c>
      <c r="Y32" s="283">
        <v>347</v>
      </c>
      <c r="Z32" s="319">
        <f t="shared" ref="Z32:Z33" si="26">Y32/Y$4</f>
        <v>0.4465894465894466</v>
      </c>
      <c r="AA32" s="283">
        <f>J32/(Z32*30)</f>
        <v>90.413640730067257</v>
      </c>
      <c r="AB32" s="283">
        <v>84</v>
      </c>
      <c r="AC32" s="284">
        <f t="shared" si="11"/>
        <v>1.2857142857142858</v>
      </c>
      <c r="AD32" s="283">
        <f t="shared" si="2"/>
        <v>23</v>
      </c>
      <c r="AE32" s="283">
        <f>S32-$M32</f>
        <v>33</v>
      </c>
      <c r="AF32" s="332">
        <f>AE32/AE$4</f>
        <v>0.12</v>
      </c>
      <c r="AG32" s="283">
        <f>I32/(AF32*30)</f>
        <v>335.23148148148158</v>
      </c>
      <c r="AH32" s="283">
        <f t="shared" si="3"/>
        <v>13</v>
      </c>
      <c r="AI32" s="284">
        <f t="shared" si="15"/>
        <v>1.7692307692307692</v>
      </c>
      <c r="AJ32" s="283">
        <f t="shared" si="4"/>
        <v>26</v>
      </c>
      <c r="AK32" s="283">
        <f>Y32-$M32</f>
        <v>33</v>
      </c>
      <c r="AL32" s="332">
        <f>AK32/AK$4</f>
        <v>0.10963455149501661</v>
      </c>
      <c r="AM32" s="283">
        <f>J32/(AL32*30)</f>
        <v>368.29427609427614</v>
      </c>
      <c r="AN32" s="283">
        <f t="shared" si="5"/>
        <v>16</v>
      </c>
      <c r="AO32" s="284">
        <f t="shared" si="22"/>
        <v>1.625</v>
      </c>
      <c r="AQ32" s="281">
        <v>22</v>
      </c>
      <c r="AR32" s="258" t="s">
        <v>277</v>
      </c>
      <c r="AS32" s="282">
        <f>J32</f>
        <v>1211.3333333333335</v>
      </c>
      <c r="AT32" s="374">
        <f t="shared" ref="AT32:AT33" si="27">G32</f>
        <v>0.14794520547945206</v>
      </c>
      <c r="AU32" s="283">
        <f t="shared" si="12"/>
        <v>108</v>
      </c>
      <c r="AV32" s="283">
        <f t="shared" si="23"/>
        <v>347</v>
      </c>
      <c r="AW32" s="319">
        <f t="shared" ref="AW32:AW33" si="28">AV32/AV$4</f>
        <v>0.4465894465894466</v>
      </c>
      <c r="AX32" s="283">
        <f>AS32/(AW32*30)</f>
        <v>90.413640730067257</v>
      </c>
      <c r="AY32" s="283">
        <f t="shared" si="21"/>
        <v>84</v>
      </c>
      <c r="AZ32" s="284">
        <f t="shared" si="13"/>
        <v>1.2857142857142858</v>
      </c>
      <c r="BB32" s="281">
        <v>22</v>
      </c>
      <c r="BC32" s="258" t="s">
        <v>277</v>
      </c>
      <c r="BD32" s="328">
        <f>J32</f>
        <v>1211.3333333333335</v>
      </c>
      <c r="BE32" s="374">
        <f>G32</f>
        <v>0.14794520547945206</v>
      </c>
      <c r="BF32" s="283">
        <f t="shared" si="14"/>
        <v>26</v>
      </c>
      <c r="BG32" s="283">
        <f>AK32</f>
        <v>33</v>
      </c>
      <c r="BH32" s="319">
        <f t="shared" ref="BH32:BH33" si="29">BG32/BG$4</f>
        <v>0.10963455149501661</v>
      </c>
      <c r="BI32" s="283">
        <f>BD32/(BH32*30)</f>
        <v>368.29427609427614</v>
      </c>
      <c r="BJ32" s="283">
        <f t="shared" si="7"/>
        <v>16</v>
      </c>
      <c r="BK32" s="284">
        <f t="shared" si="17"/>
        <v>1.625</v>
      </c>
      <c r="BM32" s="281">
        <v>22</v>
      </c>
      <c r="BN32" s="258" t="s">
        <v>277</v>
      </c>
      <c r="BO32" s="328">
        <f>J32</f>
        <v>1211.3333333333335</v>
      </c>
      <c r="BP32" s="374">
        <f>G32</f>
        <v>0.14794520547945206</v>
      </c>
      <c r="BQ32" s="332">
        <f>AW32</f>
        <v>0.4465894465894466</v>
      </c>
      <c r="BR32" s="283">
        <f>$BO32/(BQ32*30)</f>
        <v>90.413640730067257</v>
      </c>
      <c r="BS32" s="335">
        <f t="shared" si="8"/>
        <v>1.2857142857142858</v>
      </c>
      <c r="BT32" s="332">
        <f>BH32</f>
        <v>0.10963455149501661</v>
      </c>
      <c r="BU32" s="283">
        <f>$BO32/(BT32*30)</f>
        <v>368.29427609427614</v>
      </c>
      <c r="BV32" s="335">
        <f t="shared" si="9"/>
        <v>1.625</v>
      </c>
    </row>
    <row r="33" spans="2:74" x14ac:dyDescent="0.35">
      <c r="B33" s="281">
        <v>23</v>
      </c>
      <c r="C33" s="258" t="s">
        <v>278</v>
      </c>
      <c r="D33" s="282">
        <v>961</v>
      </c>
      <c r="E33" s="283">
        <f>S33/0.34</f>
        <v>955.88235294117635</v>
      </c>
      <c r="F33" s="283">
        <f>D33*0.1</f>
        <v>96.100000000000009</v>
      </c>
      <c r="G33" s="346">
        <f>F33/365</f>
        <v>0.26328767123287672</v>
      </c>
      <c r="H33" s="283">
        <f>($E33+(DATEDIF($D$9,H$9,"M")/12)*$F33)-M33</f>
        <v>775.00735294117635</v>
      </c>
      <c r="I33" s="283">
        <f>($E33+(DATEDIF($D$9,I$9,"M")/12)*$F33)-S33</f>
        <v>823.0823529411764</v>
      </c>
      <c r="J33" s="283">
        <f>($E33+(DATEDIF($D$9,J$9,"M")/12)*$F33)-Y33</f>
        <v>831.09068627450961</v>
      </c>
      <c r="K33" s="283"/>
      <c r="L33" s="282">
        <v>90</v>
      </c>
      <c r="M33" s="283">
        <v>301</v>
      </c>
      <c r="N33" s="319">
        <f t="shared" si="24"/>
        <v>0.63235294117647056</v>
      </c>
      <c r="O33" s="283">
        <f>H33/(N33*30)</f>
        <v>40.853100775193795</v>
      </c>
      <c r="P33" s="283">
        <v>31</v>
      </c>
      <c r="Q33" s="284">
        <f t="shared" si="1"/>
        <v>2.903225806451613</v>
      </c>
      <c r="R33" s="283">
        <v>135</v>
      </c>
      <c r="S33" s="283">
        <v>325</v>
      </c>
      <c r="T33" s="319">
        <f t="shared" si="25"/>
        <v>0.43275632490013316</v>
      </c>
      <c r="U33" s="283">
        <f>I33/(T33*30)</f>
        <v>63.398445852187017</v>
      </c>
      <c r="V33" s="283">
        <v>40</v>
      </c>
      <c r="W33" s="284">
        <f t="shared" si="10"/>
        <v>3.375</v>
      </c>
      <c r="X33" s="283">
        <v>136</v>
      </c>
      <c r="Y33" s="283">
        <v>325</v>
      </c>
      <c r="Z33" s="319">
        <f t="shared" si="26"/>
        <v>0.41827541827541825</v>
      </c>
      <c r="AA33" s="283">
        <f>J33/(Z33*30)</f>
        <v>66.231534690799378</v>
      </c>
      <c r="AB33" s="283">
        <v>43</v>
      </c>
      <c r="AC33" s="284">
        <f t="shared" si="11"/>
        <v>3.1627906976744184</v>
      </c>
      <c r="AD33" s="283">
        <f t="shared" si="2"/>
        <v>45</v>
      </c>
      <c r="AE33" s="283">
        <f>S33-$M33</f>
        <v>24</v>
      </c>
      <c r="AF33" s="332">
        <f>AE33/AE$4</f>
        <v>8.727272727272728E-2</v>
      </c>
      <c r="AG33" s="283">
        <f>I33/(AF33*30)</f>
        <v>314.37173202614377</v>
      </c>
      <c r="AH33" s="283">
        <f t="shared" si="3"/>
        <v>9</v>
      </c>
      <c r="AI33" s="284">
        <f t="shared" si="15"/>
        <v>5</v>
      </c>
      <c r="AJ33" s="283">
        <f t="shared" si="4"/>
        <v>46</v>
      </c>
      <c r="AK33" s="283">
        <f>Y33-$M33</f>
        <v>24</v>
      </c>
      <c r="AL33" s="332">
        <f>AK33/AK$4</f>
        <v>7.9734219269102985E-2</v>
      </c>
      <c r="AM33" s="283">
        <f>J33/(AL33*30)</f>
        <v>347.44207856753809</v>
      </c>
      <c r="AN33" s="283">
        <f t="shared" si="5"/>
        <v>12</v>
      </c>
      <c r="AO33" s="284">
        <f t="shared" si="22"/>
        <v>3.8333333333333335</v>
      </c>
      <c r="AQ33" s="281">
        <v>23</v>
      </c>
      <c r="AR33" s="258" t="s">
        <v>278</v>
      </c>
      <c r="AS33" s="282">
        <f>J33</f>
        <v>831.09068627450961</v>
      </c>
      <c r="AT33" s="374">
        <f t="shared" si="27"/>
        <v>0.26328767123287672</v>
      </c>
      <c r="AU33" s="283">
        <f t="shared" si="12"/>
        <v>136</v>
      </c>
      <c r="AV33" s="283">
        <f t="shared" si="23"/>
        <v>325</v>
      </c>
      <c r="AW33" s="319">
        <f t="shared" si="28"/>
        <v>0.41827541827541825</v>
      </c>
      <c r="AX33" s="283">
        <f>AS33/(AW33*30)</f>
        <v>66.231534690799378</v>
      </c>
      <c r="AY33" s="283">
        <f t="shared" si="21"/>
        <v>43</v>
      </c>
      <c r="AZ33" s="284">
        <f t="shared" si="13"/>
        <v>3.1627906976744184</v>
      </c>
      <c r="BB33" s="281">
        <v>23</v>
      </c>
      <c r="BC33" s="258" t="s">
        <v>278</v>
      </c>
      <c r="BD33" s="328">
        <f>J33</f>
        <v>831.09068627450961</v>
      </c>
      <c r="BE33" s="374">
        <f>G33</f>
        <v>0.26328767123287672</v>
      </c>
      <c r="BF33" s="283">
        <f t="shared" si="14"/>
        <v>46</v>
      </c>
      <c r="BG33" s="283">
        <f>AK33</f>
        <v>24</v>
      </c>
      <c r="BH33" s="319">
        <f t="shared" si="29"/>
        <v>7.9734219269102985E-2</v>
      </c>
      <c r="BI33" s="283">
        <f>BD33/(BH33*30)</f>
        <v>347.44207856753809</v>
      </c>
      <c r="BJ33" s="283">
        <f t="shared" si="7"/>
        <v>12</v>
      </c>
      <c r="BK33" s="284">
        <f t="shared" si="17"/>
        <v>3.8333333333333335</v>
      </c>
      <c r="BM33" s="281">
        <v>23</v>
      </c>
      <c r="BN33" s="258" t="s">
        <v>278</v>
      </c>
      <c r="BO33" s="328">
        <f>J33</f>
        <v>831.09068627450961</v>
      </c>
      <c r="BP33" s="374">
        <f>G33</f>
        <v>0.26328767123287672</v>
      </c>
      <c r="BQ33" s="332">
        <f>AW33</f>
        <v>0.41827541827541825</v>
      </c>
      <c r="BR33" s="283">
        <f>$BO33/(BQ33*30)</f>
        <v>66.231534690799378</v>
      </c>
      <c r="BS33" s="335">
        <f t="shared" si="8"/>
        <v>3.1627906976744184</v>
      </c>
      <c r="BT33" s="332">
        <f>BH33</f>
        <v>7.9734219269102985E-2</v>
      </c>
      <c r="BU33" s="283">
        <f>$BO33/(BT33*30)</f>
        <v>347.44207856753809</v>
      </c>
      <c r="BV33" s="335">
        <f t="shared" si="9"/>
        <v>3.8333333333333335</v>
      </c>
    </row>
    <row r="34" spans="2:74" x14ac:dyDescent="0.35">
      <c r="B34" s="281">
        <v>24</v>
      </c>
      <c r="C34" s="258" t="s">
        <v>279</v>
      </c>
      <c r="D34" s="99"/>
      <c r="E34" s="159"/>
      <c r="F34" s="159"/>
      <c r="G34" s="9"/>
      <c r="H34" s="159"/>
      <c r="I34" s="159"/>
      <c r="J34" s="159"/>
      <c r="K34" s="159"/>
      <c r="L34" s="99">
        <v>10</v>
      </c>
      <c r="M34" s="159"/>
      <c r="N34" s="306"/>
      <c r="O34" s="159"/>
      <c r="P34" s="159">
        <v>23</v>
      </c>
      <c r="Q34" s="290">
        <f t="shared" si="1"/>
        <v>0.43478260869565216</v>
      </c>
      <c r="R34" s="159">
        <v>14</v>
      </c>
      <c r="S34" s="159"/>
      <c r="T34" s="306"/>
      <c r="U34" s="159"/>
      <c r="V34" s="159">
        <v>27</v>
      </c>
      <c r="W34" s="290">
        <f t="shared" si="10"/>
        <v>0.51851851851851849</v>
      </c>
      <c r="X34" s="159">
        <v>14</v>
      </c>
      <c r="Y34" s="159"/>
      <c r="Z34" s="306"/>
      <c r="AA34" s="159"/>
      <c r="AB34" s="159">
        <v>27</v>
      </c>
      <c r="AC34" s="290">
        <f t="shared" si="11"/>
        <v>0.51851851851851849</v>
      </c>
      <c r="AD34" s="159">
        <f t="shared" si="2"/>
        <v>4</v>
      </c>
      <c r="AE34" s="159"/>
      <c r="AF34" s="175"/>
      <c r="AG34" s="159"/>
      <c r="AH34" s="159">
        <f t="shared" si="3"/>
        <v>4</v>
      </c>
      <c r="AI34" s="290">
        <f t="shared" si="15"/>
        <v>1</v>
      </c>
      <c r="AJ34" s="159">
        <f t="shared" si="4"/>
        <v>4</v>
      </c>
      <c r="AK34" s="159"/>
      <c r="AL34" s="175"/>
      <c r="AM34" s="159"/>
      <c r="AN34" s="159">
        <f t="shared" si="5"/>
        <v>4</v>
      </c>
      <c r="AO34" s="290">
        <f t="shared" si="22"/>
        <v>1</v>
      </c>
      <c r="AQ34" s="281">
        <v>24</v>
      </c>
      <c r="AR34" s="258" t="s">
        <v>279</v>
      </c>
      <c r="AS34" s="99"/>
      <c r="AT34" s="376"/>
      <c r="AU34" s="159">
        <f t="shared" si="12"/>
        <v>14</v>
      </c>
      <c r="AV34" s="159"/>
      <c r="AW34" s="306"/>
      <c r="AX34" s="306"/>
      <c r="AY34" s="159">
        <f t="shared" si="21"/>
        <v>27</v>
      </c>
      <c r="AZ34" s="290">
        <f t="shared" si="13"/>
        <v>0.51851851851851849</v>
      </c>
      <c r="BB34" s="281">
        <v>24</v>
      </c>
      <c r="BC34" s="258" t="s">
        <v>279</v>
      </c>
      <c r="BD34" s="105"/>
      <c r="BE34" s="376"/>
      <c r="BF34" s="159">
        <f t="shared" si="14"/>
        <v>4</v>
      </c>
      <c r="BG34" s="159"/>
      <c r="BH34" s="306"/>
      <c r="BI34" s="306"/>
      <c r="BJ34" s="159">
        <f t="shared" si="7"/>
        <v>4</v>
      </c>
      <c r="BK34" s="290">
        <f t="shared" si="17"/>
        <v>1</v>
      </c>
      <c r="BM34" s="281">
        <v>24</v>
      </c>
      <c r="BN34" s="258" t="s">
        <v>279</v>
      </c>
      <c r="BO34" s="105"/>
      <c r="BP34" s="376"/>
      <c r="BQ34" s="175"/>
      <c r="BR34" s="175"/>
      <c r="BS34" s="380">
        <f t="shared" si="8"/>
        <v>0.51851851851851849</v>
      </c>
      <c r="BT34" s="175"/>
      <c r="BU34" s="175"/>
      <c r="BV34" s="380">
        <f t="shared" si="9"/>
        <v>1</v>
      </c>
    </row>
    <row r="35" spans="2:74" x14ac:dyDescent="0.35">
      <c r="B35" s="281">
        <v>25</v>
      </c>
      <c r="C35" s="258" t="s">
        <v>280</v>
      </c>
      <c r="D35" s="99"/>
      <c r="E35" s="159"/>
      <c r="F35" s="159"/>
      <c r="G35" s="9"/>
      <c r="H35" s="159"/>
      <c r="I35" s="159"/>
      <c r="J35" s="159"/>
      <c r="K35" s="159"/>
      <c r="L35" s="99">
        <v>236</v>
      </c>
      <c r="M35" s="159"/>
      <c r="N35" s="306"/>
      <c r="O35" s="159"/>
      <c r="P35" s="159">
        <v>121</v>
      </c>
      <c r="Q35" s="290">
        <f t="shared" si="1"/>
        <v>1.9504132231404958</v>
      </c>
      <c r="R35" s="159">
        <v>337</v>
      </c>
      <c r="S35" s="159"/>
      <c r="T35" s="306"/>
      <c r="U35" s="159"/>
      <c r="V35" s="159">
        <v>271</v>
      </c>
      <c r="W35" s="290">
        <f t="shared" si="10"/>
        <v>1.2435424354243543</v>
      </c>
      <c r="X35" s="159">
        <v>342</v>
      </c>
      <c r="Y35" s="159"/>
      <c r="Z35" s="306"/>
      <c r="AA35" s="159"/>
      <c r="AB35" s="159">
        <v>290</v>
      </c>
      <c r="AC35" s="290">
        <f t="shared" si="11"/>
        <v>1.1793103448275861</v>
      </c>
      <c r="AD35" s="159">
        <f t="shared" si="2"/>
        <v>101</v>
      </c>
      <c r="AE35" s="159"/>
      <c r="AF35" s="175"/>
      <c r="AG35" s="159"/>
      <c r="AH35" s="159">
        <f t="shared" si="3"/>
        <v>150</v>
      </c>
      <c r="AI35" s="290">
        <f t="shared" si="15"/>
        <v>0.67333333333333334</v>
      </c>
      <c r="AJ35" s="159">
        <f t="shared" si="4"/>
        <v>106</v>
      </c>
      <c r="AK35" s="159"/>
      <c r="AL35" s="175"/>
      <c r="AM35" s="159"/>
      <c r="AN35" s="159">
        <f t="shared" si="5"/>
        <v>169</v>
      </c>
      <c r="AO35" s="290">
        <f t="shared" si="22"/>
        <v>0.62721893491124259</v>
      </c>
      <c r="AQ35" s="281">
        <v>25</v>
      </c>
      <c r="AR35" s="258" t="s">
        <v>280</v>
      </c>
      <c r="AS35" s="99"/>
      <c r="AT35" s="376"/>
      <c r="AU35" s="159">
        <f t="shared" si="12"/>
        <v>342</v>
      </c>
      <c r="AV35" s="159"/>
      <c r="AW35" s="306"/>
      <c r="AX35" s="306"/>
      <c r="AY35" s="159">
        <f t="shared" si="21"/>
        <v>290</v>
      </c>
      <c r="AZ35" s="290">
        <f t="shared" si="13"/>
        <v>1.1793103448275861</v>
      </c>
      <c r="BB35" s="281">
        <v>25</v>
      </c>
      <c r="BC35" s="258" t="s">
        <v>280</v>
      </c>
      <c r="BD35" s="105"/>
      <c r="BE35" s="376"/>
      <c r="BF35" s="159">
        <f t="shared" si="14"/>
        <v>106</v>
      </c>
      <c r="BG35" s="159"/>
      <c r="BH35" s="306"/>
      <c r="BI35" s="306"/>
      <c r="BJ35" s="159">
        <f t="shared" si="7"/>
        <v>169</v>
      </c>
      <c r="BK35" s="290">
        <f t="shared" si="17"/>
        <v>0.62721893491124259</v>
      </c>
      <c r="BM35" s="281">
        <v>25</v>
      </c>
      <c r="BN35" s="258" t="s">
        <v>280</v>
      </c>
      <c r="BO35" s="105"/>
      <c r="BP35" s="376"/>
      <c r="BQ35" s="175"/>
      <c r="BR35" s="175"/>
      <c r="BS35" s="380">
        <f t="shared" si="8"/>
        <v>1.1793103448275861</v>
      </c>
      <c r="BT35" s="175"/>
      <c r="BU35" s="175"/>
      <c r="BV35" s="380">
        <f t="shared" si="9"/>
        <v>0.62721893491124259</v>
      </c>
    </row>
    <row r="36" spans="2:74" x14ac:dyDescent="0.35">
      <c r="B36" s="281">
        <v>26</v>
      </c>
      <c r="C36" s="258" t="s">
        <v>281</v>
      </c>
      <c r="D36" s="282"/>
      <c r="E36" s="292" t="s">
        <v>34</v>
      </c>
      <c r="F36" s="292" t="s">
        <v>34</v>
      </c>
      <c r="G36" s="369"/>
      <c r="H36" s="292" t="s">
        <v>34</v>
      </c>
      <c r="I36" s="292" t="s">
        <v>34</v>
      </c>
      <c r="J36" s="292" t="s">
        <v>34</v>
      </c>
      <c r="K36" s="283"/>
      <c r="L36" s="286">
        <f>SUM(L34:L35)</f>
        <v>246</v>
      </c>
      <c r="M36" s="287">
        <v>3333</v>
      </c>
      <c r="N36" s="349">
        <f t="shared" ref="N36:N39" si="30">M36/M$4</f>
        <v>7.0021008403361344</v>
      </c>
      <c r="O36" s="403" t="s">
        <v>34</v>
      </c>
      <c r="P36" s="287">
        <f>SUM(P34:P35)</f>
        <v>144</v>
      </c>
      <c r="Q36" s="288">
        <f t="shared" si="1"/>
        <v>1.7083333333333333</v>
      </c>
      <c r="R36" s="287">
        <f>SUM(R34:R35)</f>
        <v>351</v>
      </c>
      <c r="S36" s="287">
        <v>8268</v>
      </c>
      <c r="T36" s="349">
        <f t="shared" ref="T36:T39" si="31">S36/S$4</f>
        <v>11.009320905459388</v>
      </c>
      <c r="U36" s="403" t="s">
        <v>34</v>
      </c>
      <c r="V36" s="287">
        <f>SUM(V34:V35)</f>
        <v>298</v>
      </c>
      <c r="W36" s="288">
        <f t="shared" si="10"/>
        <v>1.1778523489932886</v>
      </c>
      <c r="X36" s="287">
        <f>SUM(X34:X35)</f>
        <v>356</v>
      </c>
      <c r="Y36" s="287">
        <v>9104</v>
      </c>
      <c r="Z36" s="349">
        <f t="shared" ref="Z36:Z39" si="32">Y36/Y$4</f>
        <v>11.716859716859718</v>
      </c>
      <c r="AA36" s="403" t="s">
        <v>34</v>
      </c>
      <c r="AB36" s="287">
        <f>SUM(AB34:AB35)</f>
        <v>317</v>
      </c>
      <c r="AC36" s="288">
        <f t="shared" si="11"/>
        <v>1.1230283911671923</v>
      </c>
      <c r="AD36" s="287">
        <f t="shared" si="2"/>
        <v>105</v>
      </c>
      <c r="AE36" s="287">
        <f>S36-$M36</f>
        <v>4935</v>
      </c>
      <c r="AF36" s="378">
        <f>AE36/AE$4</f>
        <v>17.945454545454545</v>
      </c>
      <c r="AG36" s="403" t="s">
        <v>34</v>
      </c>
      <c r="AH36" s="287">
        <f t="shared" si="3"/>
        <v>154</v>
      </c>
      <c r="AI36" s="288">
        <f t="shared" si="15"/>
        <v>0.68181818181818177</v>
      </c>
      <c r="AJ36" s="287">
        <f t="shared" si="4"/>
        <v>110</v>
      </c>
      <c r="AK36" s="287">
        <f>Y36-$M36</f>
        <v>5771</v>
      </c>
      <c r="AL36" s="378">
        <f>AK36/AK$4</f>
        <v>19.172757475083056</v>
      </c>
      <c r="AM36" s="403" t="s">
        <v>34</v>
      </c>
      <c r="AN36" s="287">
        <f t="shared" si="5"/>
        <v>173</v>
      </c>
      <c r="AO36" s="288">
        <f t="shared" si="22"/>
        <v>0.63583815028901736</v>
      </c>
      <c r="AQ36" s="281">
        <v>26</v>
      </c>
      <c r="AR36" s="258" t="s">
        <v>281</v>
      </c>
      <c r="AS36" s="372" t="s">
        <v>34</v>
      </c>
      <c r="AT36" s="377" t="s">
        <v>34</v>
      </c>
      <c r="AU36" s="287">
        <f t="shared" si="12"/>
        <v>356</v>
      </c>
      <c r="AV36" s="287">
        <f t="shared" ref="AV36:AV40" si="33">Y36</f>
        <v>9104</v>
      </c>
      <c r="AW36" s="349">
        <f t="shared" ref="AW36:AW39" si="34">AV36/AV$4</f>
        <v>11.716859716859718</v>
      </c>
      <c r="AX36" s="412" t="s">
        <v>34</v>
      </c>
      <c r="AY36" s="287">
        <f t="shared" si="21"/>
        <v>317</v>
      </c>
      <c r="AZ36" s="288">
        <f t="shared" si="13"/>
        <v>1.1230283911671923</v>
      </c>
      <c r="BB36" s="281">
        <v>26</v>
      </c>
      <c r="BC36" s="258" t="s">
        <v>281</v>
      </c>
      <c r="BD36" s="329" t="s">
        <v>34</v>
      </c>
      <c r="BE36" s="377" t="s">
        <v>34</v>
      </c>
      <c r="BF36" s="287">
        <f t="shared" si="14"/>
        <v>110</v>
      </c>
      <c r="BG36" s="287">
        <f>AK36</f>
        <v>5771</v>
      </c>
      <c r="BH36" s="349">
        <f t="shared" ref="BH36:BH39" si="35">BG36/BG$4</f>
        <v>19.172757475083056</v>
      </c>
      <c r="BI36" s="412" t="s">
        <v>34</v>
      </c>
      <c r="BJ36" s="287">
        <f t="shared" si="7"/>
        <v>173</v>
      </c>
      <c r="BK36" s="288">
        <f t="shared" si="17"/>
        <v>0.63583815028901736</v>
      </c>
      <c r="BM36" s="281">
        <v>26</v>
      </c>
      <c r="BN36" s="258" t="s">
        <v>281</v>
      </c>
      <c r="BO36" s="329" t="s">
        <v>34</v>
      </c>
      <c r="BP36" s="377"/>
      <c r="BQ36" s="378">
        <f>AW36</f>
        <v>11.716859716859718</v>
      </c>
      <c r="BR36" s="378"/>
      <c r="BS36" s="382">
        <f t="shared" si="8"/>
        <v>1.1230283911671923</v>
      </c>
      <c r="BT36" s="378">
        <f>BH36</f>
        <v>19.172757475083056</v>
      </c>
      <c r="BU36" s="378"/>
      <c r="BV36" s="382">
        <f t="shared" si="9"/>
        <v>0.63583815028901736</v>
      </c>
    </row>
    <row r="37" spans="2:74" x14ac:dyDescent="0.35">
      <c r="B37" s="281">
        <v>27</v>
      </c>
      <c r="C37" s="258" t="s">
        <v>282</v>
      </c>
      <c r="D37" s="372" t="s">
        <v>283</v>
      </c>
      <c r="E37" s="283">
        <f>S37/0.35</f>
        <v>74.285714285714292</v>
      </c>
      <c r="F37" s="283">
        <v>0</v>
      </c>
      <c r="G37" s="346">
        <f>F37/365</f>
        <v>0</v>
      </c>
      <c r="H37" s="283">
        <f>($E37+(DATEDIF($D$9,H$9,"M")/12)*$F37)-M37</f>
        <v>56.285714285714292</v>
      </c>
      <c r="I37" s="283">
        <f>($E37+(DATEDIF($D$9,I$9,"M")/12)*$F37)-S37</f>
        <v>48.285714285714292</v>
      </c>
      <c r="J37" s="283">
        <f>($E37+(DATEDIF($D$9,J$9,"M")/12)*$F37)-Y37</f>
        <v>48.285714285714292</v>
      </c>
      <c r="K37" s="283"/>
      <c r="L37" s="282">
        <v>12</v>
      </c>
      <c r="M37" s="283">
        <v>18</v>
      </c>
      <c r="N37" s="414">
        <f t="shared" si="30"/>
        <v>3.7815126050420166E-2</v>
      </c>
      <c r="O37" s="283">
        <f>H37/(N37*30)</f>
        <v>49.614814814814821</v>
      </c>
      <c r="P37" s="283">
        <v>26</v>
      </c>
      <c r="Q37" s="284">
        <f t="shared" si="1"/>
        <v>0.46153846153846156</v>
      </c>
      <c r="R37" s="283">
        <v>21</v>
      </c>
      <c r="S37" s="283">
        <v>26</v>
      </c>
      <c r="T37" s="414">
        <f t="shared" si="31"/>
        <v>3.462050599201065E-2</v>
      </c>
      <c r="U37" s="283">
        <f>I37/(T37*30)</f>
        <v>46.490476190476194</v>
      </c>
      <c r="V37" s="283">
        <v>30</v>
      </c>
      <c r="W37" s="284">
        <f t="shared" si="10"/>
        <v>0.7</v>
      </c>
      <c r="X37" s="283">
        <v>22</v>
      </c>
      <c r="Y37" s="283">
        <v>26</v>
      </c>
      <c r="Z37" s="345">
        <f t="shared" si="32"/>
        <v>3.3462033462033462E-2</v>
      </c>
      <c r="AA37" s="283">
        <f>J37/(Z37*30)</f>
        <v>48.100000000000009</v>
      </c>
      <c r="AB37" s="283">
        <v>35</v>
      </c>
      <c r="AC37" s="284">
        <f t="shared" si="11"/>
        <v>0.62857142857142856</v>
      </c>
      <c r="AD37" s="283">
        <f t="shared" si="2"/>
        <v>9</v>
      </c>
      <c r="AE37" s="283">
        <f>S37-$M37</f>
        <v>8</v>
      </c>
      <c r="AF37" s="415">
        <f t="shared" ref="AF37:AF39" si="36">AE37/AE$4</f>
        <v>2.9090909090909091E-2</v>
      </c>
      <c r="AG37" s="283">
        <f>I37/(AF37*30)</f>
        <v>55.327380952380963</v>
      </c>
      <c r="AH37" s="283">
        <f t="shared" si="3"/>
        <v>4</v>
      </c>
      <c r="AI37" s="284">
        <f t="shared" si="15"/>
        <v>2.25</v>
      </c>
      <c r="AJ37" s="283">
        <f t="shared" si="4"/>
        <v>10</v>
      </c>
      <c r="AK37" s="283">
        <f>Y37-$M37</f>
        <v>8</v>
      </c>
      <c r="AL37" s="415">
        <f t="shared" ref="AL37:AL39" si="37">AK37/AK$4</f>
        <v>2.6578073089700997E-2</v>
      </c>
      <c r="AM37" s="283">
        <f>J37/(AL37*30)</f>
        <v>60.558333333333337</v>
      </c>
      <c r="AN37" s="283">
        <f t="shared" si="5"/>
        <v>9</v>
      </c>
      <c r="AO37" s="284">
        <f t="shared" si="22"/>
        <v>1.1111111111111112</v>
      </c>
      <c r="AQ37" s="281">
        <v>27</v>
      </c>
      <c r="AR37" s="258" t="s">
        <v>282</v>
      </c>
      <c r="AS37" s="282">
        <f>J37</f>
        <v>48.285714285714292</v>
      </c>
      <c r="AT37" s="374">
        <f t="shared" ref="AT37:AT38" si="38">G37</f>
        <v>0</v>
      </c>
      <c r="AU37" s="283">
        <f t="shared" si="12"/>
        <v>22</v>
      </c>
      <c r="AV37" s="283">
        <f t="shared" si="33"/>
        <v>26</v>
      </c>
      <c r="AW37" s="414">
        <f t="shared" si="34"/>
        <v>3.3462033462033462E-2</v>
      </c>
      <c r="AX37" s="283">
        <f>AS37/(AW37*30)</f>
        <v>48.100000000000009</v>
      </c>
      <c r="AY37" s="283">
        <f t="shared" si="21"/>
        <v>35</v>
      </c>
      <c r="AZ37" s="284">
        <f t="shared" si="13"/>
        <v>0.62857142857142856</v>
      </c>
      <c r="BB37" s="281">
        <v>27</v>
      </c>
      <c r="BC37" s="258" t="s">
        <v>282</v>
      </c>
      <c r="BD37" s="328">
        <f>J37</f>
        <v>48.285714285714292</v>
      </c>
      <c r="BE37" s="374">
        <f>G37</f>
        <v>0</v>
      </c>
      <c r="BF37" s="283">
        <f t="shared" si="14"/>
        <v>10</v>
      </c>
      <c r="BG37" s="283">
        <f>AK37</f>
        <v>8</v>
      </c>
      <c r="BH37" s="414">
        <f t="shared" si="35"/>
        <v>2.6578073089700997E-2</v>
      </c>
      <c r="BI37" s="283">
        <f>BD37/(BH37*30)</f>
        <v>60.558333333333337</v>
      </c>
      <c r="BJ37" s="283">
        <f t="shared" si="7"/>
        <v>9</v>
      </c>
      <c r="BK37" s="284">
        <f t="shared" si="17"/>
        <v>1.1111111111111112</v>
      </c>
      <c r="BM37" s="281">
        <v>27</v>
      </c>
      <c r="BN37" s="258" t="s">
        <v>282</v>
      </c>
      <c r="BO37" s="328">
        <f>J37</f>
        <v>48.285714285714292</v>
      </c>
      <c r="BP37" s="374">
        <f>G37</f>
        <v>0</v>
      </c>
      <c r="BQ37" s="415">
        <f>AW37</f>
        <v>3.3462033462033462E-2</v>
      </c>
      <c r="BR37" s="283">
        <f>$BO37/(BQ37*30)</f>
        <v>48.100000000000009</v>
      </c>
      <c r="BS37" s="335">
        <f t="shared" si="8"/>
        <v>0.62857142857142856</v>
      </c>
      <c r="BT37" s="415">
        <f>BH37</f>
        <v>2.6578073089700997E-2</v>
      </c>
      <c r="BU37" s="283">
        <f>$BO37/(BT37*30)</f>
        <v>60.558333333333337</v>
      </c>
      <c r="BV37" s="335">
        <f t="shared" si="9"/>
        <v>1.1111111111111112</v>
      </c>
    </row>
    <row r="38" spans="2:74" x14ac:dyDescent="0.35">
      <c r="B38" s="281">
        <v>28</v>
      </c>
      <c r="C38" s="258" t="s">
        <v>284</v>
      </c>
      <c r="D38" s="282"/>
      <c r="E38" s="283">
        <f>S38/0.17</f>
        <v>5.8823529411764701</v>
      </c>
      <c r="F38" s="283">
        <v>0</v>
      </c>
      <c r="G38" s="346">
        <f>F38/365</f>
        <v>0</v>
      </c>
      <c r="H38" s="283">
        <f>($E38+(DATEDIF($D$9,H$9,"M")/12)*$F38)-M38</f>
        <v>5.8823529411764701</v>
      </c>
      <c r="I38" s="283">
        <f>($E38+(DATEDIF($D$9,I$9,"M")/12)*$F38)-S38</f>
        <v>4.8823529411764701</v>
      </c>
      <c r="J38" s="283">
        <f>($E38+(DATEDIF($D$9,J$9,"M")/12)*$F38)-Y38</f>
        <v>4.8823529411764701</v>
      </c>
      <c r="K38" s="283"/>
      <c r="L38" s="282">
        <v>0</v>
      </c>
      <c r="M38" s="283">
        <v>0</v>
      </c>
      <c r="N38" s="414">
        <f t="shared" si="30"/>
        <v>0</v>
      </c>
      <c r="O38" s="283" t="e">
        <f>H38/(N38*30)</f>
        <v>#DIV/0!</v>
      </c>
      <c r="P38" s="283">
        <v>0</v>
      </c>
      <c r="Q38" s="284" t="s">
        <v>34</v>
      </c>
      <c r="R38" s="283">
        <v>1</v>
      </c>
      <c r="S38" s="283">
        <v>1</v>
      </c>
      <c r="T38" s="414">
        <f t="shared" si="31"/>
        <v>1.3315579227696406E-3</v>
      </c>
      <c r="U38" s="283">
        <f>I38/(T38*30)</f>
        <v>122.22156862745095</v>
      </c>
      <c r="V38" s="283">
        <v>0</v>
      </c>
      <c r="W38" s="293" t="s">
        <v>34</v>
      </c>
      <c r="X38" s="283">
        <v>1</v>
      </c>
      <c r="Y38" s="283">
        <v>1</v>
      </c>
      <c r="Z38" s="414">
        <f t="shared" si="32"/>
        <v>1.287001287001287E-3</v>
      </c>
      <c r="AA38" s="283">
        <f>J38/(Z38*30)</f>
        <v>126.45294117647057</v>
      </c>
      <c r="AB38" s="283">
        <v>0</v>
      </c>
      <c r="AC38" s="293" t="s">
        <v>34</v>
      </c>
      <c r="AD38" s="283">
        <f t="shared" si="2"/>
        <v>1</v>
      </c>
      <c r="AE38" s="283">
        <f>S38-$M38</f>
        <v>1</v>
      </c>
      <c r="AF38" s="415">
        <f t="shared" si="36"/>
        <v>3.6363636363636364E-3</v>
      </c>
      <c r="AG38" s="283">
        <f>I38/(AF38*30)</f>
        <v>44.754901960784309</v>
      </c>
      <c r="AH38" s="283">
        <f t="shared" si="3"/>
        <v>0</v>
      </c>
      <c r="AI38" s="293" t="s">
        <v>34</v>
      </c>
      <c r="AJ38" s="283">
        <f t="shared" si="4"/>
        <v>1</v>
      </c>
      <c r="AK38" s="283">
        <f>Y38-$M38</f>
        <v>1</v>
      </c>
      <c r="AL38" s="415">
        <f t="shared" si="37"/>
        <v>3.3222591362126247E-3</v>
      </c>
      <c r="AM38" s="283">
        <f>J38/(AL38*30)</f>
        <v>48.98627450980392</v>
      </c>
      <c r="AN38" s="283">
        <f t="shared" si="5"/>
        <v>0</v>
      </c>
      <c r="AO38" s="293" t="s">
        <v>34</v>
      </c>
      <c r="AQ38" s="281">
        <v>28</v>
      </c>
      <c r="AR38" s="258" t="s">
        <v>284</v>
      </c>
      <c r="AS38" s="282">
        <f>J38</f>
        <v>4.8823529411764701</v>
      </c>
      <c r="AT38" s="374">
        <f t="shared" si="38"/>
        <v>0</v>
      </c>
      <c r="AU38" s="283">
        <f t="shared" si="12"/>
        <v>1</v>
      </c>
      <c r="AV38" s="283">
        <f t="shared" si="33"/>
        <v>1</v>
      </c>
      <c r="AW38" s="414">
        <f t="shared" si="34"/>
        <v>1.287001287001287E-3</v>
      </c>
      <c r="AX38" s="283">
        <f>AS38/(AW38*30)</f>
        <v>126.45294117647057</v>
      </c>
      <c r="AY38" s="283">
        <f t="shared" si="21"/>
        <v>0</v>
      </c>
      <c r="AZ38" s="293" t="s">
        <v>34</v>
      </c>
      <c r="BB38" s="281">
        <v>28</v>
      </c>
      <c r="BC38" s="258" t="s">
        <v>284</v>
      </c>
      <c r="BD38" s="328">
        <f>J38</f>
        <v>4.8823529411764701</v>
      </c>
      <c r="BE38" s="374">
        <f>G38</f>
        <v>0</v>
      </c>
      <c r="BF38" s="283">
        <f t="shared" si="14"/>
        <v>1</v>
      </c>
      <c r="BG38" s="283">
        <f>AK38</f>
        <v>1</v>
      </c>
      <c r="BH38" s="414">
        <f t="shared" si="35"/>
        <v>3.3222591362126247E-3</v>
      </c>
      <c r="BI38" s="283">
        <f>BD38/(BH38*30)</f>
        <v>48.98627450980392</v>
      </c>
      <c r="BJ38" s="283">
        <f t="shared" si="7"/>
        <v>0</v>
      </c>
      <c r="BK38" s="293" t="s">
        <v>34</v>
      </c>
      <c r="BM38" s="281">
        <v>28</v>
      </c>
      <c r="BN38" s="258" t="s">
        <v>284</v>
      </c>
      <c r="BO38" s="328">
        <f>J38</f>
        <v>4.8823529411764701</v>
      </c>
      <c r="BP38" s="374">
        <f>G38</f>
        <v>0</v>
      </c>
      <c r="BQ38" s="415">
        <f>AW38</f>
        <v>1.287001287001287E-3</v>
      </c>
      <c r="BR38" s="283">
        <f>$BO38/(BQ38*30)</f>
        <v>126.45294117647057</v>
      </c>
      <c r="BS38" s="336" t="str">
        <f t="shared" si="8"/>
        <v>-</v>
      </c>
      <c r="BT38" s="415">
        <f>BH38</f>
        <v>3.3222591362126247E-3</v>
      </c>
      <c r="BU38" s="283">
        <f>$BO38/(BT38*30)</f>
        <v>48.98627450980392</v>
      </c>
      <c r="BV38" s="336" t="str">
        <f t="shared" si="9"/>
        <v>-</v>
      </c>
    </row>
    <row r="39" spans="2:74" x14ac:dyDescent="0.35">
      <c r="B39" s="281">
        <v>29</v>
      </c>
      <c r="C39" s="258" t="s">
        <v>285</v>
      </c>
      <c r="D39" s="282"/>
      <c r="E39" s="292" t="s">
        <v>34</v>
      </c>
      <c r="F39" s="292" t="s">
        <v>34</v>
      </c>
      <c r="G39" s="292"/>
      <c r="H39" s="292" t="s">
        <v>34</v>
      </c>
      <c r="I39" s="292" t="s">
        <v>34</v>
      </c>
      <c r="J39" s="292" t="s">
        <v>34</v>
      </c>
      <c r="K39" s="283"/>
      <c r="L39" s="282">
        <v>2570</v>
      </c>
      <c r="M39" s="283">
        <v>6506</v>
      </c>
      <c r="N39" s="319">
        <f t="shared" si="30"/>
        <v>13.668067226890756</v>
      </c>
      <c r="O39" s="292" t="s">
        <v>34</v>
      </c>
      <c r="P39" s="283">
        <v>653</v>
      </c>
      <c r="Q39" s="284">
        <f t="shared" si="1"/>
        <v>3.9356814701378253</v>
      </c>
      <c r="R39" s="283">
        <v>3152</v>
      </c>
      <c r="S39" s="283">
        <v>14024</v>
      </c>
      <c r="T39" s="319">
        <f t="shared" si="31"/>
        <v>18.673768308921439</v>
      </c>
      <c r="U39" s="292" t="s">
        <v>34</v>
      </c>
      <c r="V39" s="283">
        <v>842</v>
      </c>
      <c r="W39" s="284">
        <f t="shared" si="10"/>
        <v>3.7434679334916865</v>
      </c>
      <c r="X39" s="283">
        <v>3203</v>
      </c>
      <c r="Y39" s="283">
        <v>15298</v>
      </c>
      <c r="Z39" s="319">
        <f t="shared" si="32"/>
        <v>19.688545688545688</v>
      </c>
      <c r="AA39" s="292" t="s">
        <v>34</v>
      </c>
      <c r="AB39" s="283">
        <v>861</v>
      </c>
      <c r="AC39" s="284">
        <f t="shared" ref="AC39" si="39">X39/AB39</f>
        <v>3.7200929152148663</v>
      </c>
      <c r="AD39" s="283">
        <f t="shared" si="2"/>
        <v>582</v>
      </c>
      <c r="AE39" s="283">
        <f>S39-$M39</f>
        <v>7518</v>
      </c>
      <c r="AF39" s="332">
        <f t="shared" si="36"/>
        <v>27.33818181818182</v>
      </c>
      <c r="AG39" s="292" t="s">
        <v>34</v>
      </c>
      <c r="AH39" s="283">
        <f t="shared" si="3"/>
        <v>189</v>
      </c>
      <c r="AI39" s="284">
        <f t="shared" ref="AI39:AI43" si="40">AD39/AH39</f>
        <v>3.0793650793650795</v>
      </c>
      <c r="AJ39" s="283">
        <f t="shared" si="4"/>
        <v>633</v>
      </c>
      <c r="AK39" s="283">
        <f>Y39-$M39</f>
        <v>8792</v>
      </c>
      <c r="AL39" s="332">
        <f t="shared" si="37"/>
        <v>29.209302325581394</v>
      </c>
      <c r="AM39" s="292" t="s">
        <v>34</v>
      </c>
      <c r="AN39" s="283">
        <f t="shared" si="5"/>
        <v>208</v>
      </c>
      <c r="AO39" s="284">
        <f t="shared" ref="AO39" si="41">AJ39/AN39</f>
        <v>3.0432692307692308</v>
      </c>
      <c r="AQ39" s="281">
        <v>29</v>
      </c>
      <c r="AR39" s="258" t="s">
        <v>285</v>
      </c>
      <c r="AS39" s="372" t="s">
        <v>34</v>
      </c>
      <c r="AT39" s="377" t="s">
        <v>34</v>
      </c>
      <c r="AU39" s="283">
        <f t="shared" si="12"/>
        <v>3203</v>
      </c>
      <c r="AV39" s="283">
        <f t="shared" si="33"/>
        <v>15298</v>
      </c>
      <c r="AW39" s="319">
        <f t="shared" si="34"/>
        <v>19.688545688545688</v>
      </c>
      <c r="AX39" s="413" t="s">
        <v>34</v>
      </c>
      <c r="AY39" s="283">
        <f t="shared" si="21"/>
        <v>861</v>
      </c>
      <c r="AZ39" s="284">
        <f t="shared" ref="AZ39" si="42">AU39/AY39</f>
        <v>3.7200929152148663</v>
      </c>
      <c r="BB39" s="281">
        <v>29</v>
      </c>
      <c r="BC39" s="258" t="s">
        <v>285</v>
      </c>
      <c r="BD39" s="329" t="s">
        <v>34</v>
      </c>
      <c r="BE39" s="377" t="s">
        <v>34</v>
      </c>
      <c r="BF39" s="283">
        <f t="shared" si="14"/>
        <v>633</v>
      </c>
      <c r="BG39" s="283">
        <f>AK39</f>
        <v>8792</v>
      </c>
      <c r="BH39" s="319">
        <f t="shared" si="35"/>
        <v>29.209302325581394</v>
      </c>
      <c r="BI39" s="413" t="s">
        <v>34</v>
      </c>
      <c r="BJ39" s="283">
        <f t="shared" si="7"/>
        <v>208</v>
      </c>
      <c r="BK39" s="284">
        <f t="shared" ref="BK39:BK44" si="43">BF39/BJ39</f>
        <v>3.0432692307692308</v>
      </c>
      <c r="BM39" s="281">
        <v>29</v>
      </c>
      <c r="BN39" s="258" t="s">
        <v>285</v>
      </c>
      <c r="BO39" s="329" t="s">
        <v>34</v>
      </c>
      <c r="BP39" s="377"/>
      <c r="BQ39" s="332">
        <f>AW39</f>
        <v>19.688545688545688</v>
      </c>
      <c r="BR39" s="332"/>
      <c r="BS39" s="335">
        <f t="shared" si="8"/>
        <v>3.7200929152148663</v>
      </c>
      <c r="BT39" s="332">
        <f>BH39</f>
        <v>29.209302325581394</v>
      </c>
      <c r="BU39" s="332"/>
      <c r="BV39" s="335">
        <f t="shared" si="9"/>
        <v>3.0432692307692308</v>
      </c>
    </row>
    <row r="40" spans="2:74" x14ac:dyDescent="0.35">
      <c r="B40" s="281">
        <v>30</v>
      </c>
      <c r="C40" s="258" t="s">
        <v>384</v>
      </c>
      <c r="D40" s="294"/>
      <c r="E40" s="295"/>
      <c r="F40" s="295"/>
      <c r="G40" s="399">
        <f>SUM(G10:G33,G37:G38)</f>
        <v>5.314451006338766</v>
      </c>
      <c r="H40" s="295">
        <f t="shared" ref="H40:J40" si="44">SUM(H10:H33,H37:H38)</f>
        <v>55456.667323925067</v>
      </c>
      <c r="I40" s="295">
        <f t="shared" si="44"/>
        <v>40834.312271273782</v>
      </c>
      <c r="J40" s="295">
        <f t="shared" si="44"/>
        <v>38960.549180979848</v>
      </c>
      <c r="K40" s="295"/>
      <c r="L40" s="294">
        <f>SUM(L10,L18,L19,L25,L31:L33,L37:L38)</f>
        <v>7844</v>
      </c>
      <c r="M40" s="295">
        <f>SUM(M10,M18,M19,M25,M31:M33,M37:M38)</f>
        <v>16931</v>
      </c>
      <c r="N40" s="350">
        <f>M40/M$4</f>
        <v>35.569327731092436</v>
      </c>
      <c r="O40" s="295">
        <f>H40/(N40*30)</f>
        <v>51.970495237903521</v>
      </c>
      <c r="P40" s="295">
        <f>SUM(P10,P18,P19,P25,P31:P33,P37:P38)</f>
        <v>2848</v>
      </c>
      <c r="Q40" s="296">
        <f>L40/P40</f>
        <v>2.7542134831460676</v>
      </c>
      <c r="R40" s="294">
        <f>SUM(R10,R18,R19,R25,R31:R33,R37:R38)</f>
        <v>11382</v>
      </c>
      <c r="S40" s="295">
        <f>SUM(S10,S18,S19,S25,S31:S33,S37:S38)</f>
        <v>33488</v>
      </c>
      <c r="T40" s="350">
        <f>S40/S$4</f>
        <v>44.591211717709719</v>
      </c>
      <c r="U40" s="295">
        <f>I40/(T40*30)</f>
        <v>30.52493282740744</v>
      </c>
      <c r="V40" s="295">
        <f>SUM(V10,V18,V19,V25,V31:V33,V37:V38)</f>
        <v>4222</v>
      </c>
      <c r="W40" s="296">
        <f>R40/V40</f>
        <v>2.6958787304594978</v>
      </c>
      <c r="X40" s="294">
        <f>SUM(X10,X18,X19,X25,X31:X33,X37:X38)</f>
        <v>11778</v>
      </c>
      <c r="Y40" s="295">
        <f>SUM(Y10,Y18,Y19,Y25,Y31:Y33,Y37:Y38)</f>
        <v>35603</v>
      </c>
      <c r="Z40" s="350">
        <f>Y40/Y$4</f>
        <v>45.821106821106824</v>
      </c>
      <c r="AA40" s="295">
        <f>J40/(Z40*30)</f>
        <v>28.342505513225795</v>
      </c>
      <c r="AB40" s="295">
        <f>SUM(AB10,AB18,AB19,AB25,AB31:AB33,AB37:AB38)</f>
        <v>4356</v>
      </c>
      <c r="AC40" s="296">
        <f>X40/AB40</f>
        <v>2.7038567493112948</v>
      </c>
      <c r="AD40" s="294">
        <f>SUM(AD10,AD18,AD19,AD25,AD31:AD33,AD37:AD38)</f>
        <v>3538</v>
      </c>
      <c r="AE40" s="295">
        <f>SUM(AE10,AE18,AE19,AE25,AE31:AE33,AE37:AE38)</f>
        <v>16557</v>
      </c>
      <c r="AF40" s="350">
        <f>AE40/AE$4</f>
        <v>60.207272727272731</v>
      </c>
      <c r="AG40" s="295">
        <f>I40/(AF40*30)</f>
        <v>22.607629954299874</v>
      </c>
      <c r="AH40" s="295">
        <f>SUM(AH10,AH18,AH19,AH25,AH31:AH33,AH37:AH38)</f>
        <v>1374</v>
      </c>
      <c r="AI40" s="296">
        <f>AD40/AH40</f>
        <v>2.5749636098981079</v>
      </c>
      <c r="AJ40" s="294">
        <f>SUM(AJ10,AJ18,AJ19,AJ25,AJ31:AJ33,AJ37:AJ38)</f>
        <v>3934</v>
      </c>
      <c r="AK40" s="295">
        <f>SUM(AK10,AK18,AK19,AK25,AK31:AK33,AK37:AK38)</f>
        <v>18672</v>
      </c>
      <c r="AL40" s="350">
        <f>AK40/AK$4</f>
        <v>62.033222591362126</v>
      </c>
      <c r="AM40" s="295">
        <f>J40/(AL40*30)</f>
        <v>20.935313666586215</v>
      </c>
      <c r="AN40" s="295">
        <f>SUM(AN10,AN18,AN19,AN25,AN31:AN33,AN37:AN38)</f>
        <v>1508</v>
      </c>
      <c r="AO40" s="296">
        <f>AJ40/AN40</f>
        <v>2.6087533156498672</v>
      </c>
      <c r="AQ40" s="281">
        <v>30</v>
      </c>
      <c r="AR40" s="258" t="str">
        <f>$C40</f>
        <v>Total equipment losses (not 26, 29)</v>
      </c>
      <c r="AS40" s="294">
        <f>J40</f>
        <v>38960.549180979848</v>
      </c>
      <c r="AT40" s="400">
        <f>G40</f>
        <v>5.314451006338766</v>
      </c>
      <c r="AU40" s="295">
        <f t="shared" si="12"/>
        <v>11778</v>
      </c>
      <c r="AV40" s="295">
        <f t="shared" si="33"/>
        <v>35603</v>
      </c>
      <c r="AW40" s="350">
        <f>AV40/AV$4</f>
        <v>45.821106821106824</v>
      </c>
      <c r="AX40" s="295">
        <f>AS40/(AW40*30)</f>
        <v>28.342505513225795</v>
      </c>
      <c r="AY40" s="295">
        <f t="shared" si="21"/>
        <v>4356</v>
      </c>
      <c r="AZ40" s="296">
        <f>AU40/AY40</f>
        <v>2.7038567493112948</v>
      </c>
      <c r="BB40" s="281">
        <v>30</v>
      </c>
      <c r="BC40" s="258" t="str">
        <f>$C40</f>
        <v>Total equipment losses (not 26, 29)</v>
      </c>
      <c r="BD40" s="330">
        <f>J40</f>
        <v>38960.549180979848</v>
      </c>
      <c r="BE40" s="400">
        <f>G40</f>
        <v>5.314451006338766</v>
      </c>
      <c r="BF40" s="295">
        <f t="shared" ref="BF40" si="45">AJ40</f>
        <v>3934</v>
      </c>
      <c r="BG40" s="295">
        <f>AK40</f>
        <v>18672</v>
      </c>
      <c r="BH40" s="350">
        <f t="shared" ref="BH40" si="46">BG40/BG$4</f>
        <v>62.033222591362126</v>
      </c>
      <c r="BI40" s="295">
        <f>BD40/(BH40*30)</f>
        <v>20.935313666586215</v>
      </c>
      <c r="BJ40" s="295">
        <f t="shared" ref="BJ40" si="47">AN40</f>
        <v>1508</v>
      </c>
      <c r="BK40" s="404">
        <f t="shared" ref="BK40" si="48">BF40/BJ40</f>
        <v>2.6087533156498672</v>
      </c>
      <c r="BM40" s="281">
        <v>30</v>
      </c>
      <c r="BN40" s="258" t="str">
        <f>$C40</f>
        <v>Total equipment losses (not 26, 29)</v>
      </c>
      <c r="BO40" s="330">
        <f>J40</f>
        <v>38960.549180979848</v>
      </c>
      <c r="BP40" s="400">
        <f>G40</f>
        <v>5.314451006338766</v>
      </c>
      <c r="BQ40" s="347">
        <f>AW40</f>
        <v>45.821106821106824</v>
      </c>
      <c r="BR40" s="295">
        <f>$BO40/(BQ40*30)</f>
        <v>28.342505513225795</v>
      </c>
      <c r="BS40" s="337">
        <f t="shared" si="8"/>
        <v>2.7038567493112948</v>
      </c>
      <c r="BT40" s="347">
        <f>BH40</f>
        <v>62.033222591362126</v>
      </c>
      <c r="BU40" s="295">
        <f>$BO40/(BT40*30)</f>
        <v>20.935313666586215</v>
      </c>
      <c r="BV40" s="337">
        <f t="shared" si="9"/>
        <v>2.6087533156498672</v>
      </c>
    </row>
    <row r="41" spans="2:74" x14ac:dyDescent="0.35">
      <c r="B41" s="281">
        <v>31</v>
      </c>
      <c r="C41" s="285" t="s">
        <v>286</v>
      </c>
      <c r="D41" s="51"/>
      <c r="L41" s="99">
        <v>7059</v>
      </c>
      <c r="N41" s="306"/>
      <c r="O41" s="159"/>
      <c r="P41">
        <v>2383</v>
      </c>
      <c r="Q41" s="290">
        <f t="shared" si="1"/>
        <v>2.9622324800671422</v>
      </c>
      <c r="R41" s="159">
        <v>10463</v>
      </c>
      <c r="T41" s="306"/>
      <c r="U41" s="159"/>
      <c r="V41">
        <v>3707</v>
      </c>
      <c r="W41" s="290">
        <f t="shared" si="10"/>
        <v>2.8224979768006473</v>
      </c>
      <c r="X41" s="159">
        <v>10851</v>
      </c>
      <c r="Z41" s="306"/>
      <c r="AA41" s="159"/>
      <c r="AB41">
        <v>3830</v>
      </c>
      <c r="AC41" s="290">
        <f t="shared" ref="AC41:AC44" si="49">X41/AB41</f>
        <v>2.8331592689295038</v>
      </c>
      <c r="AD41" s="133">
        <f>R41-$L41</f>
        <v>3404</v>
      </c>
      <c r="AE41" s="133"/>
      <c r="AF41" s="133"/>
      <c r="AG41" s="159"/>
      <c r="AH41" s="133">
        <f>V41-$P41</f>
        <v>1324</v>
      </c>
      <c r="AI41" s="290">
        <f t="shared" si="40"/>
        <v>2.5709969788519635</v>
      </c>
      <c r="AJ41" s="133">
        <f>X41-$L41</f>
        <v>3792</v>
      </c>
      <c r="AK41" s="133"/>
      <c r="AL41" s="133"/>
      <c r="AM41" s="159"/>
      <c r="AN41" s="133">
        <f>AB41-$P41</f>
        <v>1447</v>
      </c>
      <c r="AO41" s="290">
        <f t="shared" ref="AO41:AO43" si="50">AJ41/AN41</f>
        <v>2.6205943331029715</v>
      </c>
      <c r="AQ41" s="281">
        <v>31</v>
      </c>
      <c r="AR41" s="285" t="s">
        <v>286</v>
      </c>
      <c r="AS41" s="51"/>
      <c r="AT41" s="123"/>
      <c r="AU41" s="159">
        <f t="shared" si="12"/>
        <v>10851</v>
      </c>
      <c r="AW41" s="306"/>
      <c r="AX41" s="306"/>
      <c r="AY41" s="159">
        <f t="shared" si="21"/>
        <v>3830</v>
      </c>
      <c r="AZ41" s="290">
        <f t="shared" ref="AZ41:AZ44" si="51">AU41/AY41</f>
        <v>2.8331592689295038</v>
      </c>
      <c r="BB41" s="281">
        <v>31</v>
      </c>
      <c r="BC41" s="285" t="s">
        <v>286</v>
      </c>
      <c r="BD41" s="123"/>
      <c r="BE41" s="123"/>
      <c r="BF41" s="159">
        <f>AJ41</f>
        <v>3792</v>
      </c>
      <c r="BG41" s="159"/>
      <c r="BH41" s="306"/>
      <c r="BI41" s="306"/>
      <c r="BJ41" s="159">
        <f t="shared" si="7"/>
        <v>1447</v>
      </c>
      <c r="BK41" s="290">
        <f t="shared" si="43"/>
        <v>2.6205943331029715</v>
      </c>
      <c r="BM41" s="281">
        <v>31</v>
      </c>
      <c r="BN41" s="285" t="s">
        <v>286</v>
      </c>
      <c r="BO41" s="123"/>
      <c r="BP41" s="123"/>
      <c r="BQ41" s="175"/>
      <c r="BR41" s="175"/>
      <c r="BS41" s="380">
        <f t="shared" si="8"/>
        <v>2.8331592689295038</v>
      </c>
      <c r="BT41" s="175"/>
      <c r="BU41" s="175"/>
      <c r="BV41" s="380">
        <f t="shared" si="9"/>
        <v>2.6205943331029715</v>
      </c>
    </row>
    <row r="42" spans="2:74" x14ac:dyDescent="0.35">
      <c r="B42" s="281">
        <v>32</v>
      </c>
      <c r="C42" s="285" t="s">
        <v>287</v>
      </c>
      <c r="D42" s="51"/>
      <c r="L42" s="99">
        <v>372</v>
      </c>
      <c r="N42" s="306"/>
      <c r="O42" s="159"/>
      <c r="P42">
        <v>232</v>
      </c>
      <c r="Q42" s="290">
        <f t="shared" si="1"/>
        <v>1.603448275862069</v>
      </c>
      <c r="R42" s="159">
        <v>677</v>
      </c>
      <c r="T42" s="306"/>
      <c r="U42" s="159"/>
      <c r="V42">
        <v>452</v>
      </c>
      <c r="W42" s="290">
        <f t="shared" si="10"/>
        <v>1.497787610619469</v>
      </c>
      <c r="X42" s="159">
        <v>698</v>
      </c>
      <c r="Z42" s="306"/>
      <c r="AA42" s="159"/>
      <c r="AB42">
        <v>474</v>
      </c>
      <c r="AC42" s="290">
        <f t="shared" si="49"/>
        <v>1.4725738396624473</v>
      </c>
      <c r="AD42" s="133">
        <f>R42-$L42</f>
        <v>305</v>
      </c>
      <c r="AE42" s="133"/>
      <c r="AF42" s="133"/>
      <c r="AG42" s="159"/>
      <c r="AH42" s="133">
        <f>V42-$P42</f>
        <v>220</v>
      </c>
      <c r="AI42" s="290">
        <f t="shared" si="40"/>
        <v>1.3863636363636365</v>
      </c>
      <c r="AJ42" s="133">
        <f>X42-$L42</f>
        <v>326</v>
      </c>
      <c r="AK42" s="133"/>
      <c r="AL42" s="133"/>
      <c r="AM42" s="159"/>
      <c r="AN42" s="133">
        <f>AB42-$P42</f>
        <v>242</v>
      </c>
      <c r="AO42" s="290">
        <f t="shared" si="50"/>
        <v>1.3471074380165289</v>
      </c>
      <c r="AQ42" s="281">
        <v>32</v>
      </c>
      <c r="AR42" s="285" t="s">
        <v>287</v>
      </c>
      <c r="AS42" s="51"/>
      <c r="AT42" s="123"/>
      <c r="AU42" s="159">
        <f t="shared" si="12"/>
        <v>698</v>
      </c>
      <c r="AW42" s="306"/>
      <c r="AX42" s="306"/>
      <c r="AY42" s="159">
        <f t="shared" ref="AY42:AY44" si="52">AB42</f>
        <v>474</v>
      </c>
      <c r="AZ42" s="290">
        <f t="shared" si="51"/>
        <v>1.4725738396624473</v>
      </c>
      <c r="BB42" s="281">
        <v>32</v>
      </c>
      <c r="BC42" s="285" t="s">
        <v>287</v>
      </c>
      <c r="BD42" s="123"/>
      <c r="BE42" s="123"/>
      <c r="BF42" s="159">
        <f>AJ42</f>
        <v>326</v>
      </c>
      <c r="BG42" s="159"/>
      <c r="BH42" s="306"/>
      <c r="BI42" s="306"/>
      <c r="BJ42" s="159">
        <f t="shared" si="7"/>
        <v>242</v>
      </c>
      <c r="BK42" s="290">
        <f t="shared" si="43"/>
        <v>1.3471074380165289</v>
      </c>
      <c r="BM42" s="281">
        <v>32</v>
      </c>
      <c r="BN42" s="285" t="s">
        <v>287</v>
      </c>
      <c r="BO42" s="123"/>
      <c r="BP42" s="123"/>
      <c r="BQ42" s="175"/>
      <c r="BR42" s="175"/>
      <c r="BS42" s="380">
        <f t="shared" si="8"/>
        <v>1.4725738396624473</v>
      </c>
      <c r="BT42" s="175"/>
      <c r="BU42" s="175"/>
      <c r="BV42" s="380">
        <f t="shared" si="9"/>
        <v>1.3471074380165289</v>
      </c>
    </row>
    <row r="43" spans="2:74" x14ac:dyDescent="0.35">
      <c r="B43" s="281">
        <v>33</v>
      </c>
      <c r="C43" s="285" t="s">
        <v>288</v>
      </c>
      <c r="D43" s="51"/>
      <c r="L43" s="99">
        <v>405</v>
      </c>
      <c r="N43" s="306"/>
      <c r="O43" s="159"/>
      <c r="P43">
        <v>126</v>
      </c>
      <c r="Q43" s="290">
        <f t="shared" si="1"/>
        <v>3.2142857142857144</v>
      </c>
      <c r="R43" s="159">
        <v>806</v>
      </c>
      <c r="T43" s="306"/>
      <c r="U43" s="159"/>
      <c r="V43">
        <v>212</v>
      </c>
      <c r="W43" s="290">
        <f t="shared" si="10"/>
        <v>3.8018867924528301</v>
      </c>
      <c r="X43" s="159">
        <v>853</v>
      </c>
      <c r="Z43" s="306"/>
      <c r="AA43" s="159"/>
      <c r="AB43">
        <v>223</v>
      </c>
      <c r="AC43" s="290">
        <f t="shared" si="49"/>
        <v>3.8251121076233185</v>
      </c>
      <c r="AD43" s="133">
        <f>R43-$L43</f>
        <v>401</v>
      </c>
      <c r="AE43" s="133"/>
      <c r="AF43" s="133"/>
      <c r="AG43" s="159"/>
      <c r="AH43" s="133">
        <f>V43-$P43</f>
        <v>86</v>
      </c>
      <c r="AI43" s="290">
        <f t="shared" si="40"/>
        <v>4.6627906976744189</v>
      </c>
      <c r="AJ43" s="133">
        <f>X43-$L43</f>
        <v>448</v>
      </c>
      <c r="AK43" s="133"/>
      <c r="AL43" s="133"/>
      <c r="AM43" s="159"/>
      <c r="AN43" s="133">
        <f>AB43-$P43</f>
        <v>97</v>
      </c>
      <c r="AO43" s="290">
        <f t="shared" si="50"/>
        <v>4.6185567010309274</v>
      </c>
      <c r="AQ43" s="281">
        <v>33</v>
      </c>
      <c r="AR43" s="285" t="s">
        <v>288</v>
      </c>
      <c r="AS43" s="51"/>
      <c r="AT43" s="123"/>
      <c r="AU43" s="159">
        <f t="shared" si="12"/>
        <v>853</v>
      </c>
      <c r="AW43" s="306"/>
      <c r="AX43" s="306"/>
      <c r="AY43" s="159">
        <f t="shared" si="52"/>
        <v>223</v>
      </c>
      <c r="AZ43" s="290">
        <f t="shared" si="51"/>
        <v>3.8251121076233185</v>
      </c>
      <c r="BB43" s="281">
        <v>33</v>
      </c>
      <c r="BC43" s="285" t="s">
        <v>288</v>
      </c>
      <c r="BD43" s="123"/>
      <c r="BE43" s="123"/>
      <c r="BF43" s="159">
        <f>AJ43</f>
        <v>448</v>
      </c>
      <c r="BG43" s="159"/>
      <c r="BH43" s="306"/>
      <c r="BI43" s="306"/>
      <c r="BJ43" s="159">
        <f t="shared" si="7"/>
        <v>97</v>
      </c>
      <c r="BK43" s="290">
        <f t="shared" si="43"/>
        <v>4.6185567010309274</v>
      </c>
      <c r="BM43" s="281">
        <v>33</v>
      </c>
      <c r="BN43" s="285" t="s">
        <v>288</v>
      </c>
      <c r="BO43" s="123"/>
      <c r="BP43" s="123"/>
      <c r="BQ43" s="175"/>
      <c r="BR43" s="175"/>
      <c r="BS43" s="380">
        <f t="shared" si="8"/>
        <v>3.8251121076233185</v>
      </c>
      <c r="BT43" s="175"/>
      <c r="BU43" s="175"/>
      <c r="BV43" s="380">
        <f t="shared" si="9"/>
        <v>4.6185567010309274</v>
      </c>
    </row>
    <row r="44" spans="2:74" x14ac:dyDescent="0.35">
      <c r="B44" s="281">
        <v>34</v>
      </c>
      <c r="C44" s="285" t="s">
        <v>256</v>
      </c>
      <c r="D44" s="51"/>
      <c r="L44" s="99">
        <v>2822</v>
      </c>
      <c r="N44" s="306"/>
      <c r="O44" s="159"/>
      <c r="P44">
        <v>906</v>
      </c>
      <c r="Q44" s="290">
        <f t="shared" si="1"/>
        <v>3.1147902869757176</v>
      </c>
      <c r="R44" s="159">
        <v>2938</v>
      </c>
      <c r="T44" s="306"/>
      <c r="U44" s="159"/>
      <c r="V44">
        <v>992</v>
      </c>
      <c r="W44" s="290">
        <f t="shared" si="10"/>
        <v>2.961693548387097</v>
      </c>
      <c r="X44" s="159">
        <v>2934</v>
      </c>
      <c r="Z44" s="306"/>
      <c r="AA44" s="159"/>
      <c r="AB44">
        <v>1007</v>
      </c>
      <c r="AC44" s="290">
        <f t="shared" si="49"/>
        <v>2.9136047666335649</v>
      </c>
      <c r="AD44" s="133">
        <f>R44-$L44</f>
        <v>116</v>
      </c>
      <c r="AE44" s="133"/>
      <c r="AF44" s="133"/>
      <c r="AG44" s="159"/>
      <c r="AH44" s="133">
        <f>V44-$P44</f>
        <v>86</v>
      </c>
      <c r="AI44" s="290">
        <f>AD44/AH44</f>
        <v>1.3488372093023255</v>
      </c>
      <c r="AJ44" s="133">
        <f>X44-$L44</f>
        <v>112</v>
      </c>
      <c r="AK44" s="133"/>
      <c r="AL44" s="133"/>
      <c r="AM44" s="159"/>
      <c r="AN44" s="133">
        <f>AB44-$P44</f>
        <v>101</v>
      </c>
      <c r="AO44" s="290">
        <f>AJ44/AN44</f>
        <v>1.108910891089109</v>
      </c>
      <c r="AQ44" s="281">
        <v>34</v>
      </c>
      <c r="AR44" s="285" t="s">
        <v>256</v>
      </c>
      <c r="AS44" s="51"/>
      <c r="AT44" s="123"/>
      <c r="AU44" s="159">
        <f t="shared" si="12"/>
        <v>2934</v>
      </c>
      <c r="AW44" s="306"/>
      <c r="AX44" s="306"/>
      <c r="AY44" s="159">
        <f t="shared" si="52"/>
        <v>1007</v>
      </c>
      <c r="AZ44" s="290">
        <f t="shared" si="51"/>
        <v>2.9136047666335649</v>
      </c>
      <c r="BB44" s="281">
        <v>34</v>
      </c>
      <c r="BC44" s="285" t="s">
        <v>256</v>
      </c>
      <c r="BD44" s="123"/>
      <c r="BE44" s="123"/>
      <c r="BF44" s="159">
        <f>AJ44</f>
        <v>112</v>
      </c>
      <c r="BG44" s="159"/>
      <c r="BH44" s="306"/>
      <c r="BI44" s="306"/>
      <c r="BJ44" s="159">
        <f t="shared" si="7"/>
        <v>101</v>
      </c>
      <c r="BK44" s="290">
        <f t="shared" si="43"/>
        <v>1.108910891089109</v>
      </c>
      <c r="BM44" s="281">
        <v>34</v>
      </c>
      <c r="BN44" s="285" t="s">
        <v>256</v>
      </c>
      <c r="BO44" s="123"/>
      <c r="BP44" s="123"/>
      <c r="BQ44" s="175"/>
      <c r="BR44" s="175"/>
      <c r="BS44" s="380">
        <f t="shared" si="8"/>
        <v>2.9136047666335649</v>
      </c>
      <c r="BT44" s="175"/>
      <c r="BU44" s="175"/>
      <c r="BV44" s="380">
        <f t="shared" si="9"/>
        <v>1.108910891089109</v>
      </c>
    </row>
    <row r="45" spans="2:74" x14ac:dyDescent="0.35">
      <c r="B45" s="281">
        <v>35</v>
      </c>
      <c r="C45" s="258" t="s">
        <v>331</v>
      </c>
      <c r="D45" s="297"/>
      <c r="E45" s="298"/>
      <c r="F45" s="298"/>
      <c r="G45" s="406">
        <f>(30000*12)/365</f>
        <v>986.30136986301375</v>
      </c>
      <c r="H45" s="299">
        <f>J45</f>
        <v>24582000</v>
      </c>
      <c r="I45" s="299">
        <f>J45</f>
        <v>24582000</v>
      </c>
      <c r="J45" s="299">
        <f>PopGDP!D10*1000000*0.17</f>
        <v>24582000</v>
      </c>
      <c r="K45" s="298"/>
      <c r="L45" s="297"/>
      <c r="M45" s="299">
        <v>217910</v>
      </c>
      <c r="N45" s="350">
        <f t="shared" ref="N45:N46" si="53">M45/M$4</f>
        <v>457.79411764705884</v>
      </c>
      <c r="O45" s="295">
        <f>H45/(N45*30)</f>
        <v>1789.8875682621265</v>
      </c>
      <c r="P45" s="299">
        <f>M45/Q40</f>
        <v>79118.776134625179</v>
      </c>
      <c r="Q45" s="296">
        <f>M45/P45</f>
        <v>2.7542134831460676</v>
      </c>
      <c r="R45" s="298"/>
      <c r="S45" s="299">
        <v>429580</v>
      </c>
      <c r="T45" s="350">
        <f t="shared" ref="T45:T46" si="54">S45/S$4</f>
        <v>572.01065246338214</v>
      </c>
      <c r="U45" s="295">
        <f>I45/(T45*30)</f>
        <v>1432.4908049722987</v>
      </c>
      <c r="V45" s="299">
        <f>S45/W40</f>
        <v>159346.93024073099</v>
      </c>
      <c r="W45" s="296">
        <f>S45/V45</f>
        <v>2.6958787304594978</v>
      </c>
      <c r="X45" s="298"/>
      <c r="Y45" s="299">
        <v>450890</v>
      </c>
      <c r="Z45" s="350">
        <f>Y45/Y$4</f>
        <v>580.29601029601031</v>
      </c>
      <c r="AA45" s="295">
        <f>J45/(Z45*30)</f>
        <v>1412.0379693495086</v>
      </c>
      <c r="AB45" s="299">
        <f>Y45/AC40</f>
        <v>166758.09475292917</v>
      </c>
      <c r="AC45" s="296">
        <f>Y45/AB45</f>
        <v>2.7038567493112948</v>
      </c>
      <c r="AD45" s="298"/>
      <c r="AE45" s="295">
        <f>S45-$M45</f>
        <v>211670</v>
      </c>
      <c r="AF45" s="347">
        <f t="shared" ref="AF45:AF46" si="55">AE45/AE$4</f>
        <v>769.70909090909095</v>
      </c>
      <c r="AG45" s="295">
        <f>I45/(AF45*30)</f>
        <v>1064.5580384560874</v>
      </c>
      <c r="AH45" s="299">
        <f>AE45/AI40</f>
        <v>82203.103448275855</v>
      </c>
      <c r="AI45" s="296">
        <f>AE45/AH45</f>
        <v>2.5749636098981079</v>
      </c>
      <c r="AJ45" s="298"/>
      <c r="AK45" s="295">
        <f>Y45-$M45</f>
        <v>232980</v>
      </c>
      <c r="AL45" s="347">
        <f t="shared" ref="AL45:AL46" si="56">AK45/AK$4</f>
        <v>774.01993355481727</v>
      </c>
      <c r="AM45" s="295">
        <f>J45/(AL45*30)</f>
        <v>1058.6290668726929</v>
      </c>
      <c r="AN45" s="299">
        <f>AK45/AO40</f>
        <v>89307.025927808849</v>
      </c>
      <c r="AO45" s="296">
        <f>AK45/AN45</f>
        <v>2.6087533156498672</v>
      </c>
      <c r="AQ45" s="281">
        <v>35</v>
      </c>
      <c r="AR45" s="258" t="str">
        <f>$C45</f>
        <v>Killed personnel unconfirmed</v>
      </c>
      <c r="AS45" s="409">
        <f>J45</f>
        <v>24582000</v>
      </c>
      <c r="AT45" s="407">
        <f>G45</f>
        <v>986.30136986301375</v>
      </c>
      <c r="AU45" s="298"/>
      <c r="AV45" s="295">
        <f t="shared" ref="AV45" si="57">Y45</f>
        <v>450890</v>
      </c>
      <c r="AW45" s="350">
        <f>AV45/AV$4</f>
        <v>580.29601029601031</v>
      </c>
      <c r="AX45" s="295">
        <f>AS45/(AW45*30)</f>
        <v>1412.0379693495086</v>
      </c>
      <c r="AY45" s="299">
        <f>AV45/AZ40</f>
        <v>166758.09475292917</v>
      </c>
      <c r="AZ45" s="296">
        <f>AV45/AY45</f>
        <v>2.7038567493112948</v>
      </c>
      <c r="BB45" s="281">
        <v>35</v>
      </c>
      <c r="BC45" s="258" t="str">
        <f>$C45</f>
        <v>Killed personnel unconfirmed</v>
      </c>
      <c r="BD45" s="407">
        <f>J45</f>
        <v>24582000</v>
      </c>
      <c r="BE45" s="410">
        <f>G45</f>
        <v>986.30136986301375</v>
      </c>
      <c r="BF45" s="298"/>
      <c r="BG45" s="295">
        <f>AK45</f>
        <v>232980</v>
      </c>
      <c r="BH45" s="350">
        <f>BG45/BG$4</f>
        <v>774.01993355481727</v>
      </c>
      <c r="BI45" s="295">
        <f>BD45/(BH45*30)</f>
        <v>1058.6290668726929</v>
      </c>
      <c r="BJ45" s="299">
        <f>BG45/BK40</f>
        <v>89307.025927808849</v>
      </c>
      <c r="BK45" s="296">
        <f>BG45/BJ45</f>
        <v>2.6087533156498672</v>
      </c>
      <c r="BM45" s="281">
        <v>35</v>
      </c>
      <c r="BN45" s="258" t="str">
        <f>$C45</f>
        <v>Killed personnel unconfirmed</v>
      </c>
      <c r="BO45" s="407">
        <f>J45</f>
        <v>24582000</v>
      </c>
      <c r="BP45" s="410">
        <f>G45</f>
        <v>986.30136986301375</v>
      </c>
      <c r="BQ45" s="347">
        <f>AW45</f>
        <v>580.29601029601031</v>
      </c>
      <c r="BR45" s="295">
        <f>$BO45/(BQ45*30)</f>
        <v>1412.0379693495086</v>
      </c>
      <c r="BS45" s="337">
        <f t="shared" si="8"/>
        <v>2.7038567493112948</v>
      </c>
      <c r="BT45" s="347">
        <f>BH45</f>
        <v>774.01993355481727</v>
      </c>
      <c r="BU45" s="295">
        <f>$BO45/(BT45*30)</f>
        <v>1058.6290668726929</v>
      </c>
      <c r="BV45" s="337">
        <f t="shared" si="9"/>
        <v>2.6087533156498672</v>
      </c>
    </row>
    <row r="46" spans="2:74" ht="15" thickBot="1" x14ac:dyDescent="0.4">
      <c r="B46" s="281">
        <v>36</v>
      </c>
      <c r="C46" s="271" t="s">
        <v>289</v>
      </c>
      <c r="D46" s="300"/>
      <c r="E46" s="301"/>
      <c r="F46" s="301"/>
      <c r="G46" s="301"/>
      <c r="H46" s="301"/>
      <c r="I46" s="301"/>
      <c r="J46" s="301"/>
      <c r="K46" s="301"/>
      <c r="L46" s="300"/>
      <c r="M46" s="302">
        <f>M45*3</f>
        <v>653730</v>
      </c>
      <c r="N46" s="351">
        <f t="shared" si="53"/>
        <v>1373.3823529411766</v>
      </c>
      <c r="O46" s="304"/>
      <c r="P46" s="302">
        <f>P45*3</f>
        <v>237356.32840387552</v>
      </c>
      <c r="Q46" s="303">
        <f>M46/P46</f>
        <v>2.7542134831460681</v>
      </c>
      <c r="R46" s="301"/>
      <c r="S46" s="302">
        <f>S45*3</f>
        <v>1288740</v>
      </c>
      <c r="T46" s="351">
        <f t="shared" si="54"/>
        <v>1716.0319573901465</v>
      </c>
      <c r="U46" s="304"/>
      <c r="V46" s="302">
        <f>V45*3</f>
        <v>478040.79072219296</v>
      </c>
      <c r="W46" s="303">
        <f>S46/V46</f>
        <v>2.6958787304594978</v>
      </c>
      <c r="X46" s="301"/>
      <c r="Y46" s="302">
        <f>Y45*3</f>
        <v>1352670</v>
      </c>
      <c r="Z46" s="351">
        <f t="shared" ref="Z46" si="58">Y46/Y$4</f>
        <v>1740.8880308880309</v>
      </c>
      <c r="AA46" s="351"/>
      <c r="AB46" s="302">
        <f>AB45*3</f>
        <v>500274.28425878752</v>
      </c>
      <c r="AC46" s="303">
        <f>Y46/AB46</f>
        <v>2.7038567493112948</v>
      </c>
      <c r="AD46" s="301"/>
      <c r="AE46" s="302">
        <f>AE45*3</f>
        <v>635010</v>
      </c>
      <c r="AF46" s="348">
        <f t="shared" si="55"/>
        <v>2309.1272727272726</v>
      </c>
      <c r="AG46" s="348"/>
      <c r="AH46" s="304">
        <f>AH45*3</f>
        <v>246609.31034482757</v>
      </c>
      <c r="AI46" s="303">
        <f>AE46/AH46</f>
        <v>2.5749636098981079</v>
      </c>
      <c r="AJ46" s="301"/>
      <c r="AK46" s="302">
        <f>AK45*3</f>
        <v>698940</v>
      </c>
      <c r="AL46" s="348">
        <f t="shared" si="56"/>
        <v>2322.0598006644518</v>
      </c>
      <c r="AM46" s="348"/>
      <c r="AN46" s="304">
        <f>AN45*3</f>
        <v>267921.07778342656</v>
      </c>
      <c r="AO46" s="303">
        <f>AK46/AN46</f>
        <v>2.6087533156498672</v>
      </c>
      <c r="AQ46" s="281">
        <v>36</v>
      </c>
      <c r="AR46" s="271" t="s">
        <v>289</v>
      </c>
      <c r="AS46" s="408"/>
      <c r="AT46" s="331"/>
      <c r="AU46" s="301"/>
      <c r="AV46" s="302">
        <f>AV45*3</f>
        <v>1352670</v>
      </c>
      <c r="AW46" s="351">
        <f t="shared" ref="AW46" si="59">AV46/AV$4</f>
        <v>1740.8880308880309</v>
      </c>
      <c r="AX46" s="351"/>
      <c r="AY46" s="302">
        <f>AY45*3</f>
        <v>500274.28425878752</v>
      </c>
      <c r="AZ46" s="303">
        <f>AV46/AY46</f>
        <v>2.7038567493112948</v>
      </c>
      <c r="BB46" s="281">
        <v>36</v>
      </c>
      <c r="BC46" s="271" t="s">
        <v>289</v>
      </c>
      <c r="BD46" s="331"/>
      <c r="BE46" s="331"/>
      <c r="BF46" s="301"/>
      <c r="BG46" s="302">
        <f>BG45*3</f>
        <v>698940</v>
      </c>
      <c r="BH46" s="351">
        <f t="shared" ref="BH46" si="60">BG46/BG$4</f>
        <v>2322.0598006644518</v>
      </c>
      <c r="BI46" s="351"/>
      <c r="BJ46" s="304">
        <f>BJ45*3</f>
        <v>267921.07778342656</v>
      </c>
      <c r="BK46" s="303">
        <f>BG46/BJ46</f>
        <v>2.6087533156498672</v>
      </c>
      <c r="BM46" s="281">
        <v>36</v>
      </c>
      <c r="BN46" s="271" t="s">
        <v>289</v>
      </c>
      <c r="BO46" s="331"/>
      <c r="BP46" s="398"/>
      <c r="BQ46" s="348">
        <f>AW46</f>
        <v>1740.8880308880309</v>
      </c>
      <c r="BR46" s="348"/>
      <c r="BS46" s="338">
        <f t="shared" si="8"/>
        <v>2.7038567493112948</v>
      </c>
      <c r="BT46" s="348">
        <f>BH46</f>
        <v>2322.0598006644518</v>
      </c>
      <c r="BU46" s="348"/>
      <c r="BV46" s="338">
        <f t="shared" si="9"/>
        <v>2.6087533156498672</v>
      </c>
    </row>
    <row r="47" spans="2:74" ht="15" thickTop="1" x14ac:dyDescent="0.35">
      <c r="B47" s="6" t="s">
        <v>290</v>
      </c>
      <c r="C47" s="305"/>
      <c r="D47" s="305"/>
      <c r="E47" s="305"/>
      <c r="F47" s="305"/>
      <c r="G47" s="305"/>
      <c r="H47" s="305"/>
      <c r="I47" s="305"/>
      <c r="J47" s="305"/>
      <c r="K47" s="305"/>
      <c r="AQ47" s="322" t="s">
        <v>290</v>
      </c>
      <c r="AR47" s="305"/>
      <c r="AS47" s="305"/>
      <c r="AT47" s="305"/>
      <c r="AU47" s="305"/>
      <c r="AV47" s="305"/>
      <c r="AW47" s="305"/>
      <c r="AX47" s="305"/>
      <c r="AY47" s="305"/>
      <c r="AZ47" s="305"/>
      <c r="BB47" s="322" t="s">
        <v>290</v>
      </c>
      <c r="BC47" s="305"/>
      <c r="BD47" s="305"/>
      <c r="BE47" s="305"/>
      <c r="BF47" s="305"/>
      <c r="BG47" s="305"/>
      <c r="BH47" s="305"/>
      <c r="BI47" s="305"/>
      <c r="BJ47" s="305"/>
      <c r="BK47" s="305"/>
      <c r="BM47" s="322" t="s">
        <v>290</v>
      </c>
      <c r="BN47" s="305"/>
      <c r="BO47" s="305"/>
      <c r="BP47" s="305"/>
      <c r="BQ47" s="305"/>
      <c r="BR47" s="305"/>
      <c r="BS47" s="305"/>
      <c r="BT47" s="305"/>
      <c r="BU47" s="305"/>
      <c r="BV47" s="305"/>
    </row>
    <row r="49" spans="2:66" x14ac:dyDescent="0.35">
      <c r="C49" t="s">
        <v>291</v>
      </c>
      <c r="K49" s="159"/>
      <c r="L49" s="159">
        <f>SUM(L41:L44)-L36</f>
        <v>10412</v>
      </c>
      <c r="P49" s="159">
        <f>SUM(P41:P44)-P36</f>
        <v>3503</v>
      </c>
      <c r="Q49" s="306">
        <f>L49/P49</f>
        <v>2.972309449043677</v>
      </c>
      <c r="R49" s="159">
        <f>SUM(R41:R44)-R36</f>
        <v>14533</v>
      </c>
      <c r="V49" s="159">
        <f>SUM(V41:V44)-V36</f>
        <v>5065</v>
      </c>
      <c r="W49" s="306">
        <f>R49/V49</f>
        <v>2.8692991115498518</v>
      </c>
      <c r="X49" s="159">
        <f>SUM(X41:X44)-X36</f>
        <v>14980</v>
      </c>
      <c r="AB49" s="159">
        <f>SUM(AB41:AB44)-AB36</f>
        <v>5217</v>
      </c>
      <c r="AC49" s="306">
        <f>X49/AB49</f>
        <v>2.8713820203181903</v>
      </c>
      <c r="AD49" s="159">
        <f>SUM(AD41:AD44)-AD36</f>
        <v>4121</v>
      </c>
      <c r="AH49" s="159">
        <f>SUM(AH41:AH44)-AH36</f>
        <v>1562</v>
      </c>
      <c r="AI49" s="306">
        <f>AD49/AH49</f>
        <v>2.6382842509603073</v>
      </c>
      <c r="AJ49" s="159">
        <f>SUM(AJ41:AJ44)-AJ36</f>
        <v>4568</v>
      </c>
      <c r="AN49" s="159">
        <f>SUM(AN41:AN44)-AN36</f>
        <v>1714</v>
      </c>
      <c r="AO49" s="306">
        <f>AJ49/AN49</f>
        <v>2.6651108518086346</v>
      </c>
      <c r="AR49" t="s">
        <v>291</v>
      </c>
      <c r="BC49" t="s">
        <v>291</v>
      </c>
      <c r="BN49" t="s">
        <v>291</v>
      </c>
    </row>
    <row r="50" spans="2:66" x14ac:dyDescent="0.35">
      <c r="C50" t="s">
        <v>292</v>
      </c>
      <c r="F50">
        <f>DATEDIF($D$9,H$9,"M")</f>
        <v>15</v>
      </c>
      <c r="H50">
        <f>DATEDIF($D$9,I$9,"M")</f>
        <v>24</v>
      </c>
      <c r="L50" t="s">
        <v>293</v>
      </c>
      <c r="P50" t="s">
        <v>293</v>
      </c>
      <c r="R50" t="s">
        <v>293</v>
      </c>
      <c r="V50" t="s">
        <v>293</v>
      </c>
      <c r="X50" t="s">
        <v>293</v>
      </c>
      <c r="AB50" t="s">
        <v>293</v>
      </c>
      <c r="AD50" t="s">
        <v>293</v>
      </c>
      <c r="AH50" t="s">
        <v>293</v>
      </c>
      <c r="AJ50" t="s">
        <v>293</v>
      </c>
      <c r="AN50" t="s">
        <v>293</v>
      </c>
      <c r="AR50" t="s">
        <v>292</v>
      </c>
      <c r="BC50" t="s">
        <v>292</v>
      </c>
      <c r="BN50" t="s">
        <v>292</v>
      </c>
    </row>
    <row r="51" spans="2:66" x14ac:dyDescent="0.35">
      <c r="R51" s="96">
        <f>(R49-$L49)/$L49</f>
        <v>0.39579331540530155</v>
      </c>
      <c r="V51" s="96">
        <f>(V49-P49)/P49</f>
        <v>0.4459035112760491</v>
      </c>
      <c r="X51" s="96">
        <f>(X49-$L49)/$L49</f>
        <v>0.43872454859777182</v>
      </c>
      <c r="AB51" s="96">
        <f>(AB49-V49)/V49</f>
        <v>3.0009871668311944E-2</v>
      </c>
    </row>
    <row r="52" spans="2:66" x14ac:dyDescent="0.35">
      <c r="R52" s="159">
        <f>R49-L49</f>
        <v>4121</v>
      </c>
      <c r="V52" s="159">
        <f>V49-P49</f>
        <v>1562</v>
      </c>
      <c r="W52">
        <f>R52/V52</f>
        <v>2.6382842509603073</v>
      </c>
      <c r="X52" s="159">
        <f>X49-R49</f>
        <v>447</v>
      </c>
      <c r="AB52" s="159">
        <f>AB49-V49</f>
        <v>152</v>
      </c>
      <c r="AC52">
        <f>X52/AB52</f>
        <v>2.9407894736842106</v>
      </c>
    </row>
    <row r="54" spans="2:66" ht="19" thickBot="1" x14ac:dyDescent="0.5">
      <c r="B54" s="307" t="s">
        <v>386</v>
      </c>
      <c r="AQ54" s="307"/>
      <c r="BB54" s="307"/>
      <c r="BM54" s="307"/>
    </row>
    <row r="55" spans="2:66" ht="15.5" thickTop="1" thickBot="1" x14ac:dyDescent="0.4">
      <c r="B55" s="5"/>
      <c r="C55" s="19"/>
      <c r="D55" s="19"/>
      <c r="E55" s="19"/>
      <c r="F55" s="19"/>
      <c r="G55" s="19"/>
      <c r="H55" s="19"/>
      <c r="I55" s="19"/>
      <c r="J55" s="19"/>
      <c r="K55" s="19"/>
      <c r="L55" s="6" t="str">
        <f>L6</f>
        <v>Losses from Feb. 24, 2022 to Jun. 15, 2023</v>
      </c>
      <c r="M55" s="19"/>
      <c r="N55" s="19"/>
      <c r="O55" s="19"/>
      <c r="P55" s="19"/>
      <c r="Q55" s="19"/>
      <c r="R55" s="308" t="str">
        <f>R6</f>
        <v>Losses from Feb. 24, 2022 to Mar. 16, 2024</v>
      </c>
      <c r="S55" s="19"/>
      <c r="T55" s="19"/>
      <c r="U55" s="19"/>
      <c r="V55" s="19"/>
      <c r="W55" s="19"/>
      <c r="X55" s="308" t="str">
        <f>X6</f>
        <v>Losses from Feb. 24, 2022 to Apr. 11, 2024</v>
      </c>
      <c r="Y55" s="19"/>
      <c r="Z55" s="19"/>
      <c r="AA55" s="19"/>
      <c r="AB55" s="19"/>
      <c r="AC55" s="19"/>
      <c r="AD55" s="245" t="s">
        <v>242</v>
      </c>
      <c r="AE55" s="246"/>
      <c r="AF55" s="246"/>
      <c r="AG55" s="246"/>
      <c r="AH55" s="246"/>
      <c r="AI55" s="247"/>
      <c r="AJ55" s="245" t="s">
        <v>242</v>
      </c>
      <c r="AK55" s="246"/>
      <c r="AL55" s="246"/>
      <c r="AM55" s="246"/>
      <c r="AN55" s="246"/>
      <c r="AO55" s="247"/>
    </row>
    <row r="56" spans="2:66" ht="15" thickTop="1" x14ac:dyDescent="0.35">
      <c r="B56" s="309" t="s">
        <v>238</v>
      </c>
      <c r="C56" s="249" t="s">
        <v>239</v>
      </c>
      <c r="D56" s="310" t="str">
        <f t="shared" ref="D56:W58" si="61">D7</f>
        <v>Russian active</v>
      </c>
      <c r="E56" s="249" t="str">
        <f t="shared" si="61"/>
        <v>Russian active &amp;</v>
      </c>
      <c r="F56" s="249" t="str">
        <f t="shared" ref="F56:I56" si="62">F7</f>
        <v>Russian new</v>
      </c>
      <c r="G56" s="249" t="str">
        <f t="shared" ref="G56" si="63">G7</f>
        <v>Russian new</v>
      </c>
      <c r="H56" s="249" t="str">
        <f t="shared" si="62"/>
        <v>Russian active &amp;</v>
      </c>
      <c r="I56" s="249" t="str">
        <f t="shared" si="62"/>
        <v>Russian active &amp;</v>
      </c>
      <c r="J56" s="249" t="str">
        <f t="shared" ref="J56" si="64">J7</f>
        <v>Russian active &amp;</v>
      </c>
      <c r="K56" s="249" t="str">
        <f t="shared" si="61"/>
        <v>Ukraine active &amp;</v>
      </c>
      <c r="L56" s="249" t="str">
        <f t="shared" si="61"/>
        <v>Russian</v>
      </c>
      <c r="M56" s="249" t="str">
        <f t="shared" si="61"/>
        <v>Russian</v>
      </c>
      <c r="N56" s="249" t="str">
        <f t="shared" ref="N56:O56" si="65">N7</f>
        <v>Russian avg.</v>
      </c>
      <c r="O56" s="249" t="str">
        <f t="shared" si="65"/>
        <v>Months left</v>
      </c>
      <c r="P56" s="249" t="str">
        <f t="shared" si="61"/>
        <v>Ukraine</v>
      </c>
      <c r="Q56" s="250" t="str">
        <f t="shared" si="61"/>
        <v>Kill ratios</v>
      </c>
      <c r="R56" s="249" t="str">
        <f t="shared" si="61"/>
        <v>Russian</v>
      </c>
      <c r="S56" s="249" t="str">
        <f t="shared" si="61"/>
        <v>Russian</v>
      </c>
      <c r="T56" s="249" t="str">
        <f t="shared" ref="T56:U56" si="66">T7</f>
        <v>Russian avg.</v>
      </c>
      <c r="U56" s="249" t="str">
        <f t="shared" si="66"/>
        <v>Months left</v>
      </c>
      <c r="V56" s="249" t="str">
        <f t="shared" si="61"/>
        <v>Ukraine</v>
      </c>
      <c r="W56" s="250" t="str">
        <f t="shared" si="61"/>
        <v>Kill ratios</v>
      </c>
      <c r="X56" s="249" t="str">
        <f t="shared" ref="X56:Y56" si="67">X7</f>
        <v>Russian</v>
      </c>
      <c r="Y56" s="249" t="str">
        <f t="shared" si="67"/>
        <v>Russian</v>
      </c>
      <c r="Z56" s="249" t="str">
        <f t="shared" ref="Z56:AA56" si="68">Z7</f>
        <v>Russian avg.</v>
      </c>
      <c r="AA56" s="249" t="str">
        <f t="shared" si="68"/>
        <v>Months left</v>
      </c>
      <c r="AB56" s="249" t="str">
        <f t="shared" ref="AB56:AC56" si="69">AB7</f>
        <v>Ukraine</v>
      </c>
      <c r="AC56" s="250" t="str">
        <f t="shared" si="69"/>
        <v>Kill ratios</v>
      </c>
      <c r="AD56" s="254" t="str">
        <f>$L56</f>
        <v>Russian</v>
      </c>
      <c r="AE56" s="255" t="str">
        <f>$M56</f>
        <v>Russian</v>
      </c>
      <c r="AF56" s="255" t="str">
        <f>$N56</f>
        <v>Russian avg.</v>
      </c>
      <c r="AG56" s="255"/>
      <c r="AH56" s="255" t="str">
        <f>$P56</f>
        <v>Ukraine</v>
      </c>
      <c r="AI56" s="256" t="str">
        <f>$Q56</f>
        <v>Kill ratios</v>
      </c>
      <c r="AJ56" s="254" t="str">
        <f>$L56</f>
        <v>Russian</v>
      </c>
      <c r="AK56" s="255" t="str">
        <f>$M56</f>
        <v>Russian</v>
      </c>
      <c r="AL56" s="255" t="str">
        <f>$N56</f>
        <v>Russian avg.</v>
      </c>
      <c r="AM56" s="255"/>
      <c r="AN56" s="255" t="str">
        <f>$P56</f>
        <v>Ukraine</v>
      </c>
      <c r="AO56" s="256" t="str">
        <f>$Q56</f>
        <v>Kill ratios</v>
      </c>
      <c r="AQ56" s="324"/>
      <c r="AR56" s="3"/>
      <c r="BB56" s="324"/>
      <c r="BC56" s="3"/>
      <c r="BM56" s="324"/>
      <c r="BN56" s="3"/>
    </row>
    <row r="57" spans="2:66" x14ac:dyDescent="0.35">
      <c r="B57" s="311"/>
      <c r="C57" s="262"/>
      <c r="D57" s="312" t="str">
        <f t="shared" si="61"/>
        <v xml:space="preserve">stock on </v>
      </c>
      <c r="E57" s="262" t="str">
        <f t="shared" si="61"/>
        <v xml:space="preserve">passive stock on </v>
      </c>
      <c r="F57" s="262" t="str">
        <f t="shared" ref="F57:I57" si="70">F8</f>
        <v>production</v>
      </c>
      <c r="G57" s="262" t="str">
        <f t="shared" ref="G57" si="71">G8</f>
        <v>production</v>
      </c>
      <c r="H57" s="262" t="str">
        <f t="shared" si="70"/>
        <v xml:space="preserve">passive stock on </v>
      </c>
      <c r="I57" s="262" t="str">
        <f t="shared" si="70"/>
        <v xml:space="preserve">passive stock on </v>
      </c>
      <c r="J57" s="262" t="str">
        <f t="shared" ref="J57" si="72">J8</f>
        <v xml:space="preserve">passive stock on </v>
      </c>
      <c r="K57" s="262" t="str">
        <f t="shared" si="61"/>
        <v xml:space="preserve">passive stock on </v>
      </c>
      <c r="L57" s="262" t="str">
        <f t="shared" si="61"/>
        <v xml:space="preserve">losses </v>
      </c>
      <c r="M57" s="262" t="str">
        <f t="shared" si="61"/>
        <v>losses</v>
      </c>
      <c r="N57" s="262" t="str">
        <f t="shared" ref="N57:O57" si="73">N8</f>
        <v>losses unco.</v>
      </c>
      <c r="O57" s="262" t="str">
        <f t="shared" si="73"/>
        <v xml:space="preserve">to depletion </v>
      </c>
      <c r="P57" s="262" t="str">
        <f t="shared" si="61"/>
        <v xml:space="preserve">losses </v>
      </c>
      <c r="Q57" s="263" t="str">
        <f t="shared" si="61"/>
        <v>RUS/UKR</v>
      </c>
      <c r="R57" s="262" t="str">
        <f t="shared" si="61"/>
        <v xml:space="preserve">losses </v>
      </c>
      <c r="S57" s="262" t="str">
        <f t="shared" si="61"/>
        <v>losses</v>
      </c>
      <c r="T57" s="262" t="str">
        <f t="shared" ref="T57:U57" si="74">T8</f>
        <v>losses unco.</v>
      </c>
      <c r="U57" s="262" t="str">
        <f t="shared" si="74"/>
        <v xml:space="preserve">to depletion </v>
      </c>
      <c r="V57" s="262" t="str">
        <f t="shared" si="61"/>
        <v xml:space="preserve">losses </v>
      </c>
      <c r="W57" s="263" t="str">
        <f t="shared" si="61"/>
        <v>RUS/UKR</v>
      </c>
      <c r="X57" s="262" t="str">
        <f t="shared" ref="X57:Y57" si="75">X8</f>
        <v xml:space="preserve">losses </v>
      </c>
      <c r="Y57" s="262" t="str">
        <f t="shared" si="75"/>
        <v>losses</v>
      </c>
      <c r="Z57" s="262" t="str">
        <f t="shared" ref="Z57:AA57" si="76">Z8</f>
        <v>losses unco.</v>
      </c>
      <c r="AA57" s="262" t="str">
        <f t="shared" si="76"/>
        <v xml:space="preserve">to depletion </v>
      </c>
      <c r="AB57" s="262" t="str">
        <f t="shared" ref="AB57:AC57" si="77">AB8</f>
        <v xml:space="preserve">losses </v>
      </c>
      <c r="AC57" s="263" t="str">
        <f t="shared" si="77"/>
        <v>RUS/UKR</v>
      </c>
      <c r="AD57" s="267" t="str">
        <f>$L57</f>
        <v xml:space="preserve">losses </v>
      </c>
      <c r="AE57" s="268" t="str">
        <f>$M57</f>
        <v>losses</v>
      </c>
      <c r="AF57" s="268" t="str">
        <f>$N57</f>
        <v>losses unco.</v>
      </c>
      <c r="AG57" s="268"/>
      <c r="AH57" s="268" t="str">
        <f>$P57</f>
        <v xml:space="preserve">losses </v>
      </c>
      <c r="AI57" s="269" t="str">
        <f>$Q57</f>
        <v>RUS/UKR</v>
      </c>
      <c r="AJ57" s="267" t="str">
        <f>$L57</f>
        <v xml:space="preserve">losses </v>
      </c>
      <c r="AK57" s="268" t="str">
        <f>$M57</f>
        <v>losses</v>
      </c>
      <c r="AL57" s="268" t="str">
        <f>$N57</f>
        <v>losses unco.</v>
      </c>
      <c r="AM57" s="268"/>
      <c r="AN57" s="268" t="str">
        <f>$P57</f>
        <v xml:space="preserve">losses </v>
      </c>
      <c r="AO57" s="269" t="str">
        <f>$Q57</f>
        <v>RUS/UKR</v>
      </c>
      <c r="AQ57" s="324"/>
      <c r="AR57" s="3"/>
      <c r="BB57" s="324"/>
      <c r="BC57" s="3"/>
      <c r="BM57" s="324"/>
      <c r="BN57" s="3"/>
    </row>
    <row r="58" spans="2:66" ht="15" thickBot="1" x14ac:dyDescent="0.4">
      <c r="B58" s="313"/>
      <c r="C58" s="273"/>
      <c r="D58" s="401">
        <f t="shared" si="61"/>
        <v>44616</v>
      </c>
      <c r="E58" s="402">
        <f t="shared" si="61"/>
        <v>44616</v>
      </c>
      <c r="F58" s="273" t="str">
        <f t="shared" ref="F58:I58" si="78">F9</f>
        <v>annually 2023</v>
      </c>
      <c r="G58" s="273" t="str">
        <f t="shared" ref="G58" si="79">G9</f>
        <v>daily in 2023</v>
      </c>
      <c r="H58" s="402">
        <f t="shared" si="78"/>
        <v>45092</v>
      </c>
      <c r="I58" s="402">
        <f t="shared" si="78"/>
        <v>45367</v>
      </c>
      <c r="J58" s="402">
        <f t="shared" ref="J58:K58" si="80">J9</f>
        <v>45393</v>
      </c>
      <c r="K58" s="402">
        <f t="shared" si="80"/>
        <v>44616</v>
      </c>
      <c r="L58" s="273" t="str">
        <f t="shared" si="61"/>
        <v>confirmed</v>
      </c>
      <c r="M58" s="273" t="str">
        <f t="shared" si="61"/>
        <v>unconfi.</v>
      </c>
      <c r="N58" s="273" t="str">
        <f t="shared" ref="N58:O58" si="81">N9</f>
        <v>per day</v>
      </c>
      <c r="O58" s="273" t="str">
        <f t="shared" si="81"/>
        <v>of all stocks</v>
      </c>
      <c r="P58" s="273" t="str">
        <f t="shared" si="61"/>
        <v>confirmed</v>
      </c>
      <c r="Q58" s="274" t="str">
        <f t="shared" si="61"/>
        <v>confirmed</v>
      </c>
      <c r="R58" s="273" t="str">
        <f t="shared" si="61"/>
        <v>confirmed</v>
      </c>
      <c r="S58" s="273" t="str">
        <f t="shared" si="61"/>
        <v>unconfi.</v>
      </c>
      <c r="T58" s="273" t="str">
        <f t="shared" ref="T58:U58" si="82">T9</f>
        <v>per day</v>
      </c>
      <c r="U58" s="273" t="str">
        <f t="shared" si="82"/>
        <v>of all stocks</v>
      </c>
      <c r="V58" s="273" t="str">
        <f t="shared" si="61"/>
        <v>confirmed</v>
      </c>
      <c r="W58" s="274" t="str">
        <f t="shared" si="61"/>
        <v>confirmed</v>
      </c>
      <c r="X58" s="273" t="str">
        <f t="shared" ref="X58:Y58" si="83">X9</f>
        <v>confirmed</v>
      </c>
      <c r="Y58" s="273" t="str">
        <f t="shared" si="83"/>
        <v>unconfi.</v>
      </c>
      <c r="Z58" s="273" t="str">
        <f t="shared" ref="Z58:AA58" si="84">Z9</f>
        <v>per day</v>
      </c>
      <c r="AA58" s="273" t="str">
        <f t="shared" si="84"/>
        <v>of all stocks</v>
      </c>
      <c r="AB58" s="273" t="str">
        <f t="shared" ref="AB58:AC58" si="85">AB9</f>
        <v>confirmed</v>
      </c>
      <c r="AC58" s="274" t="str">
        <f t="shared" si="85"/>
        <v>confirmed</v>
      </c>
      <c r="AD58" s="278" t="str">
        <f>$L58</f>
        <v>confirmed</v>
      </c>
      <c r="AE58" s="279" t="str">
        <f>$M58</f>
        <v>unconfi.</v>
      </c>
      <c r="AF58" s="279" t="str">
        <f>$N58</f>
        <v>per day</v>
      </c>
      <c r="AG58" s="279"/>
      <c r="AH58" s="279" t="str">
        <f>$P58</f>
        <v>confirmed</v>
      </c>
      <c r="AI58" s="280" t="str">
        <f>$Q58</f>
        <v>confirmed</v>
      </c>
      <c r="AJ58" s="278" t="str">
        <f>$L58</f>
        <v>confirmed</v>
      </c>
      <c r="AK58" s="279" t="str">
        <f>$M58</f>
        <v>unconfi.</v>
      </c>
      <c r="AL58" s="279" t="str">
        <f>$N58</f>
        <v>per day</v>
      </c>
      <c r="AM58" s="279"/>
      <c r="AN58" s="279" t="str">
        <f>$P58</f>
        <v>confirmed</v>
      </c>
      <c r="AO58" s="280" t="str">
        <f>$Q58</f>
        <v>confirmed</v>
      </c>
      <c r="AQ58" s="324"/>
      <c r="AR58" s="3"/>
      <c r="BB58" s="324"/>
      <c r="BC58" s="3"/>
      <c r="BM58" s="324"/>
      <c r="BN58" s="3"/>
    </row>
    <row r="59" spans="2:66" ht="15" thickTop="1" x14ac:dyDescent="0.35">
      <c r="B59" s="257">
        <v>1</v>
      </c>
      <c r="C59" s="258" t="str">
        <f>C10</f>
        <v>Tanks</v>
      </c>
      <c r="D59" s="314" t="s">
        <v>294</v>
      </c>
      <c r="E59" s="4" t="s">
        <v>295</v>
      </c>
      <c r="F59" t="s">
        <v>312</v>
      </c>
      <c r="G59" t="s">
        <v>35</v>
      </c>
      <c r="H59" t="s">
        <v>35</v>
      </c>
      <c r="I59" t="s">
        <v>35</v>
      </c>
      <c r="J59" t="s">
        <v>35</v>
      </c>
      <c r="K59" s="315" t="s">
        <v>296</v>
      </c>
      <c r="L59" t="s">
        <v>297</v>
      </c>
      <c r="M59" s="4" t="s">
        <v>298</v>
      </c>
      <c r="O59" t="s">
        <v>35</v>
      </c>
      <c r="P59" t="s">
        <v>299</v>
      </c>
      <c r="Q59" s="284" t="s">
        <v>35</v>
      </c>
      <c r="R59" s="20" t="s">
        <v>297</v>
      </c>
      <c r="S59" t="s">
        <v>295</v>
      </c>
      <c r="T59" t="s">
        <v>35</v>
      </c>
      <c r="U59" t="s">
        <v>35</v>
      </c>
      <c r="V59" s="20" t="s">
        <v>299</v>
      </c>
      <c r="W59" s="284" t="s">
        <v>35</v>
      </c>
      <c r="X59" s="20" t="s">
        <v>297</v>
      </c>
      <c r="Y59" s="4" t="s">
        <v>378</v>
      </c>
      <c r="AB59" s="20" t="s">
        <v>299</v>
      </c>
      <c r="AC59" s="284" t="s">
        <v>35</v>
      </c>
      <c r="AD59" s="287" t="s">
        <v>35</v>
      </c>
      <c r="AE59" s="287" t="s">
        <v>35</v>
      </c>
      <c r="AF59" s="287"/>
      <c r="AG59" s="287"/>
      <c r="AH59" s="287" t="s">
        <v>35</v>
      </c>
      <c r="AI59" s="316" t="s">
        <v>35</v>
      </c>
      <c r="AJ59" s="287" t="s">
        <v>35</v>
      </c>
      <c r="AK59" s="287" t="s">
        <v>35</v>
      </c>
      <c r="AL59" s="287"/>
      <c r="AM59" s="287"/>
      <c r="AN59" s="287" t="s">
        <v>35</v>
      </c>
      <c r="AO59" s="316" t="s">
        <v>35</v>
      </c>
      <c r="AQ59" s="324"/>
      <c r="AR59" s="3"/>
      <c r="BB59" s="324"/>
      <c r="BC59" s="3"/>
      <c r="BM59" s="324"/>
      <c r="BN59" s="3"/>
    </row>
    <row r="60" spans="2:66" x14ac:dyDescent="0.35">
      <c r="B60" s="257">
        <v>1.2</v>
      </c>
      <c r="C60" s="285" t="str">
        <f t="shared" ref="C60:C95" si="86">C11</f>
        <v>of which captured</v>
      </c>
      <c r="D60" s="314"/>
      <c r="E60" s="315"/>
      <c r="F60" s="315"/>
      <c r="G60" s="315"/>
      <c r="H60" s="315"/>
      <c r="I60" s="315"/>
      <c r="J60" s="315"/>
      <c r="K60" s="317" t="s">
        <v>34</v>
      </c>
      <c r="L60" s="314" t="s">
        <v>297</v>
      </c>
      <c r="M60" t="s">
        <v>34</v>
      </c>
      <c r="P60" s="315" t="s">
        <v>299</v>
      </c>
      <c r="Q60" s="284" t="s">
        <v>35</v>
      </c>
      <c r="R60" s="314" t="s">
        <v>297</v>
      </c>
      <c r="S60" t="s">
        <v>34</v>
      </c>
      <c r="V60" s="315" t="s">
        <v>299</v>
      </c>
      <c r="W60" s="284" t="s">
        <v>35</v>
      </c>
      <c r="X60" s="314" t="s">
        <v>297</v>
      </c>
      <c r="Y60" t="s">
        <v>34</v>
      </c>
      <c r="AB60" s="315" t="s">
        <v>299</v>
      </c>
      <c r="AC60" s="284" t="s">
        <v>35</v>
      </c>
      <c r="AD60" s="287" t="s">
        <v>35</v>
      </c>
      <c r="AE60" s="287" t="s">
        <v>35</v>
      </c>
      <c r="AF60" s="287"/>
      <c r="AG60" s="287"/>
      <c r="AH60" s="287" t="s">
        <v>35</v>
      </c>
      <c r="AI60" s="316" t="s">
        <v>35</v>
      </c>
      <c r="AJ60" s="287" t="s">
        <v>35</v>
      </c>
      <c r="AK60" s="287" t="s">
        <v>35</v>
      </c>
      <c r="AL60" s="287"/>
      <c r="AM60" s="287"/>
      <c r="AN60" s="287" t="s">
        <v>35</v>
      </c>
      <c r="AO60" s="316" t="s">
        <v>35</v>
      </c>
      <c r="AQ60" s="324"/>
      <c r="BB60" s="324"/>
      <c r="BM60" s="324"/>
    </row>
    <row r="61" spans="2:66" x14ac:dyDescent="0.35">
      <c r="B61" s="257">
        <v>2</v>
      </c>
      <c r="C61" s="258" t="str">
        <f t="shared" si="86"/>
        <v>Armored fighting vehicles</v>
      </c>
      <c r="D61" s="99"/>
      <c r="E61" s="159"/>
      <c r="F61" s="159"/>
      <c r="G61" s="159"/>
      <c r="H61" s="159"/>
      <c r="I61" s="159"/>
      <c r="J61" s="159"/>
      <c r="K61" s="159" t="s">
        <v>34</v>
      </c>
      <c r="L61" s="314" t="s">
        <v>297</v>
      </c>
      <c r="M61" t="s">
        <v>34</v>
      </c>
      <c r="P61" s="315" t="s">
        <v>299</v>
      </c>
      <c r="Q61" s="284" t="s">
        <v>35</v>
      </c>
      <c r="R61" s="314" t="s">
        <v>297</v>
      </c>
      <c r="S61" t="s">
        <v>34</v>
      </c>
      <c r="V61" s="315" t="s">
        <v>299</v>
      </c>
      <c r="W61" s="284" t="s">
        <v>35</v>
      </c>
      <c r="X61" s="314" t="s">
        <v>297</v>
      </c>
      <c r="Y61" t="s">
        <v>34</v>
      </c>
      <c r="AB61" s="315" t="s">
        <v>299</v>
      </c>
      <c r="AC61" s="284" t="s">
        <v>35</v>
      </c>
      <c r="AD61" s="287" t="s">
        <v>35</v>
      </c>
      <c r="AE61" s="287" t="s">
        <v>35</v>
      </c>
      <c r="AF61" s="287"/>
      <c r="AG61" s="287"/>
      <c r="AH61" s="287" t="s">
        <v>35</v>
      </c>
      <c r="AI61" s="316" t="s">
        <v>35</v>
      </c>
      <c r="AJ61" s="287" t="s">
        <v>35</v>
      </c>
      <c r="AK61" s="287" t="s">
        <v>35</v>
      </c>
      <c r="AL61" s="287"/>
      <c r="AM61" s="287"/>
      <c r="AN61" s="287" t="s">
        <v>35</v>
      </c>
      <c r="AO61" s="316" t="s">
        <v>35</v>
      </c>
      <c r="AQ61" s="324"/>
      <c r="AR61" s="3"/>
      <c r="BB61" s="324"/>
      <c r="BC61" s="3"/>
      <c r="BM61" s="324"/>
      <c r="BN61" s="3"/>
    </row>
    <row r="62" spans="2:66" x14ac:dyDescent="0.35">
      <c r="B62" s="257">
        <v>3</v>
      </c>
      <c r="C62" s="258" t="str">
        <f t="shared" si="86"/>
        <v>Infantry fighting vehicles</v>
      </c>
      <c r="D62" s="99"/>
      <c r="E62" s="159"/>
      <c r="F62" s="159"/>
      <c r="G62" s="159"/>
      <c r="H62" s="159"/>
      <c r="I62" s="159"/>
      <c r="J62" s="159"/>
      <c r="K62" s="159" t="s">
        <v>34</v>
      </c>
      <c r="L62" s="314" t="s">
        <v>297</v>
      </c>
      <c r="M62" t="s">
        <v>34</v>
      </c>
      <c r="P62" s="315" t="s">
        <v>299</v>
      </c>
      <c r="Q62" s="284" t="s">
        <v>35</v>
      </c>
      <c r="R62" s="314" t="s">
        <v>297</v>
      </c>
      <c r="S62" t="s">
        <v>34</v>
      </c>
      <c r="V62" s="315" t="s">
        <v>299</v>
      </c>
      <c r="W62" s="284" t="s">
        <v>35</v>
      </c>
      <c r="X62" s="314" t="s">
        <v>297</v>
      </c>
      <c r="Y62" t="s">
        <v>34</v>
      </c>
      <c r="AB62" s="315" t="s">
        <v>299</v>
      </c>
      <c r="AC62" s="284" t="s">
        <v>35</v>
      </c>
      <c r="AD62" s="287" t="s">
        <v>35</v>
      </c>
      <c r="AE62" s="287" t="s">
        <v>35</v>
      </c>
      <c r="AF62" s="287"/>
      <c r="AG62" s="287"/>
      <c r="AH62" s="287" t="s">
        <v>35</v>
      </c>
      <c r="AI62" s="316" t="s">
        <v>35</v>
      </c>
      <c r="AJ62" s="287" t="s">
        <v>35</v>
      </c>
      <c r="AK62" s="287" t="s">
        <v>35</v>
      </c>
      <c r="AL62" s="287"/>
      <c r="AM62" s="287"/>
      <c r="AN62" s="287" t="s">
        <v>35</v>
      </c>
      <c r="AO62" s="316" t="s">
        <v>35</v>
      </c>
      <c r="AQ62" s="324"/>
      <c r="AR62" s="3"/>
      <c r="BB62" s="324"/>
      <c r="BC62" s="3"/>
      <c r="BM62" s="324"/>
      <c r="BN62" s="3"/>
    </row>
    <row r="63" spans="2:66" x14ac:dyDescent="0.35">
      <c r="B63" s="257">
        <v>4</v>
      </c>
      <c r="C63" s="258" t="str">
        <f t="shared" si="86"/>
        <v>Armored personnel carriers</v>
      </c>
      <c r="D63" s="99"/>
      <c r="E63" s="159"/>
      <c r="F63" s="159"/>
      <c r="G63" s="159"/>
      <c r="H63" s="159"/>
      <c r="I63" s="159"/>
      <c r="J63" s="159"/>
      <c r="K63" s="159" t="s">
        <v>34</v>
      </c>
      <c r="L63" s="314" t="s">
        <v>297</v>
      </c>
      <c r="M63" t="s">
        <v>34</v>
      </c>
      <c r="P63" s="315" t="s">
        <v>299</v>
      </c>
      <c r="Q63" s="284" t="s">
        <v>35</v>
      </c>
      <c r="R63" s="314" t="s">
        <v>297</v>
      </c>
      <c r="S63" t="s">
        <v>34</v>
      </c>
      <c r="V63" s="315" t="s">
        <v>299</v>
      </c>
      <c r="W63" s="284" t="s">
        <v>35</v>
      </c>
      <c r="X63" s="314" t="s">
        <v>297</v>
      </c>
      <c r="Y63" t="s">
        <v>34</v>
      </c>
      <c r="AB63" s="315" t="s">
        <v>299</v>
      </c>
      <c r="AC63" s="284" t="s">
        <v>35</v>
      </c>
      <c r="AD63" s="287" t="s">
        <v>35</v>
      </c>
      <c r="AE63" s="287" t="s">
        <v>35</v>
      </c>
      <c r="AF63" s="287"/>
      <c r="AG63" s="287"/>
      <c r="AH63" s="287" t="s">
        <v>35</v>
      </c>
      <c r="AI63" s="316" t="s">
        <v>35</v>
      </c>
      <c r="AJ63" s="287" t="s">
        <v>35</v>
      </c>
      <c r="AK63" s="287" t="s">
        <v>35</v>
      </c>
      <c r="AL63" s="287"/>
      <c r="AM63" s="287"/>
      <c r="AN63" s="287" t="s">
        <v>35</v>
      </c>
      <c r="AO63" s="316" t="s">
        <v>35</v>
      </c>
      <c r="AQ63" s="324"/>
      <c r="AR63" s="3"/>
      <c r="BB63" s="324"/>
      <c r="BC63" s="3"/>
      <c r="BM63" s="324"/>
      <c r="BN63" s="3"/>
    </row>
    <row r="64" spans="2:66" x14ac:dyDescent="0.35">
      <c r="B64" s="257">
        <v>5</v>
      </c>
      <c r="C64" s="258" t="str">
        <f t="shared" si="86"/>
        <v>Other APCs (MRAPs)</v>
      </c>
      <c r="D64" s="99"/>
      <c r="E64" s="159"/>
      <c r="F64" s="159"/>
      <c r="G64" s="159"/>
      <c r="H64" s="159"/>
      <c r="I64" s="159"/>
      <c r="J64" s="159"/>
      <c r="K64" s="159" t="s">
        <v>34</v>
      </c>
      <c r="L64" s="314" t="s">
        <v>297</v>
      </c>
      <c r="M64" t="s">
        <v>34</v>
      </c>
      <c r="P64" s="315" t="s">
        <v>299</v>
      </c>
      <c r="Q64" s="284" t="s">
        <v>35</v>
      </c>
      <c r="R64" s="314" t="s">
        <v>297</v>
      </c>
      <c r="S64" t="s">
        <v>34</v>
      </c>
      <c r="V64" s="315" t="s">
        <v>299</v>
      </c>
      <c r="W64" s="284" t="s">
        <v>35</v>
      </c>
      <c r="X64" s="314" t="s">
        <v>297</v>
      </c>
      <c r="Y64" t="s">
        <v>34</v>
      </c>
      <c r="AB64" s="315" t="s">
        <v>299</v>
      </c>
      <c r="AC64" s="284" t="s">
        <v>35</v>
      </c>
      <c r="AD64" s="287" t="s">
        <v>35</v>
      </c>
      <c r="AE64" s="287" t="s">
        <v>35</v>
      </c>
      <c r="AF64" s="287"/>
      <c r="AG64" s="287"/>
      <c r="AH64" s="287" t="s">
        <v>35</v>
      </c>
      <c r="AI64" s="316" t="s">
        <v>35</v>
      </c>
      <c r="AJ64" s="287" t="s">
        <v>35</v>
      </c>
      <c r="AK64" s="287" t="s">
        <v>35</v>
      </c>
      <c r="AL64" s="287"/>
      <c r="AM64" s="287"/>
      <c r="AN64" s="287" t="s">
        <v>35</v>
      </c>
      <c r="AO64" s="316" t="s">
        <v>35</v>
      </c>
      <c r="AQ64" s="324"/>
      <c r="AR64" s="3"/>
      <c r="BB64" s="324"/>
      <c r="BC64" s="3"/>
      <c r="BM64" s="324"/>
      <c r="BN64" s="3"/>
    </row>
    <row r="65" spans="2:66" x14ac:dyDescent="0.35">
      <c r="B65" s="257">
        <v>6</v>
      </c>
      <c r="C65" s="258" t="str">
        <f t="shared" si="86"/>
        <v>Infantry mobility vehicles</v>
      </c>
      <c r="D65" s="99"/>
      <c r="E65" s="159"/>
      <c r="F65" s="159"/>
      <c r="G65" s="159"/>
      <c r="H65" s="159"/>
      <c r="I65" s="159"/>
      <c r="J65" s="159"/>
      <c r="K65" s="159" t="s">
        <v>34</v>
      </c>
      <c r="L65" s="314" t="s">
        <v>297</v>
      </c>
      <c r="M65" t="s">
        <v>34</v>
      </c>
      <c r="P65" s="315" t="s">
        <v>299</v>
      </c>
      <c r="Q65" s="284" t="s">
        <v>35</v>
      </c>
      <c r="R65" s="314" t="s">
        <v>297</v>
      </c>
      <c r="S65" t="s">
        <v>34</v>
      </c>
      <c r="V65" s="315" t="s">
        <v>299</v>
      </c>
      <c r="W65" s="284" t="s">
        <v>35</v>
      </c>
      <c r="X65" s="314" t="s">
        <v>297</v>
      </c>
      <c r="Y65" t="s">
        <v>34</v>
      </c>
      <c r="AB65" s="315" t="s">
        <v>299</v>
      </c>
      <c r="AC65" s="284" t="s">
        <v>35</v>
      </c>
      <c r="AD65" s="287" t="s">
        <v>35</v>
      </c>
      <c r="AE65" s="287" t="s">
        <v>35</v>
      </c>
      <c r="AF65" s="287"/>
      <c r="AG65" s="287"/>
      <c r="AH65" s="287" t="s">
        <v>35</v>
      </c>
      <c r="AI65" s="316" t="s">
        <v>35</v>
      </c>
      <c r="AJ65" s="287" t="s">
        <v>35</v>
      </c>
      <c r="AK65" s="287" t="s">
        <v>35</v>
      </c>
      <c r="AL65" s="287"/>
      <c r="AM65" s="287"/>
      <c r="AN65" s="287" t="s">
        <v>35</v>
      </c>
      <c r="AO65" s="316" t="s">
        <v>35</v>
      </c>
      <c r="AQ65" s="324"/>
      <c r="AR65" s="3"/>
      <c r="BB65" s="324"/>
      <c r="BC65" s="3"/>
      <c r="BM65" s="324"/>
      <c r="BN65" s="3"/>
    </row>
    <row r="66" spans="2:66" x14ac:dyDescent="0.35">
      <c r="B66" s="257">
        <v>7</v>
      </c>
      <c r="C66" s="258" t="str">
        <f t="shared" si="86"/>
        <v>Command and com vehicles</v>
      </c>
      <c r="D66" s="99"/>
      <c r="E66" s="159"/>
      <c r="F66" s="159"/>
      <c r="G66" s="159"/>
      <c r="H66" s="159"/>
      <c r="I66" s="159"/>
      <c r="J66" s="159"/>
      <c r="K66" s="159" t="s">
        <v>34</v>
      </c>
      <c r="L66" s="314" t="s">
        <v>297</v>
      </c>
      <c r="M66" t="s">
        <v>34</v>
      </c>
      <c r="P66" s="315" t="s">
        <v>299</v>
      </c>
      <c r="Q66" s="284" t="s">
        <v>35</v>
      </c>
      <c r="R66" s="314" t="s">
        <v>297</v>
      </c>
      <c r="S66" t="s">
        <v>34</v>
      </c>
      <c r="V66" s="315" t="s">
        <v>299</v>
      </c>
      <c r="W66" s="284" t="s">
        <v>35</v>
      </c>
      <c r="X66" s="314" t="s">
        <v>297</v>
      </c>
      <c r="Y66" t="s">
        <v>34</v>
      </c>
      <c r="AB66" s="315" t="s">
        <v>299</v>
      </c>
      <c r="AC66" s="284" t="s">
        <v>35</v>
      </c>
      <c r="AD66" s="287" t="s">
        <v>35</v>
      </c>
      <c r="AE66" s="287" t="s">
        <v>35</v>
      </c>
      <c r="AF66" s="287"/>
      <c r="AG66" s="287"/>
      <c r="AH66" s="287" t="s">
        <v>35</v>
      </c>
      <c r="AI66" s="316" t="s">
        <v>35</v>
      </c>
      <c r="AJ66" s="287" t="s">
        <v>35</v>
      </c>
      <c r="AK66" s="287" t="s">
        <v>35</v>
      </c>
      <c r="AL66" s="287"/>
      <c r="AM66" s="287"/>
      <c r="AN66" s="287" t="s">
        <v>35</v>
      </c>
      <c r="AO66" s="316" t="s">
        <v>35</v>
      </c>
      <c r="AQ66" s="324"/>
      <c r="AR66" s="3"/>
      <c r="BB66" s="324"/>
      <c r="BC66" s="3"/>
      <c r="BM66" s="324"/>
      <c r="BN66" s="3"/>
    </row>
    <row r="67" spans="2:66" x14ac:dyDescent="0.35">
      <c r="B67" s="257">
        <v>8</v>
      </c>
      <c r="C67" s="258" t="str">
        <f t="shared" si="86"/>
        <v>Total armored vehicles (2 to 7)</v>
      </c>
      <c r="D67" s="314" t="s">
        <v>294</v>
      </c>
      <c r="E67" t="s">
        <v>295</v>
      </c>
      <c r="F67" t="s">
        <v>315</v>
      </c>
      <c r="G67" t="s">
        <v>35</v>
      </c>
      <c r="H67" t="s">
        <v>35</v>
      </c>
      <c r="I67" t="s">
        <v>35</v>
      </c>
      <c r="J67" t="s">
        <v>35</v>
      </c>
      <c r="K67" s="287" t="s">
        <v>34</v>
      </c>
      <c r="L67" s="318" t="s">
        <v>35</v>
      </c>
      <c r="M67" t="s">
        <v>298</v>
      </c>
      <c r="P67" s="319" t="s">
        <v>35</v>
      </c>
      <c r="Q67" s="284" t="s">
        <v>35</v>
      </c>
      <c r="R67" s="318" t="s">
        <v>35</v>
      </c>
      <c r="S67" s="97" t="s">
        <v>295</v>
      </c>
      <c r="T67" t="s">
        <v>35</v>
      </c>
      <c r="U67" t="s">
        <v>35</v>
      </c>
      <c r="V67" s="319" t="s">
        <v>35</v>
      </c>
      <c r="W67" s="284" t="s">
        <v>35</v>
      </c>
      <c r="X67" s="318" t="s">
        <v>35</v>
      </c>
      <c r="Y67" t="s">
        <v>378</v>
      </c>
      <c r="Z67" s="97"/>
      <c r="AA67" s="97"/>
      <c r="AB67" s="319" t="s">
        <v>35</v>
      </c>
      <c r="AC67" s="284" t="s">
        <v>35</v>
      </c>
      <c r="AD67" s="287" t="s">
        <v>35</v>
      </c>
      <c r="AE67" s="287" t="s">
        <v>35</v>
      </c>
      <c r="AF67" s="287"/>
      <c r="AG67" s="287"/>
      <c r="AH67" s="287" t="s">
        <v>35</v>
      </c>
      <c r="AI67" s="316" t="s">
        <v>35</v>
      </c>
      <c r="AJ67" s="287" t="s">
        <v>35</v>
      </c>
      <c r="AK67" s="287" t="s">
        <v>35</v>
      </c>
      <c r="AL67" s="287"/>
      <c r="AM67" s="287"/>
      <c r="AN67" s="287" t="s">
        <v>35</v>
      </c>
      <c r="AO67" s="316" t="s">
        <v>35</v>
      </c>
      <c r="AQ67" s="324"/>
      <c r="AR67" s="3"/>
      <c r="BB67" s="324"/>
      <c r="BC67" s="3"/>
      <c r="BM67" s="324"/>
      <c r="BN67" s="3"/>
    </row>
    <row r="68" spans="2:66" x14ac:dyDescent="0.35">
      <c r="B68" s="257">
        <v>9</v>
      </c>
      <c r="C68" s="258" t="str">
        <f t="shared" si="86"/>
        <v>Engineering vehicles special equipm.</v>
      </c>
      <c r="D68" s="286"/>
      <c r="E68" s="287"/>
      <c r="F68" s="287" t="s">
        <v>385</v>
      </c>
      <c r="G68" t="s">
        <v>35</v>
      </c>
      <c r="H68" s="287" t="s">
        <v>385</v>
      </c>
      <c r="I68" s="287" t="s">
        <v>385</v>
      </c>
      <c r="J68" s="287" t="s">
        <v>385</v>
      </c>
      <c r="K68" s="287" t="s">
        <v>34</v>
      </c>
      <c r="L68" s="314" t="s">
        <v>297</v>
      </c>
      <c r="M68" s="97" t="s">
        <v>298</v>
      </c>
      <c r="N68" s="97"/>
      <c r="O68" s="97"/>
      <c r="P68" s="315" t="s">
        <v>299</v>
      </c>
      <c r="Q68" s="284" t="s">
        <v>35</v>
      </c>
      <c r="R68" s="314" t="s">
        <v>297</v>
      </c>
      <c r="S68" s="97" t="s">
        <v>295</v>
      </c>
      <c r="T68" t="s">
        <v>35</v>
      </c>
      <c r="U68" t="s">
        <v>35</v>
      </c>
      <c r="V68" s="315" t="s">
        <v>299</v>
      </c>
      <c r="W68" s="284" t="s">
        <v>35</v>
      </c>
      <c r="X68" s="314" t="s">
        <v>297</v>
      </c>
      <c r="Y68" t="s">
        <v>378</v>
      </c>
      <c r="Z68" s="97"/>
      <c r="AA68" s="97"/>
      <c r="AB68" s="315" t="s">
        <v>299</v>
      </c>
      <c r="AC68" s="284" t="s">
        <v>35</v>
      </c>
      <c r="AD68" s="287" t="s">
        <v>35</v>
      </c>
      <c r="AE68" s="287" t="s">
        <v>35</v>
      </c>
      <c r="AF68" s="287"/>
      <c r="AG68" s="287"/>
      <c r="AH68" s="287" t="s">
        <v>35</v>
      </c>
      <c r="AI68" s="316" t="s">
        <v>35</v>
      </c>
      <c r="AJ68" s="287" t="s">
        <v>35</v>
      </c>
      <c r="AK68" s="287" t="s">
        <v>35</v>
      </c>
      <c r="AL68" s="287"/>
      <c r="AM68" s="287"/>
      <c r="AN68" s="287" t="s">
        <v>35</v>
      </c>
      <c r="AO68" s="316" t="s">
        <v>35</v>
      </c>
      <c r="AQ68" s="324"/>
      <c r="AR68" s="3"/>
      <c r="BB68" s="324"/>
      <c r="BC68" s="3"/>
      <c r="BM68" s="324"/>
      <c r="BN68" s="3"/>
    </row>
    <row r="69" spans="2:66" x14ac:dyDescent="0.35">
      <c r="B69" s="257">
        <v>10</v>
      </c>
      <c r="C69" s="258" t="str">
        <f t="shared" si="86"/>
        <v>Anti-tank vehicles</v>
      </c>
      <c r="D69" s="99"/>
      <c r="E69" s="159"/>
      <c r="F69" s="159"/>
      <c r="G69" s="159"/>
      <c r="H69" s="159"/>
      <c r="I69" s="159"/>
      <c r="J69" s="159"/>
      <c r="K69" s="159" t="s">
        <v>34</v>
      </c>
      <c r="L69" s="314" t="s">
        <v>297</v>
      </c>
      <c r="M69" t="s">
        <v>34</v>
      </c>
      <c r="P69" s="315" t="s">
        <v>299</v>
      </c>
      <c r="Q69" s="284" t="s">
        <v>35</v>
      </c>
      <c r="R69" s="314" t="s">
        <v>297</v>
      </c>
      <c r="S69" t="s">
        <v>34</v>
      </c>
      <c r="V69" s="315" t="s">
        <v>299</v>
      </c>
      <c r="W69" s="284" t="s">
        <v>35</v>
      </c>
      <c r="X69" s="314" t="s">
        <v>297</v>
      </c>
      <c r="Y69" t="s">
        <v>34</v>
      </c>
      <c r="AB69" s="315" t="s">
        <v>299</v>
      </c>
      <c r="AC69" s="284" t="s">
        <v>35</v>
      </c>
      <c r="AD69" s="287" t="s">
        <v>35</v>
      </c>
      <c r="AE69" s="287" t="s">
        <v>35</v>
      </c>
      <c r="AF69" s="287"/>
      <c r="AG69" s="287"/>
      <c r="AH69" s="287" t="s">
        <v>35</v>
      </c>
      <c r="AI69" s="316" t="s">
        <v>35</v>
      </c>
      <c r="AJ69" s="287" t="s">
        <v>35</v>
      </c>
      <c r="AK69" s="287" t="s">
        <v>35</v>
      </c>
      <c r="AL69" s="287"/>
      <c r="AM69" s="287"/>
      <c r="AN69" s="287" t="s">
        <v>35</v>
      </c>
      <c r="AO69" s="316" t="s">
        <v>35</v>
      </c>
      <c r="AQ69" s="324"/>
      <c r="AR69" s="3"/>
      <c r="BB69" s="324"/>
      <c r="BC69" s="3"/>
      <c r="BM69" s="324"/>
      <c r="BN69" s="3"/>
    </row>
    <row r="70" spans="2:66" x14ac:dyDescent="0.35">
      <c r="B70" s="257">
        <v>11</v>
      </c>
      <c r="C70" s="258" t="str">
        <f t="shared" si="86"/>
        <v>Artillery support vehicles</v>
      </c>
      <c r="D70" s="99"/>
      <c r="E70" s="159"/>
      <c r="F70" s="159"/>
      <c r="G70" s="159"/>
      <c r="H70" s="159"/>
      <c r="I70" s="159"/>
      <c r="J70" s="159"/>
      <c r="K70" s="159" t="s">
        <v>34</v>
      </c>
      <c r="L70" s="314" t="s">
        <v>297</v>
      </c>
      <c r="M70" t="s">
        <v>34</v>
      </c>
      <c r="P70" s="315" t="s">
        <v>299</v>
      </c>
      <c r="Q70" s="284" t="s">
        <v>35</v>
      </c>
      <c r="R70" s="314" t="s">
        <v>297</v>
      </c>
      <c r="S70" t="s">
        <v>34</v>
      </c>
      <c r="V70" s="315" t="s">
        <v>299</v>
      </c>
      <c r="W70" s="284" t="s">
        <v>35</v>
      </c>
      <c r="X70" s="314" t="s">
        <v>297</v>
      </c>
      <c r="Y70" t="s">
        <v>34</v>
      </c>
      <c r="AB70" s="315" t="s">
        <v>299</v>
      </c>
      <c r="AC70" s="284" t="s">
        <v>35</v>
      </c>
      <c r="AD70" s="287" t="s">
        <v>35</v>
      </c>
      <c r="AE70" s="287" t="s">
        <v>35</v>
      </c>
      <c r="AF70" s="287"/>
      <c r="AG70" s="287"/>
      <c r="AH70" s="287" t="s">
        <v>35</v>
      </c>
      <c r="AI70" s="316" t="s">
        <v>35</v>
      </c>
      <c r="AJ70" s="287" t="s">
        <v>35</v>
      </c>
      <c r="AK70" s="287" t="s">
        <v>35</v>
      </c>
      <c r="AL70" s="287"/>
      <c r="AM70" s="287"/>
      <c r="AN70" s="287" t="s">
        <v>35</v>
      </c>
      <c r="AO70" s="316" t="s">
        <v>35</v>
      </c>
      <c r="AQ70" s="324"/>
      <c r="AR70" s="3"/>
      <c r="BB70" s="324"/>
      <c r="BC70" s="3"/>
      <c r="BM70" s="324"/>
      <c r="BN70" s="3"/>
    </row>
    <row r="71" spans="2:66" x14ac:dyDescent="0.35">
      <c r="B71" s="257">
        <v>12</v>
      </c>
      <c r="C71" s="258" t="str">
        <f t="shared" si="86"/>
        <v>Towed artillery</v>
      </c>
      <c r="D71" s="99"/>
      <c r="E71" s="159"/>
      <c r="F71" s="159"/>
      <c r="G71" s="159"/>
      <c r="H71" s="159"/>
      <c r="I71" s="159"/>
      <c r="J71" s="159"/>
      <c r="K71" s="159" t="s">
        <v>34</v>
      </c>
      <c r="L71" s="314" t="s">
        <v>297</v>
      </c>
      <c r="M71" t="s">
        <v>34</v>
      </c>
      <c r="P71" s="315" t="s">
        <v>299</v>
      </c>
      <c r="Q71" s="284" t="s">
        <v>35</v>
      </c>
      <c r="R71" s="314" t="s">
        <v>297</v>
      </c>
      <c r="S71" t="s">
        <v>34</v>
      </c>
      <c r="V71" s="315" t="s">
        <v>299</v>
      </c>
      <c r="W71" s="284" t="s">
        <v>35</v>
      </c>
      <c r="X71" s="314" t="s">
        <v>297</v>
      </c>
      <c r="Y71" t="s">
        <v>34</v>
      </c>
      <c r="AB71" s="315" t="s">
        <v>299</v>
      </c>
      <c r="AC71" s="284" t="s">
        <v>35</v>
      </c>
      <c r="AD71" s="287" t="s">
        <v>35</v>
      </c>
      <c r="AE71" s="287" t="s">
        <v>35</v>
      </c>
      <c r="AF71" s="287"/>
      <c r="AG71" s="287"/>
      <c r="AH71" s="287" t="s">
        <v>35</v>
      </c>
      <c r="AI71" s="316" t="s">
        <v>35</v>
      </c>
      <c r="AJ71" s="287" t="s">
        <v>35</v>
      </c>
      <c r="AK71" s="287" t="s">
        <v>35</v>
      </c>
      <c r="AL71" s="287"/>
      <c r="AM71" s="287"/>
      <c r="AN71" s="287" t="s">
        <v>35</v>
      </c>
      <c r="AO71" s="316" t="s">
        <v>35</v>
      </c>
      <c r="AQ71" s="324"/>
      <c r="AR71" s="3"/>
      <c r="BB71" s="324"/>
      <c r="BC71" s="3"/>
      <c r="BM71" s="324"/>
      <c r="BN71" s="3"/>
    </row>
    <row r="72" spans="2:66" x14ac:dyDescent="0.35">
      <c r="B72" s="257">
        <v>13</v>
      </c>
      <c r="C72" s="258" t="str">
        <f t="shared" si="86"/>
        <v>Self propelled artillery</v>
      </c>
      <c r="D72" s="99"/>
      <c r="E72" s="159"/>
      <c r="F72" s="159"/>
      <c r="G72" s="159"/>
      <c r="H72" s="159"/>
      <c r="I72" s="159"/>
      <c r="J72" s="159"/>
      <c r="K72" s="159" t="s">
        <v>34</v>
      </c>
      <c r="L72" s="314" t="s">
        <v>297</v>
      </c>
      <c r="M72" t="s">
        <v>34</v>
      </c>
      <c r="P72" s="315" t="s">
        <v>299</v>
      </c>
      <c r="Q72" s="284" t="s">
        <v>35</v>
      </c>
      <c r="R72" s="314" t="s">
        <v>297</v>
      </c>
      <c r="S72" t="s">
        <v>34</v>
      </c>
      <c r="V72" s="315" t="s">
        <v>299</v>
      </c>
      <c r="W72" s="284" t="s">
        <v>35</v>
      </c>
      <c r="X72" s="314" t="s">
        <v>297</v>
      </c>
      <c r="Y72" t="s">
        <v>34</v>
      </c>
      <c r="AB72" s="315" t="s">
        <v>299</v>
      </c>
      <c r="AC72" s="284" t="s">
        <v>35</v>
      </c>
      <c r="AD72" s="287" t="s">
        <v>35</v>
      </c>
      <c r="AE72" s="287" t="s">
        <v>35</v>
      </c>
      <c r="AF72" s="287"/>
      <c r="AG72" s="287"/>
      <c r="AH72" s="287" t="s">
        <v>35</v>
      </c>
      <c r="AI72" s="316" t="s">
        <v>35</v>
      </c>
      <c r="AJ72" s="287" t="s">
        <v>35</v>
      </c>
      <c r="AK72" s="287" t="s">
        <v>35</v>
      </c>
      <c r="AL72" s="287"/>
      <c r="AM72" s="287"/>
      <c r="AN72" s="287" t="s">
        <v>35</v>
      </c>
      <c r="AO72" s="316" t="s">
        <v>35</v>
      </c>
      <c r="AQ72" s="324"/>
      <c r="AR72" s="3"/>
      <c r="BB72" s="324"/>
      <c r="BC72" s="3"/>
      <c r="BM72" s="324"/>
      <c r="BN72" s="3"/>
    </row>
    <row r="73" spans="2:66" x14ac:dyDescent="0.35">
      <c r="B73" s="257">
        <v>14</v>
      </c>
      <c r="C73" s="258" t="str">
        <f t="shared" si="86"/>
        <v>Multiple rocket launchers</v>
      </c>
      <c r="D73" s="99"/>
      <c r="E73" s="159"/>
      <c r="F73" s="159"/>
      <c r="G73" s="159"/>
      <c r="H73" s="159"/>
      <c r="I73" s="159"/>
      <c r="J73" s="159"/>
      <c r="K73" s="159" t="s">
        <v>34</v>
      </c>
      <c r="L73" s="314" t="s">
        <v>297</v>
      </c>
      <c r="M73" t="s">
        <v>34</v>
      </c>
      <c r="P73" s="315" t="s">
        <v>299</v>
      </c>
      <c r="Q73" s="284" t="s">
        <v>35</v>
      </c>
      <c r="R73" s="314" t="s">
        <v>297</v>
      </c>
      <c r="S73" t="s">
        <v>34</v>
      </c>
      <c r="V73" s="315" t="s">
        <v>299</v>
      </c>
      <c r="W73" s="284" t="s">
        <v>35</v>
      </c>
      <c r="X73" s="314" t="s">
        <v>297</v>
      </c>
      <c r="Y73" t="s">
        <v>34</v>
      </c>
      <c r="AB73" s="315" t="s">
        <v>299</v>
      </c>
      <c r="AC73" s="284" t="s">
        <v>35</v>
      </c>
      <c r="AD73" s="287" t="s">
        <v>35</v>
      </c>
      <c r="AE73" s="287" t="s">
        <v>35</v>
      </c>
      <c r="AF73" s="287"/>
      <c r="AG73" s="287"/>
      <c r="AH73" s="287" t="s">
        <v>35</v>
      </c>
      <c r="AI73" s="316" t="s">
        <v>35</v>
      </c>
      <c r="AJ73" s="287" t="s">
        <v>35</v>
      </c>
      <c r="AK73" s="287" t="s">
        <v>35</v>
      </c>
      <c r="AL73" s="287"/>
      <c r="AM73" s="287"/>
      <c r="AN73" s="287" t="s">
        <v>35</v>
      </c>
      <c r="AO73" s="316" t="s">
        <v>35</v>
      </c>
      <c r="AQ73" s="324"/>
      <c r="AR73" s="3"/>
      <c r="BB73" s="324"/>
      <c r="BC73" s="3"/>
      <c r="BM73" s="324"/>
      <c r="BN73" s="3"/>
    </row>
    <row r="74" spans="2:66" x14ac:dyDescent="0.35">
      <c r="B74" s="257">
        <v>15</v>
      </c>
      <c r="C74" s="258" t="str">
        <f t="shared" si="86"/>
        <v>Total artillery (10 to 14)</v>
      </c>
      <c r="D74" s="314" t="s">
        <v>294</v>
      </c>
      <c r="E74" s="97" t="s">
        <v>295</v>
      </c>
      <c r="F74" s="342" t="s">
        <v>313</v>
      </c>
      <c r="G74" t="s">
        <v>35</v>
      </c>
      <c r="H74" t="s">
        <v>35</v>
      </c>
      <c r="I74" t="s">
        <v>35</v>
      </c>
      <c r="J74" t="s">
        <v>35</v>
      </c>
      <c r="K74" s="287" t="s">
        <v>34</v>
      </c>
      <c r="L74" s="318" t="s">
        <v>35</v>
      </c>
      <c r="M74" t="s">
        <v>298</v>
      </c>
      <c r="P74" s="319" t="s">
        <v>35</v>
      </c>
      <c r="Q74" s="284" t="s">
        <v>35</v>
      </c>
      <c r="R74" s="318" t="s">
        <v>35</v>
      </c>
      <c r="S74" t="s">
        <v>295</v>
      </c>
      <c r="V74" s="319" t="s">
        <v>35</v>
      </c>
      <c r="W74" s="284" t="s">
        <v>35</v>
      </c>
      <c r="X74" s="318" t="s">
        <v>35</v>
      </c>
      <c r="Y74" t="s">
        <v>378</v>
      </c>
      <c r="AB74" s="319" t="s">
        <v>35</v>
      </c>
      <c r="AC74" s="284" t="s">
        <v>35</v>
      </c>
      <c r="AD74" s="287" t="s">
        <v>35</v>
      </c>
      <c r="AE74" s="287" t="s">
        <v>35</v>
      </c>
      <c r="AF74" s="287"/>
      <c r="AG74" s="287"/>
      <c r="AH74" s="287" t="s">
        <v>35</v>
      </c>
      <c r="AI74" s="316" t="s">
        <v>35</v>
      </c>
      <c r="AJ74" s="287" t="s">
        <v>35</v>
      </c>
      <c r="AK74" s="287" t="s">
        <v>35</v>
      </c>
      <c r="AL74" s="287"/>
      <c r="AM74" s="287"/>
      <c r="AN74" s="287" t="s">
        <v>35</v>
      </c>
      <c r="AO74" s="316" t="s">
        <v>35</v>
      </c>
      <c r="AQ74" s="324"/>
      <c r="AR74" s="3"/>
      <c r="BB74" s="324"/>
      <c r="BC74" s="3"/>
      <c r="BM74" s="324"/>
      <c r="BN74" s="3"/>
    </row>
    <row r="75" spans="2:66" x14ac:dyDescent="0.35">
      <c r="B75" s="257">
        <v>16</v>
      </c>
      <c r="C75" s="258" t="str">
        <f t="shared" si="86"/>
        <v>Anti-aircraft guns</v>
      </c>
      <c r="D75" s="99"/>
      <c r="E75" s="159"/>
      <c r="F75" s="159"/>
      <c r="G75" s="159"/>
      <c r="H75" s="159"/>
      <c r="I75" s="159"/>
      <c r="J75" s="159"/>
      <c r="K75" s="159" t="s">
        <v>34</v>
      </c>
      <c r="L75" s="314" t="s">
        <v>297</v>
      </c>
      <c r="M75" t="s">
        <v>34</v>
      </c>
      <c r="P75" s="315" t="s">
        <v>299</v>
      </c>
      <c r="Q75" s="284" t="s">
        <v>35</v>
      </c>
      <c r="R75" s="314" t="s">
        <v>297</v>
      </c>
      <c r="S75" t="s">
        <v>34</v>
      </c>
      <c r="V75" s="315" t="s">
        <v>299</v>
      </c>
      <c r="W75" s="284" t="s">
        <v>35</v>
      </c>
      <c r="X75" s="314" t="s">
        <v>297</v>
      </c>
      <c r="Y75" t="s">
        <v>34</v>
      </c>
      <c r="AB75" s="315" t="s">
        <v>299</v>
      </c>
      <c r="AC75" s="284" t="s">
        <v>35</v>
      </c>
      <c r="AD75" s="287" t="s">
        <v>35</v>
      </c>
      <c r="AE75" s="287" t="s">
        <v>35</v>
      </c>
      <c r="AF75" s="287"/>
      <c r="AG75" s="287"/>
      <c r="AH75" s="287" t="s">
        <v>35</v>
      </c>
      <c r="AI75" s="316" t="s">
        <v>35</v>
      </c>
      <c r="AJ75" s="287" t="s">
        <v>35</v>
      </c>
      <c r="AK75" s="287" t="s">
        <v>35</v>
      </c>
      <c r="AL75" s="287"/>
      <c r="AM75" s="287"/>
      <c r="AN75" s="287" t="s">
        <v>35</v>
      </c>
      <c r="AO75" s="316" t="s">
        <v>35</v>
      </c>
      <c r="AQ75" s="324"/>
      <c r="AR75" s="3"/>
      <c r="BB75" s="324"/>
      <c r="BC75" s="3"/>
      <c r="BM75" s="324"/>
      <c r="BN75" s="3"/>
    </row>
    <row r="76" spans="2:66" x14ac:dyDescent="0.35">
      <c r="B76" s="257">
        <v>17</v>
      </c>
      <c r="C76" s="258" t="str">
        <f t="shared" si="86"/>
        <v>Self propelled anti-aircraft guns</v>
      </c>
      <c r="D76" s="99"/>
      <c r="E76" s="159"/>
      <c r="F76" s="159"/>
      <c r="G76" s="159"/>
      <c r="H76" s="159"/>
      <c r="I76" s="159"/>
      <c r="J76" s="159"/>
      <c r="K76" s="159" t="s">
        <v>34</v>
      </c>
      <c r="L76" s="314" t="s">
        <v>297</v>
      </c>
      <c r="M76" t="s">
        <v>34</v>
      </c>
      <c r="P76" s="315" t="s">
        <v>299</v>
      </c>
      <c r="Q76" s="284" t="s">
        <v>35</v>
      </c>
      <c r="R76" s="314" t="s">
        <v>297</v>
      </c>
      <c r="S76" t="s">
        <v>34</v>
      </c>
      <c r="V76" s="315" t="s">
        <v>299</v>
      </c>
      <c r="W76" s="284" t="s">
        <v>35</v>
      </c>
      <c r="X76" s="314" t="s">
        <v>297</v>
      </c>
      <c r="Y76" t="s">
        <v>34</v>
      </c>
      <c r="AB76" s="315" t="s">
        <v>299</v>
      </c>
      <c r="AC76" s="284" t="s">
        <v>35</v>
      </c>
      <c r="AD76" s="287" t="s">
        <v>35</v>
      </c>
      <c r="AE76" s="287" t="s">
        <v>35</v>
      </c>
      <c r="AF76" s="287"/>
      <c r="AG76" s="287"/>
      <c r="AH76" s="287" t="s">
        <v>35</v>
      </c>
      <c r="AI76" s="316" t="s">
        <v>35</v>
      </c>
      <c r="AJ76" s="287" t="s">
        <v>35</v>
      </c>
      <c r="AK76" s="287" t="s">
        <v>35</v>
      </c>
      <c r="AL76" s="287"/>
      <c r="AM76" s="287"/>
      <c r="AN76" s="287" t="s">
        <v>35</v>
      </c>
      <c r="AO76" s="316" t="s">
        <v>35</v>
      </c>
      <c r="AQ76" s="324"/>
      <c r="AR76" s="3"/>
      <c r="BB76" s="324"/>
      <c r="BC76" s="3"/>
      <c r="BM76" s="324"/>
      <c r="BN76" s="3"/>
    </row>
    <row r="77" spans="2:66" x14ac:dyDescent="0.35">
      <c r="B77" s="257">
        <v>18</v>
      </c>
      <c r="C77" s="258" t="str">
        <f t="shared" si="86"/>
        <v>Surface-To-Air Missile Systems</v>
      </c>
      <c r="D77" s="99"/>
      <c r="E77" s="159"/>
      <c r="F77" s="159"/>
      <c r="G77" s="159"/>
      <c r="H77" s="159"/>
      <c r="I77" s="159"/>
      <c r="J77" s="159"/>
      <c r="K77" s="159" t="s">
        <v>34</v>
      </c>
      <c r="L77" s="314" t="s">
        <v>297</v>
      </c>
      <c r="M77" t="s">
        <v>34</v>
      </c>
      <c r="P77" s="315" t="s">
        <v>299</v>
      </c>
      <c r="Q77" s="284" t="s">
        <v>35</v>
      </c>
      <c r="R77" s="314" t="s">
        <v>297</v>
      </c>
      <c r="S77" t="s">
        <v>34</v>
      </c>
      <c r="V77" s="315" t="s">
        <v>299</v>
      </c>
      <c r="W77" s="284" t="s">
        <v>35</v>
      </c>
      <c r="X77" s="314" t="s">
        <v>297</v>
      </c>
      <c r="Y77" t="s">
        <v>34</v>
      </c>
      <c r="AB77" s="315" t="s">
        <v>299</v>
      </c>
      <c r="AC77" s="284" t="s">
        <v>35</v>
      </c>
      <c r="AD77" s="287" t="s">
        <v>35</v>
      </c>
      <c r="AE77" s="287" t="s">
        <v>35</v>
      </c>
      <c r="AF77" s="287"/>
      <c r="AG77" s="287"/>
      <c r="AH77" s="287" t="s">
        <v>35</v>
      </c>
      <c r="AI77" s="316" t="s">
        <v>35</v>
      </c>
      <c r="AJ77" s="287" t="s">
        <v>35</v>
      </c>
      <c r="AK77" s="287" t="s">
        <v>35</v>
      </c>
      <c r="AL77" s="287"/>
      <c r="AM77" s="287"/>
      <c r="AN77" s="287" t="s">
        <v>35</v>
      </c>
      <c r="AO77" s="316" t="s">
        <v>35</v>
      </c>
      <c r="AQ77" s="324"/>
      <c r="AR77" s="3"/>
      <c r="BB77" s="324"/>
      <c r="BC77" s="3"/>
      <c r="BM77" s="324"/>
      <c r="BN77" s="3"/>
    </row>
    <row r="78" spans="2:66" x14ac:dyDescent="0.35">
      <c r="B78" s="257">
        <v>19</v>
      </c>
      <c r="C78" s="258" t="str">
        <f t="shared" si="86"/>
        <v>Radars</v>
      </c>
      <c r="D78" s="99"/>
      <c r="E78" s="159"/>
      <c r="F78" s="159"/>
      <c r="G78" s="159"/>
      <c r="H78" s="159"/>
      <c r="I78" s="159"/>
      <c r="J78" s="159"/>
      <c r="K78" s="159" t="s">
        <v>34</v>
      </c>
      <c r="L78" s="314" t="s">
        <v>297</v>
      </c>
      <c r="M78" t="s">
        <v>34</v>
      </c>
      <c r="P78" s="315" t="s">
        <v>299</v>
      </c>
      <c r="Q78" s="284" t="s">
        <v>35</v>
      </c>
      <c r="R78" s="314" t="s">
        <v>297</v>
      </c>
      <c r="S78" t="s">
        <v>34</v>
      </c>
      <c r="V78" s="315" t="s">
        <v>299</v>
      </c>
      <c r="W78" s="284" t="s">
        <v>35</v>
      </c>
      <c r="X78" s="314" t="s">
        <v>297</v>
      </c>
      <c r="Y78" t="s">
        <v>34</v>
      </c>
      <c r="AB78" s="315" t="s">
        <v>299</v>
      </c>
      <c r="AC78" s="284" t="s">
        <v>35</v>
      </c>
      <c r="AD78" s="287" t="s">
        <v>35</v>
      </c>
      <c r="AE78" s="287" t="s">
        <v>35</v>
      </c>
      <c r="AF78" s="287"/>
      <c r="AG78" s="287"/>
      <c r="AH78" s="287" t="s">
        <v>35</v>
      </c>
      <c r="AI78" s="316" t="s">
        <v>35</v>
      </c>
      <c r="AJ78" s="287" t="s">
        <v>35</v>
      </c>
      <c r="AK78" s="287" t="s">
        <v>35</v>
      </c>
      <c r="AL78" s="287"/>
      <c r="AM78" s="287"/>
      <c r="AN78" s="287" t="s">
        <v>35</v>
      </c>
      <c r="AO78" s="316" t="s">
        <v>35</v>
      </c>
      <c r="AQ78" s="324"/>
      <c r="AR78" s="3"/>
      <c r="BB78" s="324"/>
      <c r="BC78" s="3"/>
      <c r="BM78" s="324"/>
      <c r="BN78" s="3"/>
    </row>
    <row r="79" spans="2:66" x14ac:dyDescent="0.35">
      <c r="B79" s="257">
        <v>20</v>
      </c>
      <c r="C79" s="258" t="str">
        <f t="shared" si="86"/>
        <v>Jammers and deception systems</v>
      </c>
      <c r="D79" s="99"/>
      <c r="E79" s="159"/>
      <c r="F79" s="159"/>
      <c r="G79" s="159"/>
      <c r="H79" s="159"/>
      <c r="I79" s="159"/>
      <c r="J79" s="159"/>
      <c r="K79" s="159" t="s">
        <v>34</v>
      </c>
      <c r="L79" s="314" t="s">
        <v>297</v>
      </c>
      <c r="M79" t="s">
        <v>34</v>
      </c>
      <c r="P79" s="315" t="s">
        <v>299</v>
      </c>
      <c r="Q79" s="284" t="s">
        <v>35</v>
      </c>
      <c r="R79" s="314" t="s">
        <v>297</v>
      </c>
      <c r="S79" t="s">
        <v>34</v>
      </c>
      <c r="V79" s="315" t="s">
        <v>299</v>
      </c>
      <c r="W79" s="284" t="s">
        <v>35</v>
      </c>
      <c r="X79" s="314" t="s">
        <v>297</v>
      </c>
      <c r="Y79" t="s">
        <v>34</v>
      </c>
      <c r="AB79" s="315" t="s">
        <v>299</v>
      </c>
      <c r="AC79" s="284" t="s">
        <v>35</v>
      </c>
      <c r="AD79" s="287" t="s">
        <v>35</v>
      </c>
      <c r="AE79" s="287" t="s">
        <v>35</v>
      </c>
      <c r="AF79" s="287"/>
      <c r="AG79" s="287"/>
      <c r="AH79" s="287" t="s">
        <v>35</v>
      </c>
      <c r="AI79" s="316" t="s">
        <v>35</v>
      </c>
      <c r="AJ79" s="287" t="s">
        <v>35</v>
      </c>
      <c r="AK79" s="287" t="s">
        <v>35</v>
      </c>
      <c r="AL79" s="287"/>
      <c r="AM79" s="287"/>
      <c r="AN79" s="287" t="s">
        <v>35</v>
      </c>
      <c r="AO79" s="316" t="s">
        <v>35</v>
      </c>
      <c r="AQ79" s="324"/>
      <c r="AR79" s="3"/>
      <c r="BB79" s="324"/>
      <c r="BC79" s="3"/>
      <c r="BM79" s="324"/>
      <c r="BN79" s="3"/>
    </row>
    <row r="80" spans="2:66" x14ac:dyDescent="0.35">
      <c r="B80" s="257">
        <v>21</v>
      </c>
      <c r="C80" s="258" t="str">
        <f t="shared" si="86"/>
        <v>Total anti-aircraft (16 to 20)</v>
      </c>
      <c r="D80" s="282"/>
      <c r="E80" s="97" t="s">
        <v>295</v>
      </c>
      <c r="F80" s="342" t="s">
        <v>318</v>
      </c>
      <c r="G80" t="s">
        <v>35</v>
      </c>
      <c r="H80" t="s">
        <v>35</v>
      </c>
      <c r="I80" t="s">
        <v>35</v>
      </c>
      <c r="J80" t="s">
        <v>35</v>
      </c>
      <c r="K80" s="159" t="s">
        <v>34</v>
      </c>
      <c r="L80" s="318" t="s">
        <v>35</v>
      </c>
      <c r="M80" s="97" t="s">
        <v>298</v>
      </c>
      <c r="N80" s="97"/>
      <c r="O80" s="97"/>
      <c r="P80" s="319" t="s">
        <v>35</v>
      </c>
      <c r="Q80" s="284" t="s">
        <v>35</v>
      </c>
      <c r="R80" s="318" t="s">
        <v>35</v>
      </c>
      <c r="S80" t="s">
        <v>295</v>
      </c>
      <c r="V80" s="319" t="s">
        <v>35</v>
      </c>
      <c r="W80" s="284" t="s">
        <v>35</v>
      </c>
      <c r="X80" s="318" t="s">
        <v>35</v>
      </c>
      <c r="Y80" t="s">
        <v>378</v>
      </c>
      <c r="AB80" s="319" t="s">
        <v>35</v>
      </c>
      <c r="AC80" s="284" t="s">
        <v>35</v>
      </c>
      <c r="AD80" s="287" t="s">
        <v>35</v>
      </c>
      <c r="AE80" s="287" t="s">
        <v>35</v>
      </c>
      <c r="AF80" s="287"/>
      <c r="AG80" s="287"/>
      <c r="AH80" s="287" t="s">
        <v>35</v>
      </c>
      <c r="AI80" s="316" t="s">
        <v>35</v>
      </c>
      <c r="AJ80" s="287" t="s">
        <v>35</v>
      </c>
      <c r="AK80" s="287" t="s">
        <v>35</v>
      </c>
      <c r="AL80" s="287"/>
      <c r="AM80" s="287"/>
      <c r="AN80" s="287" t="s">
        <v>35</v>
      </c>
      <c r="AO80" s="316" t="s">
        <v>35</v>
      </c>
      <c r="AQ80" s="324"/>
      <c r="AR80" s="3"/>
      <c r="BB80" s="324"/>
      <c r="BC80" s="3"/>
      <c r="BM80" s="324"/>
      <c r="BN80" s="3"/>
    </row>
    <row r="81" spans="2:66" x14ac:dyDescent="0.35">
      <c r="B81" s="257">
        <v>22</v>
      </c>
      <c r="C81" s="258" t="str">
        <f t="shared" si="86"/>
        <v>Aircraft</v>
      </c>
      <c r="D81" s="314" t="s">
        <v>294</v>
      </c>
      <c r="E81" s="97" t="s">
        <v>295</v>
      </c>
      <c r="F81" s="342" t="s">
        <v>314</v>
      </c>
      <c r="G81" t="s">
        <v>35</v>
      </c>
      <c r="H81" t="s">
        <v>35</v>
      </c>
      <c r="I81" t="s">
        <v>35</v>
      </c>
      <c r="J81" t="s">
        <v>35</v>
      </c>
      <c r="K81" s="159" t="s">
        <v>316</v>
      </c>
      <c r="L81" s="314" t="s">
        <v>297</v>
      </c>
      <c r="M81" s="97" t="s">
        <v>298</v>
      </c>
      <c r="N81" s="97"/>
      <c r="O81" s="97"/>
      <c r="P81" s="315" t="s">
        <v>299</v>
      </c>
      <c r="Q81" s="284" t="s">
        <v>35</v>
      </c>
      <c r="R81" s="314" t="s">
        <v>297</v>
      </c>
      <c r="S81" t="s">
        <v>295</v>
      </c>
      <c r="V81" s="315" t="s">
        <v>299</v>
      </c>
      <c r="W81" s="284" t="s">
        <v>35</v>
      </c>
      <c r="X81" s="314" t="s">
        <v>297</v>
      </c>
      <c r="Y81" t="s">
        <v>378</v>
      </c>
      <c r="AB81" s="315" t="s">
        <v>299</v>
      </c>
      <c r="AC81" s="284" t="s">
        <v>35</v>
      </c>
      <c r="AD81" s="287" t="s">
        <v>35</v>
      </c>
      <c r="AE81" s="287" t="s">
        <v>35</v>
      </c>
      <c r="AF81" s="287"/>
      <c r="AG81" s="287"/>
      <c r="AH81" s="287" t="s">
        <v>35</v>
      </c>
      <c r="AI81" s="316" t="s">
        <v>35</v>
      </c>
      <c r="AJ81" s="287" t="s">
        <v>35</v>
      </c>
      <c r="AK81" s="287" t="s">
        <v>35</v>
      </c>
      <c r="AL81" s="287"/>
      <c r="AM81" s="287"/>
      <c r="AN81" s="287" t="s">
        <v>35</v>
      </c>
      <c r="AO81" s="316" t="s">
        <v>35</v>
      </c>
      <c r="AQ81" s="324"/>
      <c r="AR81" s="3"/>
      <c r="BB81" s="324"/>
      <c r="BC81" s="3"/>
      <c r="BM81" s="324"/>
      <c r="BN81" s="3"/>
    </row>
    <row r="82" spans="2:66" x14ac:dyDescent="0.35">
      <c r="B82" s="257">
        <v>23</v>
      </c>
      <c r="C82" s="258" t="str">
        <f t="shared" si="86"/>
        <v>Helicopters</v>
      </c>
      <c r="D82" s="314" t="s">
        <v>294</v>
      </c>
      <c r="E82" s="97" t="s">
        <v>295</v>
      </c>
      <c r="F82" s="342" t="s">
        <v>317</v>
      </c>
      <c r="G82" t="s">
        <v>35</v>
      </c>
      <c r="H82" t="s">
        <v>35</v>
      </c>
      <c r="I82" t="s">
        <v>35</v>
      </c>
      <c r="J82" t="s">
        <v>35</v>
      </c>
      <c r="K82" s="159" t="s">
        <v>34</v>
      </c>
      <c r="L82" s="314" t="s">
        <v>297</v>
      </c>
      <c r="M82" s="97" t="s">
        <v>298</v>
      </c>
      <c r="N82" s="97"/>
      <c r="O82" s="97"/>
      <c r="P82" s="315" t="s">
        <v>299</v>
      </c>
      <c r="Q82" s="284" t="s">
        <v>35</v>
      </c>
      <c r="R82" s="314" t="s">
        <v>297</v>
      </c>
      <c r="S82" t="s">
        <v>295</v>
      </c>
      <c r="V82" s="315" t="s">
        <v>299</v>
      </c>
      <c r="W82" s="284" t="s">
        <v>35</v>
      </c>
      <c r="X82" s="314" t="s">
        <v>297</v>
      </c>
      <c r="Y82" t="s">
        <v>378</v>
      </c>
      <c r="AB82" s="315" t="s">
        <v>299</v>
      </c>
      <c r="AC82" s="284" t="s">
        <v>35</v>
      </c>
      <c r="AD82" s="287" t="s">
        <v>35</v>
      </c>
      <c r="AE82" s="287" t="s">
        <v>35</v>
      </c>
      <c r="AF82" s="287"/>
      <c r="AG82" s="287"/>
      <c r="AH82" s="287" t="s">
        <v>35</v>
      </c>
      <c r="AI82" s="316" t="s">
        <v>35</v>
      </c>
      <c r="AJ82" s="287" t="s">
        <v>35</v>
      </c>
      <c r="AK82" s="287" t="s">
        <v>35</v>
      </c>
      <c r="AL82" s="287"/>
      <c r="AM82" s="287"/>
      <c r="AN82" s="287" t="s">
        <v>35</v>
      </c>
      <c r="AO82" s="316" t="s">
        <v>35</v>
      </c>
      <c r="AQ82" s="324"/>
      <c r="AR82" s="3"/>
      <c r="BB82" s="324"/>
      <c r="BC82" s="3"/>
      <c r="BM82" s="324"/>
      <c r="BN82" s="3"/>
    </row>
    <row r="83" spans="2:66" x14ac:dyDescent="0.35">
      <c r="B83" s="257">
        <v>24</v>
      </c>
      <c r="C83" s="258" t="str">
        <f t="shared" si="86"/>
        <v>Combat Unmanned Aerial Vehicles</v>
      </c>
      <c r="D83" s="99"/>
      <c r="E83" s="159"/>
      <c r="F83" s="159"/>
      <c r="G83" s="159"/>
      <c r="H83" s="159"/>
      <c r="I83" s="159"/>
      <c r="J83" s="159"/>
      <c r="K83" s="159" t="s">
        <v>34</v>
      </c>
      <c r="L83" s="314" t="s">
        <v>297</v>
      </c>
      <c r="M83" t="s">
        <v>34</v>
      </c>
      <c r="P83" s="315" t="s">
        <v>299</v>
      </c>
      <c r="Q83" s="284" t="s">
        <v>35</v>
      </c>
      <c r="R83" s="314" t="s">
        <v>297</v>
      </c>
      <c r="S83" t="s">
        <v>34</v>
      </c>
      <c r="V83" s="315" t="s">
        <v>299</v>
      </c>
      <c r="W83" s="284" t="s">
        <v>35</v>
      </c>
      <c r="X83" s="314" t="s">
        <v>297</v>
      </c>
      <c r="Y83" t="s">
        <v>34</v>
      </c>
      <c r="AB83" s="315" t="s">
        <v>299</v>
      </c>
      <c r="AC83" s="284" t="s">
        <v>35</v>
      </c>
      <c r="AD83" s="287" t="s">
        <v>35</v>
      </c>
      <c r="AE83" s="287" t="s">
        <v>35</v>
      </c>
      <c r="AF83" s="287"/>
      <c r="AG83" s="287"/>
      <c r="AH83" s="287" t="s">
        <v>35</v>
      </c>
      <c r="AI83" s="316" t="s">
        <v>35</v>
      </c>
      <c r="AJ83" s="287" t="s">
        <v>35</v>
      </c>
      <c r="AK83" s="287" t="s">
        <v>35</v>
      </c>
      <c r="AL83" s="287"/>
      <c r="AM83" s="287"/>
      <c r="AN83" s="287" t="s">
        <v>35</v>
      </c>
      <c r="AO83" s="316" t="s">
        <v>35</v>
      </c>
      <c r="AQ83" s="324"/>
      <c r="AR83" s="3"/>
      <c r="BB83" s="324"/>
      <c r="BC83" s="3"/>
      <c r="BM83" s="324"/>
      <c r="BN83" s="3"/>
    </row>
    <row r="84" spans="2:66" x14ac:dyDescent="0.35">
      <c r="B84" s="257">
        <v>25</v>
      </c>
      <c r="C84" s="258" t="str">
        <f t="shared" si="86"/>
        <v>Reconnaissance UAVs</v>
      </c>
      <c r="D84" s="99"/>
      <c r="E84" s="159"/>
      <c r="F84" s="159"/>
      <c r="G84" s="159"/>
      <c r="H84" s="159"/>
      <c r="I84" s="159"/>
      <c r="J84" s="159"/>
      <c r="K84" s="159" t="s">
        <v>34</v>
      </c>
      <c r="L84" s="314" t="s">
        <v>297</v>
      </c>
      <c r="M84" t="s">
        <v>34</v>
      </c>
      <c r="P84" s="315" t="s">
        <v>299</v>
      </c>
      <c r="Q84" s="284" t="s">
        <v>35</v>
      </c>
      <c r="R84" s="314" t="s">
        <v>297</v>
      </c>
      <c r="S84" t="s">
        <v>34</v>
      </c>
      <c r="V84" s="315" t="s">
        <v>299</v>
      </c>
      <c r="W84" s="284" t="s">
        <v>35</v>
      </c>
      <c r="X84" s="314" t="s">
        <v>297</v>
      </c>
      <c r="Y84" t="s">
        <v>34</v>
      </c>
      <c r="AB84" s="315" t="s">
        <v>299</v>
      </c>
      <c r="AC84" s="284" t="s">
        <v>35</v>
      </c>
      <c r="AD84" s="287" t="s">
        <v>35</v>
      </c>
      <c r="AE84" s="287" t="s">
        <v>35</v>
      </c>
      <c r="AF84" s="287"/>
      <c r="AG84" s="287"/>
      <c r="AH84" s="287" t="s">
        <v>35</v>
      </c>
      <c r="AI84" s="316" t="s">
        <v>35</v>
      </c>
      <c r="AJ84" s="287" t="s">
        <v>35</v>
      </c>
      <c r="AK84" s="287" t="s">
        <v>35</v>
      </c>
      <c r="AL84" s="287"/>
      <c r="AM84" s="287"/>
      <c r="AN84" s="287" t="s">
        <v>35</v>
      </c>
      <c r="AO84" s="316" t="s">
        <v>35</v>
      </c>
      <c r="AQ84" s="324"/>
      <c r="AR84" s="3"/>
      <c r="BB84" s="324"/>
      <c r="BC84" s="3"/>
      <c r="BM84" s="324"/>
      <c r="BN84" s="3"/>
    </row>
    <row r="85" spans="2:66" x14ac:dyDescent="0.35">
      <c r="B85" s="257">
        <v>26</v>
      </c>
      <c r="C85" s="258" t="str">
        <f t="shared" si="86"/>
        <v>Total UAVs (24 to 25)</v>
      </c>
      <c r="D85" s="282"/>
      <c r="E85" s="283"/>
      <c r="F85" s="283"/>
      <c r="G85" s="283"/>
      <c r="H85" s="283"/>
      <c r="I85" s="283"/>
      <c r="J85" s="283"/>
      <c r="K85" s="159" t="s">
        <v>34</v>
      </c>
      <c r="L85" s="318" t="s">
        <v>35</v>
      </c>
      <c r="M85" s="97" t="s">
        <v>298</v>
      </c>
      <c r="N85" s="97"/>
      <c r="O85" s="97"/>
      <c r="P85" s="319" t="s">
        <v>35</v>
      </c>
      <c r="Q85" s="284" t="s">
        <v>35</v>
      </c>
      <c r="R85" s="318" t="s">
        <v>35</v>
      </c>
      <c r="S85" t="s">
        <v>295</v>
      </c>
      <c r="V85" s="319" t="s">
        <v>35</v>
      </c>
      <c r="W85" s="284" t="s">
        <v>35</v>
      </c>
      <c r="X85" s="318" t="s">
        <v>35</v>
      </c>
      <c r="Y85" t="s">
        <v>378</v>
      </c>
      <c r="AB85" s="319" t="s">
        <v>35</v>
      </c>
      <c r="AC85" s="284" t="s">
        <v>35</v>
      </c>
      <c r="AD85" s="287" t="s">
        <v>35</v>
      </c>
      <c r="AE85" s="287" t="s">
        <v>35</v>
      </c>
      <c r="AF85" s="287"/>
      <c r="AG85" s="287"/>
      <c r="AH85" s="287" t="s">
        <v>35</v>
      </c>
      <c r="AI85" s="316" t="s">
        <v>35</v>
      </c>
      <c r="AJ85" s="287" t="s">
        <v>35</v>
      </c>
      <c r="AK85" s="287" t="s">
        <v>35</v>
      </c>
      <c r="AL85" s="287"/>
      <c r="AM85" s="287"/>
      <c r="AN85" s="287" t="s">
        <v>35</v>
      </c>
      <c r="AO85" s="316" t="s">
        <v>35</v>
      </c>
      <c r="AQ85" s="324"/>
      <c r="AR85" s="3"/>
      <c r="BB85" s="324"/>
      <c r="BC85" s="3"/>
      <c r="BM85" s="324"/>
      <c r="BN85" s="3"/>
    </row>
    <row r="86" spans="2:66" x14ac:dyDescent="0.35">
      <c r="B86" s="257">
        <v>27</v>
      </c>
      <c r="C86" s="258" t="str">
        <f t="shared" si="86"/>
        <v>Naval ships, Black Sea only</v>
      </c>
      <c r="D86" s="314" t="s">
        <v>294</v>
      </c>
      <c r="E86" s="97" t="s">
        <v>295</v>
      </c>
      <c r="F86" s="97"/>
      <c r="G86" t="s">
        <v>35</v>
      </c>
      <c r="H86" t="s">
        <v>35</v>
      </c>
      <c r="I86" t="s">
        <v>35</v>
      </c>
      <c r="J86" t="s">
        <v>35</v>
      </c>
      <c r="K86" s="159" t="s">
        <v>34</v>
      </c>
      <c r="L86" s="314" t="s">
        <v>297</v>
      </c>
      <c r="M86" s="97" t="s">
        <v>298</v>
      </c>
      <c r="N86" s="97"/>
      <c r="O86" s="97"/>
      <c r="P86" s="315" t="s">
        <v>299</v>
      </c>
      <c r="Q86" s="284" t="s">
        <v>35</v>
      </c>
      <c r="R86" s="314" t="s">
        <v>297</v>
      </c>
      <c r="S86" t="s">
        <v>295</v>
      </c>
      <c r="V86" s="315" t="s">
        <v>299</v>
      </c>
      <c r="W86" s="284" t="s">
        <v>35</v>
      </c>
      <c r="X86" s="314" t="s">
        <v>297</v>
      </c>
      <c r="Y86" t="s">
        <v>378</v>
      </c>
      <c r="AB86" s="315" t="s">
        <v>299</v>
      </c>
      <c r="AC86" s="284" t="s">
        <v>35</v>
      </c>
      <c r="AD86" s="287" t="s">
        <v>35</v>
      </c>
      <c r="AE86" s="287" t="s">
        <v>35</v>
      </c>
      <c r="AF86" s="287"/>
      <c r="AG86" s="287"/>
      <c r="AH86" s="287" t="s">
        <v>35</v>
      </c>
      <c r="AI86" s="316" t="s">
        <v>35</v>
      </c>
      <c r="AJ86" s="287" t="s">
        <v>35</v>
      </c>
      <c r="AK86" s="287" t="s">
        <v>35</v>
      </c>
      <c r="AL86" s="287"/>
      <c r="AM86" s="287"/>
      <c r="AN86" s="287" t="s">
        <v>35</v>
      </c>
      <c r="AO86" s="316" t="s">
        <v>35</v>
      </c>
      <c r="AQ86" s="324"/>
      <c r="AR86" s="3"/>
      <c r="BB86" s="324"/>
      <c r="BC86" s="3"/>
      <c r="BM86" s="324"/>
      <c r="BN86" s="3"/>
    </row>
    <row r="87" spans="2:66" x14ac:dyDescent="0.35">
      <c r="B87" s="257">
        <v>28</v>
      </c>
      <c r="C87" s="258" t="str">
        <f t="shared" si="86"/>
        <v>Submarines, Black Sea only</v>
      </c>
      <c r="D87" s="314"/>
      <c r="E87" s="97" t="s">
        <v>295</v>
      </c>
      <c r="F87" s="97"/>
      <c r="G87" t="s">
        <v>35</v>
      </c>
      <c r="H87" t="s">
        <v>35</v>
      </c>
      <c r="I87" t="s">
        <v>35</v>
      </c>
      <c r="J87" t="s">
        <v>35</v>
      </c>
      <c r="K87" s="159" t="s">
        <v>34</v>
      </c>
      <c r="L87" s="314"/>
      <c r="M87" s="97" t="s">
        <v>298</v>
      </c>
      <c r="N87" s="97"/>
      <c r="O87" s="97"/>
      <c r="P87" s="315"/>
      <c r="Q87" s="284" t="s">
        <v>34</v>
      </c>
      <c r="R87" s="314"/>
      <c r="S87" t="s">
        <v>295</v>
      </c>
      <c r="V87" s="315"/>
      <c r="W87" s="284" t="s">
        <v>34</v>
      </c>
      <c r="X87" s="314"/>
      <c r="Y87" t="s">
        <v>378</v>
      </c>
      <c r="AB87" s="315"/>
      <c r="AC87" s="284" t="s">
        <v>34</v>
      </c>
      <c r="AD87" s="287" t="s">
        <v>35</v>
      </c>
      <c r="AE87" s="287" t="s">
        <v>35</v>
      </c>
      <c r="AF87" s="287"/>
      <c r="AG87" s="287"/>
      <c r="AH87" s="287" t="s">
        <v>35</v>
      </c>
      <c r="AI87" s="316" t="s">
        <v>35</v>
      </c>
      <c r="AJ87" s="287" t="s">
        <v>35</v>
      </c>
      <c r="AK87" s="287" t="s">
        <v>35</v>
      </c>
      <c r="AL87" s="287"/>
      <c r="AM87" s="287"/>
      <c r="AN87" s="287" t="s">
        <v>35</v>
      </c>
      <c r="AO87" s="316" t="s">
        <v>35</v>
      </c>
      <c r="AQ87" s="324"/>
      <c r="AR87" s="3"/>
      <c r="BB87" s="324"/>
      <c r="BC87" s="3"/>
      <c r="BM87" s="324"/>
      <c r="BN87" s="3"/>
    </row>
    <row r="88" spans="2:66" x14ac:dyDescent="0.35">
      <c r="B88" s="257">
        <v>29</v>
      </c>
      <c r="C88" s="258" t="str">
        <f t="shared" si="86"/>
        <v>Trucks, Vehicles and Jeeps</v>
      </c>
      <c r="D88" s="282"/>
      <c r="E88" s="283"/>
      <c r="F88" s="283"/>
      <c r="H88" s="283"/>
      <c r="I88" s="283"/>
      <c r="J88" s="283"/>
      <c r="K88" s="159" t="s">
        <v>34</v>
      </c>
      <c r="L88" s="314" t="s">
        <v>297</v>
      </c>
      <c r="M88" s="97" t="s">
        <v>298</v>
      </c>
      <c r="N88" s="97"/>
      <c r="O88" s="97"/>
      <c r="P88" s="315" t="s">
        <v>299</v>
      </c>
      <c r="Q88" s="284" t="s">
        <v>35</v>
      </c>
      <c r="R88" s="314" t="s">
        <v>297</v>
      </c>
      <c r="S88" s="97" t="s">
        <v>295</v>
      </c>
      <c r="T88" s="97"/>
      <c r="U88" s="97"/>
      <c r="V88" s="315" t="s">
        <v>299</v>
      </c>
      <c r="W88" s="284" t="s">
        <v>35</v>
      </c>
      <c r="X88" s="314" t="s">
        <v>297</v>
      </c>
      <c r="Y88" s="397" t="s">
        <v>378</v>
      </c>
      <c r="Z88" s="97"/>
      <c r="AA88" s="97"/>
      <c r="AB88" s="315" t="s">
        <v>299</v>
      </c>
      <c r="AC88" s="284" t="s">
        <v>35</v>
      </c>
      <c r="AD88" s="287" t="s">
        <v>35</v>
      </c>
      <c r="AE88" s="287" t="s">
        <v>35</v>
      </c>
      <c r="AF88" s="287"/>
      <c r="AG88" s="287"/>
      <c r="AH88" s="287" t="s">
        <v>35</v>
      </c>
      <c r="AI88" s="316" t="s">
        <v>35</v>
      </c>
      <c r="AJ88" s="287" t="s">
        <v>35</v>
      </c>
      <c r="AK88" s="287" t="s">
        <v>35</v>
      </c>
      <c r="AL88" s="287"/>
      <c r="AM88" s="287"/>
      <c r="AN88" s="287" t="s">
        <v>35</v>
      </c>
      <c r="AO88" s="316" t="s">
        <v>35</v>
      </c>
      <c r="AQ88" s="324"/>
      <c r="AR88" s="3"/>
      <c r="BB88" s="324"/>
      <c r="BC88" s="3"/>
      <c r="BM88" s="324"/>
      <c r="BN88" s="3"/>
    </row>
    <row r="89" spans="2:66" x14ac:dyDescent="0.35">
      <c r="B89" s="257">
        <v>30</v>
      </c>
      <c r="C89" s="258" t="str">
        <f t="shared" si="86"/>
        <v>Total equipment losses (not 26, 29)</v>
      </c>
      <c r="D89" s="294"/>
      <c r="E89" s="295"/>
      <c r="F89" s="295"/>
      <c r="G89" s="295" t="s">
        <v>35</v>
      </c>
      <c r="H89" s="295" t="s">
        <v>35</v>
      </c>
      <c r="I89" s="295" t="s">
        <v>35</v>
      </c>
      <c r="J89" s="295" t="s">
        <v>35</v>
      </c>
      <c r="K89" s="159" t="s">
        <v>34</v>
      </c>
      <c r="L89" s="282" t="s">
        <v>35</v>
      </c>
      <c r="M89" s="283" t="s">
        <v>35</v>
      </c>
      <c r="N89" s="283"/>
      <c r="O89" s="283"/>
      <c r="P89" s="283" t="s">
        <v>35</v>
      </c>
      <c r="Q89" s="284" t="s">
        <v>35</v>
      </c>
      <c r="R89" s="282" t="s">
        <v>35</v>
      </c>
      <c r="S89" s="283" t="s">
        <v>35</v>
      </c>
      <c r="T89" s="283"/>
      <c r="U89" s="283"/>
      <c r="V89" s="283" t="s">
        <v>35</v>
      </c>
      <c r="W89" s="284" t="s">
        <v>35</v>
      </c>
      <c r="X89" s="282" t="s">
        <v>35</v>
      </c>
      <c r="Y89" s="283" t="s">
        <v>35</v>
      </c>
      <c r="Z89" s="283"/>
      <c r="AA89" s="283"/>
      <c r="AB89" s="283" t="s">
        <v>35</v>
      </c>
      <c r="AC89" s="284" t="s">
        <v>35</v>
      </c>
      <c r="AD89" s="287" t="s">
        <v>35</v>
      </c>
      <c r="AE89" s="287" t="s">
        <v>35</v>
      </c>
      <c r="AF89" s="287"/>
      <c r="AG89" s="287"/>
      <c r="AH89" s="287" t="s">
        <v>35</v>
      </c>
      <c r="AI89" s="316" t="s">
        <v>35</v>
      </c>
      <c r="AJ89" s="287" t="s">
        <v>35</v>
      </c>
      <c r="AK89" s="287" t="s">
        <v>35</v>
      </c>
      <c r="AL89" s="287"/>
      <c r="AM89" s="287"/>
      <c r="AN89" s="287" t="s">
        <v>35</v>
      </c>
      <c r="AO89" s="316" t="s">
        <v>35</v>
      </c>
      <c r="AQ89" s="324"/>
      <c r="AR89" s="3"/>
      <c r="BB89" s="324"/>
      <c r="BC89" s="3"/>
      <c r="BM89" s="324"/>
      <c r="BN89" s="3"/>
    </row>
    <row r="90" spans="2:66" x14ac:dyDescent="0.35">
      <c r="B90" s="257">
        <v>31</v>
      </c>
      <c r="C90" s="258" t="str">
        <f t="shared" si="86"/>
        <v>of which destroyed</v>
      </c>
      <c r="D90" s="51"/>
      <c r="K90" s="159" t="s">
        <v>34</v>
      </c>
      <c r="L90" s="314" t="s">
        <v>297</v>
      </c>
      <c r="M90" t="s">
        <v>34</v>
      </c>
      <c r="P90" s="315" t="s">
        <v>299</v>
      </c>
      <c r="Q90" s="284" t="s">
        <v>35</v>
      </c>
      <c r="R90" s="314" t="s">
        <v>297</v>
      </c>
      <c r="S90" t="s">
        <v>34</v>
      </c>
      <c r="V90" s="315" t="s">
        <v>299</v>
      </c>
      <c r="W90" s="284" t="s">
        <v>35</v>
      </c>
      <c r="X90" s="314" t="s">
        <v>297</v>
      </c>
      <c r="Y90" t="s">
        <v>34</v>
      </c>
      <c r="AB90" s="315" t="s">
        <v>299</v>
      </c>
      <c r="AC90" s="284" t="s">
        <v>35</v>
      </c>
      <c r="AD90" s="287" t="s">
        <v>35</v>
      </c>
      <c r="AE90" s="287" t="s">
        <v>35</v>
      </c>
      <c r="AF90" s="287"/>
      <c r="AG90" s="287"/>
      <c r="AH90" s="287" t="s">
        <v>35</v>
      </c>
      <c r="AI90" s="316" t="s">
        <v>35</v>
      </c>
      <c r="AJ90" s="287" t="s">
        <v>35</v>
      </c>
      <c r="AK90" s="287" t="s">
        <v>35</v>
      </c>
      <c r="AL90" s="287"/>
      <c r="AM90" s="287"/>
      <c r="AN90" s="287" t="s">
        <v>35</v>
      </c>
      <c r="AO90" s="316" t="s">
        <v>35</v>
      </c>
      <c r="AQ90" s="324"/>
      <c r="AR90" s="3"/>
      <c r="BB90" s="324"/>
      <c r="BC90" s="3"/>
      <c r="BM90" s="324"/>
      <c r="BN90" s="3"/>
    </row>
    <row r="91" spans="2:66" x14ac:dyDescent="0.35">
      <c r="B91" s="257">
        <v>32</v>
      </c>
      <c r="C91" s="258" t="str">
        <f t="shared" si="86"/>
        <v>of which damaged</v>
      </c>
      <c r="D91" s="51"/>
      <c r="K91" s="159" t="s">
        <v>34</v>
      </c>
      <c r="L91" s="314" t="s">
        <v>297</v>
      </c>
      <c r="M91" t="s">
        <v>34</v>
      </c>
      <c r="P91" s="315" t="s">
        <v>299</v>
      </c>
      <c r="Q91" s="284" t="s">
        <v>35</v>
      </c>
      <c r="R91" s="314" t="s">
        <v>297</v>
      </c>
      <c r="S91" t="s">
        <v>34</v>
      </c>
      <c r="V91" s="315" t="s">
        <v>299</v>
      </c>
      <c r="W91" s="284" t="s">
        <v>35</v>
      </c>
      <c r="X91" s="314" t="s">
        <v>297</v>
      </c>
      <c r="Y91" t="s">
        <v>34</v>
      </c>
      <c r="AB91" s="315" t="s">
        <v>299</v>
      </c>
      <c r="AC91" s="284" t="s">
        <v>35</v>
      </c>
      <c r="AD91" s="287" t="s">
        <v>35</v>
      </c>
      <c r="AE91" s="287" t="s">
        <v>35</v>
      </c>
      <c r="AF91" s="287"/>
      <c r="AG91" s="287"/>
      <c r="AH91" s="287" t="s">
        <v>35</v>
      </c>
      <c r="AI91" s="316" t="s">
        <v>35</v>
      </c>
      <c r="AJ91" s="287" t="s">
        <v>35</v>
      </c>
      <c r="AK91" s="287" t="s">
        <v>35</v>
      </c>
      <c r="AL91" s="287"/>
      <c r="AM91" s="287"/>
      <c r="AN91" s="287" t="s">
        <v>35</v>
      </c>
      <c r="AO91" s="316" t="s">
        <v>35</v>
      </c>
      <c r="AQ91" s="324"/>
      <c r="AR91" s="3"/>
      <c r="BB91" s="324"/>
      <c r="BC91" s="3"/>
      <c r="BM91" s="324"/>
      <c r="BN91" s="3"/>
    </row>
    <row r="92" spans="2:66" x14ac:dyDescent="0.35">
      <c r="B92" s="257">
        <v>33</v>
      </c>
      <c r="C92" s="258" t="str">
        <f t="shared" si="86"/>
        <v xml:space="preserve">of which abandoned </v>
      </c>
      <c r="D92" s="51"/>
      <c r="K92" s="159" t="s">
        <v>34</v>
      </c>
      <c r="L92" s="314" t="s">
        <v>297</v>
      </c>
      <c r="M92" t="s">
        <v>34</v>
      </c>
      <c r="P92" s="315" t="s">
        <v>299</v>
      </c>
      <c r="Q92" s="284" t="s">
        <v>35</v>
      </c>
      <c r="R92" s="314" t="s">
        <v>297</v>
      </c>
      <c r="S92" t="s">
        <v>34</v>
      </c>
      <c r="V92" s="315" t="s">
        <v>299</v>
      </c>
      <c r="W92" s="284" t="s">
        <v>35</v>
      </c>
      <c r="X92" s="314" t="s">
        <v>297</v>
      </c>
      <c r="Y92" t="s">
        <v>34</v>
      </c>
      <c r="AB92" s="315" t="s">
        <v>299</v>
      </c>
      <c r="AC92" s="284" t="s">
        <v>35</v>
      </c>
      <c r="AD92" s="287" t="s">
        <v>35</v>
      </c>
      <c r="AE92" s="287" t="s">
        <v>35</v>
      </c>
      <c r="AF92" s="287"/>
      <c r="AG92" s="287"/>
      <c r="AH92" s="287" t="s">
        <v>35</v>
      </c>
      <c r="AI92" s="316" t="s">
        <v>35</v>
      </c>
      <c r="AJ92" s="287" t="s">
        <v>35</v>
      </c>
      <c r="AK92" s="287" t="s">
        <v>35</v>
      </c>
      <c r="AL92" s="287"/>
      <c r="AM92" s="287"/>
      <c r="AN92" s="287" t="s">
        <v>35</v>
      </c>
      <c r="AO92" s="316" t="s">
        <v>35</v>
      </c>
      <c r="AQ92" s="324"/>
      <c r="AR92" s="3"/>
      <c r="BB92" s="324"/>
      <c r="BC92" s="3"/>
      <c r="BM92" s="324"/>
      <c r="BN92" s="3"/>
    </row>
    <row r="93" spans="2:66" x14ac:dyDescent="0.35">
      <c r="B93" s="257">
        <v>34</v>
      </c>
      <c r="C93" s="258" t="str">
        <f t="shared" si="86"/>
        <v>of which captured</v>
      </c>
      <c r="D93" s="51"/>
      <c r="K93" s="159" t="s">
        <v>34</v>
      </c>
      <c r="L93" s="314" t="s">
        <v>297</v>
      </c>
      <c r="M93" t="s">
        <v>34</v>
      </c>
      <c r="P93" s="315" t="s">
        <v>299</v>
      </c>
      <c r="Q93" s="284" t="s">
        <v>35</v>
      </c>
      <c r="R93" s="314" t="s">
        <v>297</v>
      </c>
      <c r="S93" t="s">
        <v>34</v>
      </c>
      <c r="V93" s="315" t="s">
        <v>299</v>
      </c>
      <c r="W93" s="284" t="s">
        <v>35</v>
      </c>
      <c r="X93" s="314" t="s">
        <v>297</v>
      </c>
      <c r="Y93" t="s">
        <v>34</v>
      </c>
      <c r="AB93" s="315" t="s">
        <v>299</v>
      </c>
      <c r="AC93" s="284" t="s">
        <v>35</v>
      </c>
      <c r="AD93" s="287" t="s">
        <v>35</v>
      </c>
      <c r="AE93" s="287" t="s">
        <v>35</v>
      </c>
      <c r="AF93" s="287"/>
      <c r="AG93" s="287"/>
      <c r="AH93" s="287" t="s">
        <v>35</v>
      </c>
      <c r="AI93" s="316" t="s">
        <v>35</v>
      </c>
      <c r="AJ93" s="287" t="s">
        <v>35</v>
      </c>
      <c r="AK93" s="287" t="s">
        <v>35</v>
      </c>
      <c r="AL93" s="287"/>
      <c r="AM93" s="287"/>
      <c r="AN93" s="287" t="s">
        <v>35</v>
      </c>
      <c r="AO93" s="316" t="s">
        <v>35</v>
      </c>
      <c r="AQ93" s="324"/>
      <c r="AR93" s="3"/>
      <c r="BB93" s="324"/>
      <c r="BC93" s="3"/>
      <c r="BM93" s="324"/>
      <c r="BN93" s="3"/>
    </row>
    <row r="94" spans="2:66" x14ac:dyDescent="0.35">
      <c r="B94" s="257">
        <v>35</v>
      </c>
      <c r="C94" s="258" t="str">
        <f t="shared" si="86"/>
        <v>Killed personnel unconfirmed</v>
      </c>
      <c r="D94" s="297"/>
      <c r="E94" s="298"/>
      <c r="F94" s="298"/>
      <c r="G94" s="405" t="s">
        <v>383</v>
      </c>
      <c r="H94" s="298" t="s">
        <v>34</v>
      </c>
      <c r="I94" s="298"/>
      <c r="J94" s="298" t="s">
        <v>387</v>
      </c>
      <c r="K94" s="159" t="s">
        <v>34</v>
      </c>
      <c r="L94" s="51"/>
      <c r="M94" t="s">
        <v>298</v>
      </c>
      <c r="P94" s="299" t="s">
        <v>35</v>
      </c>
      <c r="Q94" s="296" t="s">
        <v>35</v>
      </c>
      <c r="R94" s="51"/>
      <c r="S94" s="97" t="s">
        <v>295</v>
      </c>
      <c r="T94" s="97"/>
      <c r="U94" s="97"/>
      <c r="V94" s="299" t="s">
        <v>35</v>
      </c>
      <c r="W94" s="296" t="s">
        <v>35</v>
      </c>
      <c r="X94" s="51"/>
      <c r="Y94" s="397" t="s">
        <v>378</v>
      </c>
      <c r="Z94" s="97"/>
      <c r="AA94" s="97"/>
      <c r="AB94" s="299" t="s">
        <v>35</v>
      </c>
      <c r="AC94" s="296" t="s">
        <v>35</v>
      </c>
      <c r="AD94" s="287" t="s">
        <v>35</v>
      </c>
      <c r="AE94" s="287" t="s">
        <v>35</v>
      </c>
      <c r="AF94" s="287"/>
      <c r="AG94" s="287"/>
      <c r="AH94" s="287" t="s">
        <v>35</v>
      </c>
      <c r="AI94" s="316" t="s">
        <v>35</v>
      </c>
      <c r="AJ94" s="287" t="s">
        <v>35</v>
      </c>
      <c r="AK94" s="287" t="s">
        <v>35</v>
      </c>
      <c r="AL94" s="287"/>
      <c r="AM94" s="287"/>
      <c r="AN94" s="287" t="s">
        <v>35</v>
      </c>
      <c r="AO94" s="316" t="s">
        <v>35</v>
      </c>
      <c r="AQ94" s="324"/>
      <c r="AR94" s="3"/>
      <c r="BB94" s="324"/>
      <c r="BC94" s="3"/>
      <c r="BM94" s="324"/>
      <c r="BN94" s="3"/>
    </row>
    <row r="95" spans="2:66" ht="15" thickBot="1" x14ac:dyDescent="0.4">
      <c r="B95" s="270">
        <v>36</v>
      </c>
      <c r="C95" s="271" t="str">
        <f t="shared" si="86"/>
        <v>Wounded personnel 3*killed</v>
      </c>
      <c r="D95" s="300"/>
      <c r="E95" s="301"/>
      <c r="F95" s="301"/>
      <c r="G95" s="301"/>
      <c r="H95" s="301"/>
      <c r="I95" s="301"/>
      <c r="J95" s="301"/>
      <c r="K95" s="301" t="s">
        <v>34</v>
      </c>
      <c r="L95" s="17"/>
      <c r="M95" s="302" t="s">
        <v>35</v>
      </c>
      <c r="N95" s="302"/>
      <c r="O95" s="302"/>
      <c r="P95" s="302" t="s">
        <v>35</v>
      </c>
      <c r="Q95" s="303" t="s">
        <v>35</v>
      </c>
      <c r="R95" s="17"/>
      <c r="S95" s="302" t="s">
        <v>35</v>
      </c>
      <c r="T95" s="302"/>
      <c r="U95" s="302"/>
      <c r="V95" s="302" t="s">
        <v>35</v>
      </c>
      <c r="W95" s="303" t="s">
        <v>35</v>
      </c>
      <c r="X95" s="17"/>
      <c r="Y95" s="302" t="s">
        <v>35</v>
      </c>
      <c r="Z95" s="302"/>
      <c r="AA95" s="302"/>
      <c r="AB95" s="302" t="s">
        <v>35</v>
      </c>
      <c r="AC95" s="303" t="s">
        <v>35</v>
      </c>
      <c r="AD95" s="320" t="s">
        <v>35</v>
      </c>
      <c r="AE95" s="320" t="s">
        <v>35</v>
      </c>
      <c r="AF95" s="320"/>
      <c r="AG95" s="320"/>
      <c r="AH95" s="320" t="s">
        <v>35</v>
      </c>
      <c r="AI95" s="321" t="s">
        <v>35</v>
      </c>
      <c r="AJ95" s="320" t="s">
        <v>35</v>
      </c>
      <c r="AK95" s="320" t="s">
        <v>35</v>
      </c>
      <c r="AL95" s="320"/>
      <c r="AM95" s="320"/>
      <c r="AN95" s="320" t="s">
        <v>35</v>
      </c>
      <c r="AO95" s="321" t="s">
        <v>35</v>
      </c>
      <c r="AQ95" s="324"/>
      <c r="AR95" s="3"/>
      <c r="BB95" s="324"/>
      <c r="BC95" s="3"/>
      <c r="BM95" s="324"/>
      <c r="BN95" s="3"/>
    </row>
    <row r="96" spans="2:66" ht="15" thickTop="1" x14ac:dyDescent="0.35"/>
  </sheetData>
  <phoneticPr fontId="8" type="noConversion"/>
  <hyperlinks>
    <hyperlink ref="K59" r:id="rId1" xr:uid="{B9B57CCE-2875-4768-8156-0089A234DCFB}"/>
    <hyperlink ref="M68" r:id="rId2" xr:uid="{E87F7286-546C-4F38-AA24-63ACFA46EFCC}"/>
    <hyperlink ref="M81" r:id="rId3" xr:uid="{575A91C1-C1D9-4118-B983-F6182EF1FF6D}"/>
    <hyperlink ref="M85" r:id="rId4" xr:uid="{D68CBC53-6D33-4144-A8CA-6261BED34E38}"/>
    <hyperlink ref="M88" r:id="rId5" xr:uid="{E19A5AF1-371C-4ABE-B513-7ED6880ECEC4}"/>
    <hyperlink ref="D59" r:id="rId6" xr:uid="{ACA723BF-D62E-4825-97D0-DF32401F02E2}"/>
    <hyperlink ref="D67" r:id="rId7" xr:uid="{28A63A6A-7F72-4635-81FD-A8F646AFBC56}"/>
    <hyperlink ref="D74" r:id="rId8" xr:uid="{408303E7-B8AE-46EB-9564-74ADDDA1ABA7}"/>
    <hyperlink ref="D81" r:id="rId9" xr:uid="{69AF64A2-50E7-43B1-851E-207D2CC3C952}"/>
    <hyperlink ref="D82" r:id="rId10" xr:uid="{3C60B25A-D847-4657-832E-D1036425D18C}"/>
    <hyperlink ref="D86" r:id="rId11" xr:uid="{79A726DB-03DB-48FB-816E-C90BBC908610}"/>
    <hyperlink ref="M82" r:id="rId12" xr:uid="{3417522B-219E-4E63-B807-5BC3B27F389E}"/>
    <hyperlink ref="M86" r:id="rId13" xr:uid="{7114F660-726E-4DE4-B4BB-2808D5D48A06}"/>
    <hyperlink ref="M87" r:id="rId14" xr:uid="{6CF916A4-753C-41CB-9E37-2247BA77F0F4}"/>
    <hyperlink ref="E74" r:id="rId15" xr:uid="{4E67DC99-F10A-4A79-8D1B-FBD5D8CBFDD4}"/>
    <hyperlink ref="E80" r:id="rId16" xr:uid="{FF2420AA-C512-4924-88F4-9B6B1E41370D}"/>
    <hyperlink ref="E81" r:id="rId17" xr:uid="{CE901201-C4E0-446D-ABC7-BB4D60F6E3AC}"/>
    <hyperlink ref="E82" r:id="rId18" xr:uid="{3B7A51D9-2DD3-477C-903B-AC4CA6F01009}"/>
    <hyperlink ref="E86" r:id="rId19" xr:uid="{5091066F-9D08-4C57-8552-FEB82F562437}"/>
    <hyperlink ref="E87" r:id="rId20" xr:uid="{A6166CF9-FAEF-460C-98EF-D63E0A6E8C45}"/>
    <hyperlink ref="L61" r:id="rId21" xr:uid="{0E328F2E-0B77-4FCB-91C4-B4A75FE2F068}"/>
    <hyperlink ref="L60" r:id="rId22" xr:uid="{7064D59A-F8CA-4F21-87E9-9A982A7FC417}"/>
    <hyperlink ref="P60" r:id="rId23" xr:uid="{56AF8D65-BDC2-47AA-998B-FE252EC2A7C2}"/>
    <hyperlink ref="M80" r:id="rId24" xr:uid="{8D949DA2-970E-426D-970A-BDE0B100E5D6}"/>
    <hyperlink ref="R61" r:id="rId25" xr:uid="{D5E5672B-B4C8-407A-8107-77BCB8D612C9}"/>
    <hyperlink ref="R60" r:id="rId26" xr:uid="{8ABA3F06-7CA6-470B-8E8C-EFE0B686C8BA}"/>
    <hyperlink ref="S88" r:id="rId27" xr:uid="{277CCF04-6C43-42F3-B5CD-50906A0D6E6D}"/>
    <hyperlink ref="S94" r:id="rId28" xr:uid="{60DBA349-9CED-4D72-B963-ECABA91D8E8D}"/>
    <hyperlink ref="V60" r:id="rId29" xr:uid="{A6E0D4EE-01F7-408B-9145-947250FD67E3}"/>
    <hyperlink ref="R59" r:id="rId30" xr:uid="{22AD3E53-A5F9-4A2D-B364-574D3B665D1B}"/>
    <hyperlink ref="V59" r:id="rId31" xr:uid="{FF992564-50AC-4FFD-B9F5-DFB1366A42F7}"/>
    <hyperlink ref="S67" r:id="rId32" xr:uid="{DCD8087D-63DD-455A-8846-6018FE73CC2B}"/>
    <hyperlink ref="X61" r:id="rId33" xr:uid="{4CAFE875-096A-427C-AED4-DF0E205C215E}"/>
    <hyperlink ref="X60" r:id="rId34" xr:uid="{B4DE287F-4197-4327-8757-8548E8A149E4}"/>
    <hyperlink ref="AB60" r:id="rId35" xr:uid="{D3107472-294E-4BAA-8517-A223F95791D4}"/>
    <hyperlink ref="X59" r:id="rId36" xr:uid="{244EA625-B8DF-4F85-8E1D-E241549BCCCB}"/>
    <hyperlink ref="AB59" r:id="rId37" xr:uid="{91F6FABA-8EAA-42E3-9C81-C05C2126BF79}"/>
    <hyperlink ref="Y88" r:id="rId38" xr:uid="{E53E3F2A-55AF-4E2D-9438-ACB6C2E33B6A}"/>
    <hyperlink ref="Y94" r:id="rId39" xr:uid="{5B1ECAD8-3755-4829-A66C-69BC16F9AD02}"/>
    <hyperlink ref="E59" r:id="rId40" xr:uid="{F63E8BA6-A0B4-42A3-856E-215B624C3620}"/>
    <hyperlink ref="M59" r:id="rId41" xr:uid="{648FF766-4C48-4C6A-9EE6-C64F81C8B0B5}"/>
    <hyperlink ref="Y59" r:id="rId42" xr:uid="{D9B15782-87B0-472C-9E06-F21A8927458F}"/>
    <hyperlink ref="G94" r:id="rId43" xr:uid="{5AB5F265-A1DC-4495-A071-980A3726D356}"/>
  </hyperlinks>
  <pageMargins left="0.7" right="0.7" top="0.75" bottom="0.75" header="0.3" footer="0.3"/>
  <pageSetup paperSize="9" orientation="portrait" verticalDpi="0" r:id="rId4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97EB-0137-4A20-A6E3-7D0F6C8CCA9A}">
  <dimension ref="A1:AS412"/>
  <sheetViews>
    <sheetView tabSelected="1" zoomScale="140" zoomScaleNormal="140" workbookViewId="0">
      <pane xSplit="2" ySplit="8" topLeftCell="C114" activePane="bottomRight" state="frozen"/>
      <selection pane="topRight" activeCell="C1" sqref="C1"/>
      <selection pane="bottomLeft" activeCell="A8" sqref="A8"/>
      <selection pane="bottomRight" activeCell="K122" sqref="K122"/>
    </sheetView>
  </sheetViews>
  <sheetFormatPr defaultRowHeight="14.5" x14ac:dyDescent="0.35"/>
  <cols>
    <col min="1" max="1" width="4.453125" customWidth="1"/>
    <col min="2" max="2" width="40.453125" customWidth="1"/>
    <col min="3" max="3" width="11.08984375" customWidth="1"/>
    <col min="4" max="4" width="12.90625" customWidth="1"/>
    <col min="5" max="10" width="10.81640625" customWidth="1"/>
    <col min="13" max="13" width="8.54296875" customWidth="1"/>
    <col min="14" max="14" width="9" customWidth="1"/>
    <col min="15" max="17" width="9.1796875" customWidth="1"/>
    <col min="18" max="18" width="4.1796875" customWidth="1"/>
    <col min="19" max="20" width="6" customWidth="1"/>
    <col min="21" max="21" width="6.54296875" customWidth="1"/>
    <col min="22" max="22" width="8.7265625" style="159"/>
    <col min="24" max="25" width="9.7265625" customWidth="1"/>
    <col min="27" max="27" width="9.81640625" customWidth="1"/>
    <col min="28" max="28" width="2.453125" customWidth="1"/>
    <col min="30" max="31" width="8.7265625" customWidth="1"/>
    <col min="33" max="33" width="9.7265625" customWidth="1"/>
    <col min="38" max="38" width="8.7265625" style="159"/>
    <col min="40" max="40" width="5.54296875" customWidth="1"/>
  </cols>
  <sheetData>
    <row r="1" spans="1:45" ht="28.5" x14ac:dyDescent="0.65">
      <c r="A1" s="1" t="str">
        <f>UkrAid24jan2022ToOct312023!A1</f>
        <v>The game changing weapon no one talks about that directly can stop Russian glider bombs #63/90</v>
      </c>
    </row>
    <row r="2" spans="1:45"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c r="J2" s="159"/>
    </row>
    <row r="3" spans="1:45" x14ac:dyDescent="0.35">
      <c r="A3" s="459" t="str">
        <f>UkrAid24jan2022ToOct312023!A3</f>
        <v>Links to all sources are available in sources table below</v>
      </c>
      <c r="B3" s="461"/>
      <c r="F3" s="159">
        <v>1000000</v>
      </c>
      <c r="G3" s="159"/>
      <c r="H3" s="159"/>
      <c r="I3" s="179">
        <v>1000000000</v>
      </c>
      <c r="J3" s="159"/>
      <c r="K3">
        <v>40</v>
      </c>
      <c r="L3" s="159">
        <v>200</v>
      </c>
      <c r="M3" t="s">
        <v>1107</v>
      </c>
      <c r="AH3" s="306">
        <f t="shared" ref="AH3" si="0">(K3/L3)*60</f>
        <v>12</v>
      </c>
      <c r="AI3" s="306">
        <f>60*AH3</f>
        <v>720</v>
      </c>
      <c r="AJ3" s="306">
        <f>AH3/60</f>
        <v>0.2</v>
      </c>
    </row>
    <row r="4" spans="1:45" x14ac:dyDescent="0.35">
      <c r="J4" t="s">
        <v>1106</v>
      </c>
      <c r="K4">
        <v>40</v>
      </c>
      <c r="L4" s="159">
        <v>1210</v>
      </c>
      <c r="M4" t="s">
        <v>407</v>
      </c>
      <c r="AH4" s="306">
        <f t="shared" ref="AH4" si="1">(K4/L4)*60</f>
        <v>1.9834710743801653</v>
      </c>
      <c r="AI4" s="306">
        <f>60*AH4</f>
        <v>119.00826446280992</v>
      </c>
      <c r="AJ4" s="306">
        <f>AH4/60</f>
        <v>3.3057851239669422E-2</v>
      </c>
    </row>
    <row r="5" spans="1:45" ht="24" thickBot="1" x14ac:dyDescent="0.6">
      <c r="B5" s="438" t="s">
        <v>1114</v>
      </c>
      <c r="C5" s="438"/>
      <c r="D5" s="438"/>
      <c r="E5" s="438"/>
      <c r="F5" s="265"/>
      <c r="G5" s="265"/>
      <c r="H5" s="265"/>
      <c r="I5" s="265"/>
      <c r="J5" s="265"/>
      <c r="K5" s="265"/>
      <c r="L5" s="265"/>
      <c r="M5" s="265"/>
      <c r="N5" s="265"/>
      <c r="O5" s="265"/>
      <c r="P5" s="265"/>
      <c r="Q5" s="265"/>
      <c r="R5" s="265"/>
      <c r="S5" s="265"/>
      <c r="T5" s="265"/>
      <c r="U5" s="594"/>
      <c r="V5" s="599"/>
      <c r="W5" s="594"/>
      <c r="X5" s="594"/>
      <c r="Y5" s="594"/>
      <c r="Z5" s="594"/>
      <c r="AA5" s="594"/>
      <c r="AB5" s="594"/>
    </row>
    <row r="6" spans="1:45" ht="15" thickTop="1" x14ac:dyDescent="0.35">
      <c r="B6" s="439"/>
      <c r="C6" s="440" t="s">
        <v>799</v>
      </c>
      <c r="D6" s="441" t="s">
        <v>775</v>
      </c>
      <c r="E6" s="441" t="s">
        <v>773</v>
      </c>
      <c r="F6" s="441" t="str">
        <f>E6</f>
        <v xml:space="preserve">Cost making </v>
      </c>
      <c r="G6" s="441" t="str">
        <f t="shared" ref="G6:J6" si="2">F6</f>
        <v xml:space="preserve">Cost making </v>
      </c>
      <c r="H6" s="441" t="str">
        <f t="shared" si="2"/>
        <v xml:space="preserve">Cost making </v>
      </c>
      <c r="I6" s="441" t="str">
        <f t="shared" si="2"/>
        <v xml:space="preserve">Cost making </v>
      </c>
      <c r="J6" s="441" t="str">
        <f t="shared" si="2"/>
        <v xml:space="preserve">Cost making </v>
      </c>
      <c r="K6" s="442" t="s">
        <v>174</v>
      </c>
      <c r="L6" s="442" t="s">
        <v>332</v>
      </c>
      <c r="M6" s="442" t="s">
        <v>333</v>
      </c>
      <c r="N6" s="442" t="s">
        <v>184</v>
      </c>
      <c r="O6" s="442" t="s">
        <v>354</v>
      </c>
      <c r="P6" s="442" t="s">
        <v>741</v>
      </c>
      <c r="Q6" s="442" t="s">
        <v>762</v>
      </c>
      <c r="R6" s="444"/>
      <c r="S6" s="444" t="s">
        <v>776</v>
      </c>
      <c r="T6" s="444" t="s">
        <v>1373</v>
      </c>
      <c r="U6" s="444" t="s">
        <v>776</v>
      </c>
      <c r="V6" s="295" t="s">
        <v>1320</v>
      </c>
      <c r="W6" s="444" t="s">
        <v>1322</v>
      </c>
      <c r="X6" s="444" t="s">
        <v>1324</v>
      </c>
      <c r="Y6" s="444" t="s">
        <v>1332</v>
      </c>
      <c r="Z6" s="444" t="s">
        <v>1325</v>
      </c>
      <c r="AA6" s="444" t="s">
        <v>1328</v>
      </c>
      <c r="AB6" s="444"/>
    </row>
    <row r="7" spans="1:45" x14ac:dyDescent="0.35">
      <c r="B7" s="443"/>
      <c r="C7" s="443"/>
      <c r="D7" s="444" t="s">
        <v>774</v>
      </c>
      <c r="E7" s="444">
        <v>100</v>
      </c>
      <c r="F7" s="295">
        <v>1000</v>
      </c>
      <c r="G7" s="295">
        <v>10000</v>
      </c>
      <c r="H7" s="295">
        <v>100000</v>
      </c>
      <c r="I7" s="295">
        <v>1000000</v>
      </c>
      <c r="J7" s="445">
        <v>10000000</v>
      </c>
      <c r="K7" s="446" t="s">
        <v>175</v>
      </c>
      <c r="L7" s="446" t="s">
        <v>334</v>
      </c>
      <c r="M7" s="446" t="s">
        <v>335</v>
      </c>
      <c r="N7" s="446" t="s">
        <v>185</v>
      </c>
      <c r="O7" s="446" t="s">
        <v>417</v>
      </c>
      <c r="P7" s="446" t="s">
        <v>742</v>
      </c>
      <c r="Q7" s="446" t="s">
        <v>763</v>
      </c>
      <c r="R7" s="444"/>
      <c r="S7" s="444" t="s">
        <v>1372</v>
      </c>
      <c r="T7" s="444" t="s">
        <v>1374</v>
      </c>
      <c r="U7" s="444" t="s">
        <v>1375</v>
      </c>
      <c r="V7" s="295" t="s">
        <v>1321</v>
      </c>
      <c r="W7" s="444" t="s">
        <v>1323</v>
      </c>
      <c r="X7" s="444" t="s">
        <v>1327</v>
      </c>
      <c r="Y7" s="444" t="s">
        <v>1333</v>
      </c>
      <c r="Z7" s="444" t="s">
        <v>1326</v>
      </c>
      <c r="AA7" s="444" t="s">
        <v>1329</v>
      </c>
      <c r="AB7" s="444"/>
      <c r="AH7" s="3" t="s">
        <v>765</v>
      </c>
      <c r="AI7" s="3"/>
      <c r="AJ7" s="3"/>
    </row>
    <row r="8" spans="1:45" ht="15" thickBot="1" x14ac:dyDescent="0.4">
      <c r="B8" s="447"/>
      <c r="C8" s="447"/>
      <c r="D8" s="448"/>
      <c r="E8" s="448" t="s">
        <v>771</v>
      </c>
      <c r="F8" s="448" t="s">
        <v>772</v>
      </c>
      <c r="G8" s="448" t="s">
        <v>772</v>
      </c>
      <c r="H8" s="448" t="s">
        <v>772</v>
      </c>
      <c r="I8" s="448" t="s">
        <v>146</v>
      </c>
      <c r="J8" s="449" t="s">
        <v>146</v>
      </c>
      <c r="K8" s="558"/>
      <c r="L8" s="558"/>
      <c r="M8" s="558" t="s">
        <v>910</v>
      </c>
      <c r="N8" s="558" t="s">
        <v>191</v>
      </c>
      <c r="O8" s="558"/>
      <c r="P8" s="558"/>
      <c r="Q8" s="558" t="s">
        <v>1135</v>
      </c>
      <c r="R8" s="444"/>
      <c r="S8" s="444" t="s">
        <v>777</v>
      </c>
      <c r="T8" s="444" t="s">
        <v>777</v>
      </c>
      <c r="U8" s="451"/>
      <c r="V8" s="295" t="s">
        <v>1105</v>
      </c>
      <c r="W8" s="451"/>
      <c r="X8" s="444"/>
      <c r="Y8" s="444" t="s">
        <v>1327</v>
      </c>
      <c r="Z8" s="444" t="s">
        <v>1327</v>
      </c>
      <c r="AA8" s="444"/>
      <c r="AB8" s="444"/>
      <c r="AH8" s="3" t="s">
        <v>366</v>
      </c>
      <c r="AI8" s="3" t="s">
        <v>369</v>
      </c>
      <c r="AJ8" s="3" t="s">
        <v>628</v>
      </c>
    </row>
    <row r="9" spans="1:45" ht="15" thickTop="1" x14ac:dyDescent="0.35">
      <c r="A9">
        <v>1</v>
      </c>
      <c r="B9" s="183" t="s">
        <v>161</v>
      </c>
      <c r="C9" s="183"/>
      <c r="D9" s="184"/>
      <c r="E9" s="184"/>
      <c r="F9" s="185"/>
      <c r="G9" s="185"/>
      <c r="H9" s="185"/>
      <c r="I9" s="185"/>
      <c r="J9" s="186"/>
      <c r="K9" s="187"/>
      <c r="L9" s="187"/>
      <c r="M9" s="187"/>
      <c r="N9" s="187"/>
      <c r="O9" s="187"/>
      <c r="P9" s="187"/>
      <c r="Q9" s="187"/>
      <c r="R9">
        <v>1</v>
      </c>
      <c r="AB9" t="s">
        <v>34</v>
      </c>
    </row>
    <row r="10" spans="1:45" x14ac:dyDescent="0.35">
      <c r="A10">
        <f>A9+1</f>
        <v>2</v>
      </c>
      <c r="B10" s="482" t="s">
        <v>826</v>
      </c>
      <c r="C10" s="483" t="s">
        <v>827</v>
      </c>
      <c r="D10" s="484">
        <v>273000</v>
      </c>
      <c r="E10" s="484">
        <f>D10*E$7/F$3</f>
        <v>27.3</v>
      </c>
      <c r="F10" s="484">
        <f>D10*F$7/F$3</f>
        <v>273</v>
      </c>
      <c r="G10" s="485" t="s">
        <v>34</v>
      </c>
      <c r="H10" s="485" t="s">
        <v>34</v>
      </c>
      <c r="I10" s="485" t="s">
        <v>34</v>
      </c>
      <c r="J10" s="486" t="s">
        <v>34</v>
      </c>
      <c r="K10" s="487">
        <v>800</v>
      </c>
      <c r="L10" s="487">
        <v>78</v>
      </c>
      <c r="M10" s="488" t="s">
        <v>357</v>
      </c>
      <c r="N10" s="489">
        <v>200</v>
      </c>
      <c r="O10" s="490" t="s">
        <v>355</v>
      </c>
      <c r="P10" s="490"/>
      <c r="Q10" s="490"/>
      <c r="R10">
        <f>R9+1</f>
        <v>2</v>
      </c>
      <c r="S10" s="20" t="s">
        <v>165</v>
      </c>
      <c r="T10" s="20"/>
      <c r="U10" t="s">
        <v>34</v>
      </c>
      <c r="V10" s="174" t="s">
        <v>1342</v>
      </c>
      <c r="W10" t="s">
        <v>1330</v>
      </c>
      <c r="X10" t="s">
        <v>1331</v>
      </c>
      <c r="Y10" t="s">
        <v>1334</v>
      </c>
      <c r="Z10" t="s">
        <v>1335</v>
      </c>
      <c r="AA10" t="s">
        <v>1336</v>
      </c>
      <c r="AB10" t="s">
        <v>34</v>
      </c>
      <c r="AC10" t="s">
        <v>34</v>
      </c>
      <c r="AH10" s="306">
        <f t="shared" ref="AH10" si="3">(K10/L10)*60</f>
        <v>615.38461538461547</v>
      </c>
      <c r="AI10" s="306">
        <f>60*AH10</f>
        <v>36923.076923076929</v>
      </c>
      <c r="AJ10" s="306">
        <f>AH10/60</f>
        <v>10.256410256410257</v>
      </c>
    </row>
    <row r="11" spans="1:45" x14ac:dyDescent="0.35">
      <c r="A11">
        <f t="shared" ref="A11:A45" si="4">A10+1</f>
        <v>3</v>
      </c>
      <c r="B11" s="482" t="s">
        <v>1337</v>
      </c>
      <c r="C11" s="483" t="s">
        <v>825</v>
      </c>
      <c r="D11" s="485" t="s">
        <v>34</v>
      </c>
      <c r="E11" s="485" t="s">
        <v>34</v>
      </c>
      <c r="F11" s="485" t="s">
        <v>34</v>
      </c>
      <c r="G11" s="485" t="s">
        <v>34</v>
      </c>
      <c r="H11" s="485" t="s">
        <v>34</v>
      </c>
      <c r="I11" s="485" t="s">
        <v>34</v>
      </c>
      <c r="J11" s="486" t="s">
        <v>34</v>
      </c>
      <c r="K11" s="487">
        <f>K106</f>
        <v>500</v>
      </c>
      <c r="L11" s="487">
        <f>L106</f>
        <v>1182</v>
      </c>
      <c r="M11" s="488" t="str">
        <f>M106</f>
        <v>25M</v>
      </c>
      <c r="N11" s="489">
        <v>150</v>
      </c>
      <c r="O11" s="490" t="s">
        <v>356</v>
      </c>
      <c r="P11" s="490"/>
      <c r="Q11" s="490"/>
      <c r="R11">
        <f t="shared" ref="R11:R75" si="5">R10+1</f>
        <v>3</v>
      </c>
      <c r="S11" s="20" t="s">
        <v>170</v>
      </c>
      <c r="T11" s="20"/>
      <c r="U11" t="s">
        <v>34</v>
      </c>
      <c r="V11" s="159">
        <v>870</v>
      </c>
      <c r="W11" t="s">
        <v>1338</v>
      </c>
      <c r="X11" t="s">
        <v>1339</v>
      </c>
      <c r="Y11" t="s">
        <v>1340</v>
      </c>
      <c r="Z11" t="s">
        <v>861</v>
      </c>
      <c r="AA11" t="s">
        <v>1341</v>
      </c>
      <c r="AB11" t="s">
        <v>34</v>
      </c>
      <c r="AC11" t="s">
        <v>1112</v>
      </c>
      <c r="AD11" s="4" t="s">
        <v>1102</v>
      </c>
      <c r="AE11" t="s">
        <v>1103</v>
      </c>
      <c r="AF11" s="557">
        <f>0.78*404</f>
        <v>315.12</v>
      </c>
      <c r="AG11" t="s">
        <v>1101</v>
      </c>
      <c r="AH11" s="306">
        <f t="shared" ref="AH11:AH14" si="6">(K11/L11)*60</f>
        <v>25.380710659898476</v>
      </c>
      <c r="AI11" s="306">
        <f t="shared" ref="AI11:AI14" si="7">60*AH11</f>
        <v>1522.8426395939086</v>
      </c>
      <c r="AJ11" s="306">
        <f t="shared" ref="AJ11:AJ14" si="8">AH11/60</f>
        <v>0.42301184433164124</v>
      </c>
      <c r="AL11" s="159" t="s">
        <v>1115</v>
      </c>
    </row>
    <row r="12" spans="1:45" x14ac:dyDescent="0.35">
      <c r="A12">
        <f t="shared" si="4"/>
        <v>4</v>
      </c>
      <c r="B12" s="517" t="s">
        <v>1343</v>
      </c>
      <c r="C12" s="537" t="s">
        <v>1315</v>
      </c>
      <c r="D12" s="496">
        <v>1000000</v>
      </c>
      <c r="E12" s="496" t="s">
        <v>34</v>
      </c>
      <c r="F12" s="496" t="s">
        <v>34</v>
      </c>
      <c r="G12" s="496" t="s">
        <v>34</v>
      </c>
      <c r="H12" s="496" t="s">
        <v>34</v>
      </c>
      <c r="I12" s="496" t="s">
        <v>34</v>
      </c>
      <c r="J12" s="497" t="s">
        <v>34</v>
      </c>
      <c r="K12" s="498">
        <v>600</v>
      </c>
      <c r="L12" s="498">
        <v>5600</v>
      </c>
      <c r="M12" s="506" t="s">
        <v>1317</v>
      </c>
      <c r="N12" s="498">
        <v>1000</v>
      </c>
      <c r="O12" s="501" t="s">
        <v>355</v>
      </c>
      <c r="P12" s="501"/>
      <c r="Q12" s="501"/>
      <c r="R12">
        <f t="shared" si="5"/>
        <v>4</v>
      </c>
      <c r="S12" s="20" t="s">
        <v>1311</v>
      </c>
      <c r="T12" s="20"/>
      <c r="U12" t="s">
        <v>1316</v>
      </c>
      <c r="V12" s="159">
        <v>5820</v>
      </c>
      <c r="W12" t="s">
        <v>1346</v>
      </c>
      <c r="X12" s="458" t="s">
        <v>1270</v>
      </c>
      <c r="Y12" t="s">
        <v>34</v>
      </c>
      <c r="Z12" t="s">
        <v>1344</v>
      </c>
      <c r="AA12" t="s">
        <v>1345</v>
      </c>
      <c r="AB12" t="s">
        <v>34</v>
      </c>
      <c r="AD12" s="4"/>
      <c r="AF12" s="557"/>
      <c r="AH12" s="306">
        <f t="shared" ref="AH12" si="9">(K12/L12)*60</f>
        <v>6.4285714285714279</v>
      </c>
      <c r="AI12" s="306">
        <f t="shared" ref="AI12" si="10">60*AH12</f>
        <v>385.71428571428567</v>
      </c>
      <c r="AJ12" s="306">
        <f t="shared" ref="AJ12" si="11">AH12/60</f>
        <v>0.10714285714285714</v>
      </c>
    </row>
    <row r="13" spans="1:45" x14ac:dyDescent="0.35">
      <c r="A13">
        <f t="shared" si="4"/>
        <v>5</v>
      </c>
      <c r="B13" s="51" t="s">
        <v>1347</v>
      </c>
      <c r="C13" s="420" t="s">
        <v>824</v>
      </c>
      <c r="D13" s="159">
        <v>1406000</v>
      </c>
      <c r="E13" s="159">
        <f>D13*E$7/F$3</f>
        <v>140.6</v>
      </c>
      <c r="F13" s="159">
        <f>D13*F$7/F$3</f>
        <v>1406</v>
      </c>
      <c r="G13" s="174" t="s">
        <v>34</v>
      </c>
      <c r="H13" s="174" t="s">
        <v>34</v>
      </c>
      <c r="I13" s="174" t="s">
        <v>34</v>
      </c>
      <c r="J13" s="178" t="s">
        <v>34</v>
      </c>
      <c r="K13" s="105">
        <v>139</v>
      </c>
      <c r="L13" s="105">
        <v>864</v>
      </c>
      <c r="M13" s="177" t="s">
        <v>359</v>
      </c>
      <c r="N13" s="123">
        <v>221</v>
      </c>
      <c r="O13" s="394">
        <v>7500</v>
      </c>
      <c r="P13" s="394"/>
      <c r="Q13" s="394"/>
      <c r="R13">
        <f t="shared" si="5"/>
        <v>5</v>
      </c>
      <c r="S13" s="20" t="s">
        <v>171</v>
      </c>
      <c r="T13" s="20"/>
      <c r="U13" t="s">
        <v>34</v>
      </c>
      <c r="V13" s="159">
        <v>691</v>
      </c>
      <c r="W13" t="s">
        <v>1338</v>
      </c>
      <c r="AB13" t="s">
        <v>34</v>
      </c>
      <c r="AH13" s="306">
        <f t="shared" si="6"/>
        <v>9.6527777777777768</v>
      </c>
      <c r="AI13" s="306">
        <f t="shared" si="7"/>
        <v>579.16666666666663</v>
      </c>
      <c r="AJ13" s="306">
        <f t="shared" si="8"/>
        <v>0.16087962962962962</v>
      </c>
    </row>
    <row r="14" spans="1:45" x14ac:dyDescent="0.35">
      <c r="A14">
        <f t="shared" ref="A14:A18" si="12">A13+1</f>
        <v>6</v>
      </c>
      <c r="B14" s="123" t="s">
        <v>1348</v>
      </c>
      <c r="C14" s="42" t="s">
        <v>1245</v>
      </c>
      <c r="D14" s="159">
        <v>3240000</v>
      </c>
      <c r="E14" s="159">
        <f>D14*E$7/F$3</f>
        <v>324</v>
      </c>
      <c r="F14" s="159">
        <f>D14*F$7/F$3</f>
        <v>3240</v>
      </c>
      <c r="G14" s="159">
        <f t="shared" ref="G14" si="13">D14*G$7/F$3</f>
        <v>32400</v>
      </c>
      <c r="H14" s="174" t="s">
        <v>34</v>
      </c>
      <c r="I14" s="174" t="s">
        <v>34</v>
      </c>
      <c r="J14" s="178" t="s">
        <v>34</v>
      </c>
      <c r="K14" s="105">
        <v>900</v>
      </c>
      <c r="L14" s="394">
        <v>1075</v>
      </c>
      <c r="M14" s="383" t="s">
        <v>808</v>
      </c>
      <c r="N14" s="181" t="s">
        <v>846</v>
      </c>
      <c r="O14" s="394" t="s">
        <v>1254</v>
      </c>
      <c r="P14" s="394" t="s">
        <v>1254</v>
      </c>
      <c r="Q14" s="469" t="s">
        <v>355</v>
      </c>
      <c r="R14">
        <f t="shared" si="5"/>
        <v>6</v>
      </c>
      <c r="S14" s="4" t="s">
        <v>888</v>
      </c>
      <c r="T14" s="4"/>
      <c r="U14" t="s">
        <v>1207</v>
      </c>
      <c r="V14" s="159">
        <v>1250</v>
      </c>
      <c r="W14" t="s">
        <v>1349</v>
      </c>
      <c r="AB14" t="s">
        <v>34</v>
      </c>
      <c r="AC14" s="430" t="s">
        <v>1134</v>
      </c>
      <c r="AD14" s="4" t="s">
        <v>1099</v>
      </c>
      <c r="AE14" t="s">
        <v>1143</v>
      </c>
      <c r="AF14" s="557">
        <f>0.683*635</f>
        <v>433.70500000000004</v>
      </c>
      <c r="AG14" t="s">
        <v>1101</v>
      </c>
      <c r="AH14" s="306">
        <f t="shared" si="6"/>
        <v>50.232558139534888</v>
      </c>
      <c r="AI14" s="306">
        <f t="shared" si="7"/>
        <v>3013.9534883720935</v>
      </c>
      <c r="AJ14" s="306">
        <f t="shared" si="8"/>
        <v>0.83720930232558144</v>
      </c>
      <c r="AK14" t="s">
        <v>1137</v>
      </c>
      <c r="AL14" s="159">
        <f>1250-(30+AO14+450)</f>
        <v>406.89813953488374</v>
      </c>
      <c r="AM14" t="s">
        <v>1255</v>
      </c>
      <c r="AN14" t="s">
        <v>1146</v>
      </c>
      <c r="AO14" s="8">
        <f>AF14*(AH14/60)</f>
        <v>363.10186046511632</v>
      </c>
      <c r="AP14" t="s">
        <v>1118</v>
      </c>
      <c r="AQ14" s="451" t="s">
        <v>1258</v>
      </c>
      <c r="AR14" s="559" t="s">
        <v>1256</v>
      </c>
      <c r="AS14" t="s">
        <v>1257</v>
      </c>
    </row>
    <row r="15" spans="1:45" x14ac:dyDescent="0.35">
      <c r="A15">
        <f t="shared" si="12"/>
        <v>7</v>
      </c>
      <c r="B15" s="123" t="s">
        <v>1318</v>
      </c>
      <c r="C15" s="42" t="s">
        <v>960</v>
      </c>
      <c r="D15" s="159">
        <v>2800000000</v>
      </c>
      <c r="E15" s="159">
        <f>D15*E$7/F$3</f>
        <v>280000</v>
      </c>
      <c r="F15" s="174" t="s">
        <v>34</v>
      </c>
      <c r="G15" s="174" t="s">
        <v>34</v>
      </c>
      <c r="H15" s="174" t="s">
        <v>34</v>
      </c>
      <c r="I15" s="174" t="s">
        <v>34</v>
      </c>
      <c r="J15" s="178" t="s">
        <v>34</v>
      </c>
      <c r="K15" s="105" t="s">
        <v>1236</v>
      </c>
      <c r="L15" s="394">
        <v>46</v>
      </c>
      <c r="M15" s="383" t="s">
        <v>34</v>
      </c>
      <c r="N15" s="568" t="s">
        <v>1239</v>
      </c>
      <c r="O15" s="394" t="s">
        <v>1237</v>
      </c>
      <c r="P15" s="394" t="s">
        <v>1237</v>
      </c>
      <c r="Q15" s="394">
        <v>3</v>
      </c>
      <c r="R15">
        <f t="shared" si="5"/>
        <v>7</v>
      </c>
      <c r="S15" s="397" t="s">
        <v>1235</v>
      </c>
      <c r="T15" s="397"/>
      <c r="U15" s="430" t="s">
        <v>1238</v>
      </c>
      <c r="V15" s="159" t="s">
        <v>34</v>
      </c>
      <c r="W15" s="430" t="s">
        <v>34</v>
      </c>
      <c r="X15" t="s">
        <v>1350</v>
      </c>
      <c r="Y15" s="430" t="s">
        <v>1351</v>
      </c>
      <c r="Z15" s="430"/>
      <c r="AA15" s="430"/>
      <c r="AB15" t="s">
        <v>34</v>
      </c>
      <c r="AH15" s="306"/>
      <c r="AI15" s="306"/>
      <c r="AJ15" s="306"/>
    </row>
    <row r="16" spans="1:45" x14ac:dyDescent="0.35">
      <c r="A16">
        <f t="shared" si="12"/>
        <v>8</v>
      </c>
      <c r="B16" s="123"/>
      <c r="C16" s="42"/>
      <c r="D16" s="159"/>
      <c r="E16" s="159"/>
      <c r="F16" s="159"/>
      <c r="G16" s="174"/>
      <c r="H16" s="174"/>
      <c r="I16" s="174"/>
      <c r="J16" s="178"/>
      <c r="K16" s="105"/>
      <c r="L16" s="394"/>
      <c r="M16" s="383"/>
      <c r="N16" s="181"/>
      <c r="O16" s="394"/>
      <c r="P16" s="394"/>
      <c r="Q16" s="394"/>
      <c r="R16">
        <f t="shared" si="5"/>
        <v>8</v>
      </c>
      <c r="S16" s="397"/>
      <c r="T16" s="397"/>
      <c r="V16" s="159" t="s">
        <v>34</v>
      </c>
      <c r="AB16" t="s">
        <v>34</v>
      </c>
      <c r="AH16" s="306"/>
      <c r="AI16" s="306"/>
      <c r="AJ16" s="306"/>
    </row>
    <row r="17" spans="1:36" x14ac:dyDescent="0.35">
      <c r="A17">
        <f t="shared" si="12"/>
        <v>9</v>
      </c>
      <c r="B17" s="123"/>
      <c r="C17" s="42"/>
      <c r="D17" s="159"/>
      <c r="E17" s="159"/>
      <c r="F17" s="159"/>
      <c r="G17" s="174"/>
      <c r="H17" s="174"/>
      <c r="I17" s="174"/>
      <c r="J17" s="178"/>
      <c r="K17" s="105"/>
      <c r="L17" s="394"/>
      <c r="M17" s="383"/>
      <c r="N17" s="181"/>
      <c r="O17" s="394"/>
      <c r="P17" s="394"/>
      <c r="Q17" s="394"/>
      <c r="R17">
        <f t="shared" si="5"/>
        <v>9</v>
      </c>
      <c r="S17" s="397"/>
      <c r="T17" s="397"/>
      <c r="V17" s="159" t="s">
        <v>34</v>
      </c>
      <c r="AB17" t="s">
        <v>34</v>
      </c>
      <c r="AH17" s="306"/>
      <c r="AI17" s="306"/>
      <c r="AJ17" s="306"/>
    </row>
    <row r="18" spans="1:36" x14ac:dyDescent="0.35">
      <c r="A18">
        <f t="shared" si="12"/>
        <v>10</v>
      </c>
      <c r="B18" s="51"/>
      <c r="C18" s="420"/>
      <c r="D18" s="159"/>
      <c r="E18" s="159"/>
      <c r="F18" s="159"/>
      <c r="G18" s="174"/>
      <c r="H18" s="174"/>
      <c r="I18" s="174"/>
      <c r="J18" s="178"/>
      <c r="K18" s="105"/>
      <c r="L18" s="105"/>
      <c r="M18" s="177"/>
      <c r="N18" s="123"/>
      <c r="O18" s="394"/>
      <c r="P18" s="394"/>
      <c r="Q18" s="394"/>
      <c r="R18">
        <f t="shared" si="5"/>
        <v>10</v>
      </c>
      <c r="S18" s="20"/>
      <c r="T18" s="20"/>
      <c r="V18" s="159" t="s">
        <v>34</v>
      </c>
      <c r="AB18" t="s">
        <v>34</v>
      </c>
      <c r="AH18" s="306"/>
      <c r="AI18" s="306"/>
      <c r="AJ18" s="306"/>
    </row>
    <row r="19" spans="1:36" x14ac:dyDescent="0.35">
      <c r="A19">
        <f t="shared" si="4"/>
        <v>11</v>
      </c>
      <c r="B19" s="183" t="s">
        <v>163</v>
      </c>
      <c r="C19" s="466"/>
      <c r="D19" s="185"/>
      <c r="E19" s="185"/>
      <c r="F19" s="185"/>
      <c r="G19" s="185"/>
      <c r="H19" s="185"/>
      <c r="I19" s="185"/>
      <c r="J19" s="186"/>
      <c r="K19" s="393"/>
      <c r="L19" s="393"/>
      <c r="M19" s="389"/>
      <c r="N19" s="187"/>
      <c r="O19" s="395"/>
      <c r="P19" s="395"/>
      <c r="Q19" s="395"/>
      <c r="R19">
        <f t="shared" si="5"/>
        <v>11</v>
      </c>
      <c r="U19" t="s">
        <v>34</v>
      </c>
      <c r="V19" s="159" t="s">
        <v>34</v>
      </c>
      <c r="AB19" t="s">
        <v>34</v>
      </c>
    </row>
    <row r="20" spans="1:36" x14ac:dyDescent="0.35">
      <c r="A20">
        <f t="shared" si="4"/>
        <v>12</v>
      </c>
      <c r="B20" s="123" t="s">
        <v>168</v>
      </c>
      <c r="C20" s="42" t="s">
        <v>922</v>
      </c>
      <c r="D20" s="159">
        <v>500</v>
      </c>
      <c r="E20" s="174" t="s">
        <v>34</v>
      </c>
      <c r="F20" s="174" t="s">
        <v>34</v>
      </c>
      <c r="G20" s="174" t="s">
        <v>34</v>
      </c>
      <c r="H20" s="159">
        <f>D20*H$7/F$3</f>
        <v>50</v>
      </c>
      <c r="I20" s="8">
        <f>D20*I$7/I$3</f>
        <v>0.5</v>
      </c>
      <c r="J20" s="142">
        <f>D20*J$7/I$3</f>
        <v>5</v>
      </c>
      <c r="K20" s="394" t="s">
        <v>34</v>
      </c>
      <c r="L20" s="394" t="s">
        <v>34</v>
      </c>
      <c r="M20" s="177" t="s">
        <v>34</v>
      </c>
      <c r="N20" s="123">
        <v>10.3</v>
      </c>
      <c r="O20" s="394" t="s">
        <v>360</v>
      </c>
      <c r="P20" s="394"/>
      <c r="Q20" s="394"/>
      <c r="R20">
        <f t="shared" si="5"/>
        <v>12</v>
      </c>
      <c r="S20" s="97" t="s">
        <v>167</v>
      </c>
      <c r="T20" s="97"/>
      <c r="U20" t="s">
        <v>34</v>
      </c>
      <c r="V20" s="159" t="s">
        <v>34</v>
      </c>
      <c r="AB20" t="s">
        <v>34</v>
      </c>
    </row>
    <row r="21" spans="1:36" x14ac:dyDescent="0.35">
      <c r="A21">
        <f t="shared" si="4"/>
        <v>13</v>
      </c>
      <c r="B21" s="123" t="s">
        <v>925</v>
      </c>
      <c r="C21" s="42" t="s">
        <v>924</v>
      </c>
      <c r="D21" s="159">
        <v>40</v>
      </c>
      <c r="E21" s="174" t="s">
        <v>34</v>
      </c>
      <c r="F21" s="174" t="s">
        <v>34</v>
      </c>
      <c r="G21" s="174" t="s">
        <v>34</v>
      </c>
      <c r="H21" s="159">
        <f>D21*H$7/F$3</f>
        <v>4</v>
      </c>
      <c r="I21" s="8">
        <f>D21*I$7/I$3</f>
        <v>0.04</v>
      </c>
      <c r="J21" s="142">
        <f>D21*J$7/I$3</f>
        <v>0.4</v>
      </c>
      <c r="K21" s="394" t="s">
        <v>34</v>
      </c>
      <c r="L21" s="394" t="s">
        <v>34</v>
      </c>
      <c r="M21" s="177" t="s">
        <v>34</v>
      </c>
      <c r="N21" s="177" t="s">
        <v>190</v>
      </c>
      <c r="O21" s="394" t="s">
        <v>360</v>
      </c>
      <c r="P21" s="394"/>
      <c r="Q21" s="394"/>
      <c r="R21">
        <f t="shared" si="5"/>
        <v>13</v>
      </c>
      <c r="S21" s="97" t="s">
        <v>923</v>
      </c>
      <c r="T21" s="97"/>
      <c r="U21" t="s">
        <v>34</v>
      </c>
      <c r="V21" s="159" t="s">
        <v>34</v>
      </c>
      <c r="AB21" t="s">
        <v>34</v>
      </c>
    </row>
    <row r="22" spans="1:36" x14ac:dyDescent="0.35">
      <c r="A22">
        <f t="shared" si="4"/>
        <v>14</v>
      </c>
      <c r="B22" s="123" t="s">
        <v>188</v>
      </c>
      <c r="C22" s="42" t="s">
        <v>955</v>
      </c>
      <c r="D22" s="159">
        <v>4000</v>
      </c>
      <c r="E22" s="174" t="s">
        <v>34</v>
      </c>
      <c r="F22" s="174" t="s">
        <v>34</v>
      </c>
      <c r="G22" s="174" t="s">
        <v>34</v>
      </c>
      <c r="H22" s="159">
        <f>D22*H$7/F$3</f>
        <v>400</v>
      </c>
      <c r="I22" s="8">
        <f>D22*I$7/I$3</f>
        <v>4</v>
      </c>
      <c r="J22" s="142">
        <f>D22*J$7/I$3</f>
        <v>40</v>
      </c>
      <c r="K22" s="394">
        <v>25</v>
      </c>
      <c r="L22" s="394">
        <v>3000</v>
      </c>
      <c r="M22" s="177" t="s">
        <v>366</v>
      </c>
      <c r="N22" s="177" t="s">
        <v>208</v>
      </c>
      <c r="O22" s="394" t="s">
        <v>360</v>
      </c>
      <c r="P22" s="394"/>
      <c r="Q22" s="394"/>
      <c r="R22">
        <f t="shared" si="5"/>
        <v>14</v>
      </c>
      <c r="S22" s="397" t="s">
        <v>189</v>
      </c>
      <c r="T22" s="397"/>
      <c r="U22" t="s">
        <v>198</v>
      </c>
      <c r="V22" s="159" t="s">
        <v>34</v>
      </c>
      <c r="AB22" t="s">
        <v>34</v>
      </c>
    </row>
    <row r="23" spans="1:36" x14ac:dyDescent="0.35">
      <c r="A23">
        <f t="shared" si="4"/>
        <v>15</v>
      </c>
      <c r="B23" s="123" t="s">
        <v>199</v>
      </c>
      <c r="C23" s="42" t="s">
        <v>800</v>
      </c>
      <c r="D23" s="159">
        <v>8000</v>
      </c>
      <c r="E23" s="174" t="s">
        <v>34</v>
      </c>
      <c r="F23" s="174" t="s">
        <v>34</v>
      </c>
      <c r="G23" s="174" t="s">
        <v>34</v>
      </c>
      <c r="H23" s="159">
        <f>D23*H$7/F$3</f>
        <v>800</v>
      </c>
      <c r="I23" s="8">
        <f>D23*I$7/I$3</f>
        <v>8</v>
      </c>
      <c r="J23" s="87" t="s">
        <v>34</v>
      </c>
      <c r="K23" s="105">
        <v>40</v>
      </c>
      <c r="L23" s="105">
        <v>3000</v>
      </c>
      <c r="M23" s="177" t="s">
        <v>366</v>
      </c>
      <c r="N23" s="177"/>
      <c r="O23" s="394" t="s">
        <v>361</v>
      </c>
      <c r="P23" s="394"/>
      <c r="Q23" s="394"/>
      <c r="R23">
        <f t="shared" si="5"/>
        <v>15</v>
      </c>
      <c r="S23" s="397" t="s">
        <v>956</v>
      </c>
      <c r="T23" s="397"/>
      <c r="U23" t="s">
        <v>202</v>
      </c>
      <c r="V23" s="159" t="s">
        <v>34</v>
      </c>
      <c r="AB23" t="s">
        <v>34</v>
      </c>
    </row>
    <row r="24" spans="1:36" x14ac:dyDescent="0.35">
      <c r="A24">
        <f t="shared" si="4"/>
        <v>16</v>
      </c>
      <c r="B24" s="123" t="s">
        <v>957</v>
      </c>
      <c r="C24" s="42" t="s">
        <v>958</v>
      </c>
      <c r="D24" s="159">
        <v>12000</v>
      </c>
      <c r="E24" s="174" t="s">
        <v>34</v>
      </c>
      <c r="F24" s="174" t="s">
        <v>34</v>
      </c>
      <c r="G24" s="159">
        <f>D24*G$7/F$3</f>
        <v>120</v>
      </c>
      <c r="H24" s="159">
        <f>D24*H$7/F$3</f>
        <v>1200</v>
      </c>
      <c r="I24" s="8">
        <f>D24*I$7/I$3</f>
        <v>12</v>
      </c>
      <c r="J24" s="87" t="s">
        <v>34</v>
      </c>
      <c r="K24" s="105">
        <v>55</v>
      </c>
      <c r="L24" s="105">
        <v>3000</v>
      </c>
      <c r="M24" s="177" t="s">
        <v>366</v>
      </c>
      <c r="N24" s="177" t="s">
        <v>205</v>
      </c>
      <c r="O24" s="394" t="s">
        <v>362</v>
      </c>
      <c r="P24" s="394"/>
      <c r="Q24" s="394"/>
      <c r="R24">
        <f t="shared" si="5"/>
        <v>16</v>
      </c>
      <c r="S24" s="97" t="s">
        <v>959</v>
      </c>
      <c r="T24" s="97"/>
      <c r="U24" t="s">
        <v>203</v>
      </c>
      <c r="V24" s="159" t="s">
        <v>34</v>
      </c>
      <c r="AB24" t="s">
        <v>34</v>
      </c>
    </row>
    <row r="25" spans="1:36" x14ac:dyDescent="0.35">
      <c r="A25">
        <f t="shared" si="4"/>
        <v>17</v>
      </c>
      <c r="B25" s="123" t="s">
        <v>200</v>
      </c>
      <c r="C25" s="42" t="s">
        <v>835</v>
      </c>
      <c r="D25" s="159">
        <v>112800</v>
      </c>
      <c r="E25" s="174" t="s">
        <v>34</v>
      </c>
      <c r="F25" s="159">
        <f>D25*F$7/F$3</f>
        <v>112.8</v>
      </c>
      <c r="G25" s="159">
        <f>D25*G$7/F$3</f>
        <v>1128</v>
      </c>
      <c r="H25" s="174" t="s">
        <v>34</v>
      </c>
      <c r="I25" s="58" t="s">
        <v>34</v>
      </c>
      <c r="J25" s="70" t="s">
        <v>34</v>
      </c>
      <c r="K25" s="105">
        <v>70</v>
      </c>
      <c r="L25" s="105">
        <v>3000</v>
      </c>
      <c r="M25" s="177" t="s">
        <v>366</v>
      </c>
      <c r="N25" s="177" t="s">
        <v>204</v>
      </c>
      <c r="O25" s="394" t="s">
        <v>363</v>
      </c>
      <c r="P25" s="394"/>
      <c r="Q25" s="394"/>
      <c r="R25">
        <f t="shared" si="5"/>
        <v>17</v>
      </c>
      <c r="S25" s="97" t="s">
        <v>201</v>
      </c>
      <c r="T25" s="97"/>
      <c r="U25" s="430" t="s">
        <v>34</v>
      </c>
      <c r="V25" s="159" t="s">
        <v>34</v>
      </c>
      <c r="W25" s="430"/>
      <c r="X25" s="430"/>
      <c r="Y25" s="430"/>
      <c r="Z25" s="430"/>
      <c r="AA25" s="430"/>
      <c r="AB25" t="s">
        <v>34</v>
      </c>
      <c r="AH25" s="306">
        <f t="shared" ref="AH25:AH39" si="14">(K25/L25)*60</f>
        <v>1.4000000000000001</v>
      </c>
      <c r="AI25" s="306">
        <f t="shared" ref="AI25:AI39" si="15">60*AH25</f>
        <v>84.000000000000014</v>
      </c>
      <c r="AJ25" s="306">
        <f t="shared" ref="AJ25:AJ39" si="16">AH25/60</f>
        <v>2.3333333333333334E-2</v>
      </c>
    </row>
    <row r="26" spans="1:36" x14ac:dyDescent="0.35">
      <c r="A26">
        <f t="shared" si="4"/>
        <v>18</v>
      </c>
      <c r="B26" s="123" t="s">
        <v>1037</v>
      </c>
      <c r="C26" s="42" t="s">
        <v>936</v>
      </c>
      <c r="D26" s="159">
        <v>10400000</v>
      </c>
      <c r="E26" s="159">
        <f>D26*E$7/F$3</f>
        <v>1040</v>
      </c>
      <c r="F26" s="159">
        <f>D26*F$7/F$3</f>
        <v>10400</v>
      </c>
      <c r="G26" s="174" t="s">
        <v>34</v>
      </c>
      <c r="H26" s="174" t="s">
        <v>34</v>
      </c>
      <c r="I26" s="58" t="s">
        <v>34</v>
      </c>
      <c r="J26" s="58" t="s">
        <v>34</v>
      </c>
      <c r="K26" s="394">
        <v>800</v>
      </c>
      <c r="L26" s="394">
        <v>90</v>
      </c>
      <c r="M26" s="177" t="s">
        <v>34</v>
      </c>
      <c r="N26" s="181" t="s">
        <v>34</v>
      </c>
      <c r="O26" s="394" t="s">
        <v>365</v>
      </c>
      <c r="P26" s="394"/>
      <c r="Q26" s="394"/>
      <c r="R26">
        <f t="shared" si="5"/>
        <v>18</v>
      </c>
      <c r="S26" s="97" t="s">
        <v>177</v>
      </c>
      <c r="T26" s="97"/>
      <c r="U26" s="430" t="s">
        <v>34</v>
      </c>
      <c r="V26" s="159" t="s">
        <v>34</v>
      </c>
      <c r="W26" s="430"/>
      <c r="X26" s="430"/>
      <c r="Y26" s="430"/>
      <c r="Z26" s="430"/>
      <c r="AA26" s="430"/>
      <c r="AB26" t="s">
        <v>34</v>
      </c>
      <c r="AH26" s="306">
        <f t="shared" si="14"/>
        <v>533.33333333333337</v>
      </c>
      <c r="AI26" s="306">
        <f t="shared" si="15"/>
        <v>32000.000000000004</v>
      </c>
      <c r="AJ26" s="306">
        <f t="shared" si="16"/>
        <v>8.8888888888888893</v>
      </c>
    </row>
    <row r="27" spans="1:36" x14ac:dyDescent="0.35">
      <c r="A27">
        <f t="shared" si="4"/>
        <v>19</v>
      </c>
      <c r="B27" s="123" t="s">
        <v>1038</v>
      </c>
      <c r="C27" s="42" t="s">
        <v>853</v>
      </c>
      <c r="D27" s="159">
        <v>20000000</v>
      </c>
      <c r="E27" s="159">
        <f>D27*E$7/F$3</f>
        <v>2000</v>
      </c>
      <c r="F27" s="159">
        <f>D27*F$7/F$3</f>
        <v>20000</v>
      </c>
      <c r="G27" s="174" t="s">
        <v>34</v>
      </c>
      <c r="H27" s="174" t="s">
        <v>34</v>
      </c>
      <c r="I27" s="58" t="s">
        <v>34</v>
      </c>
      <c r="J27" s="58" t="s">
        <v>34</v>
      </c>
      <c r="K27" s="394">
        <v>420</v>
      </c>
      <c r="L27" s="394">
        <v>67</v>
      </c>
      <c r="M27" s="177" t="s">
        <v>34</v>
      </c>
      <c r="N27" s="181" t="s">
        <v>34</v>
      </c>
      <c r="O27" s="394" t="s">
        <v>367</v>
      </c>
      <c r="P27" s="394"/>
      <c r="Q27" s="394"/>
      <c r="R27">
        <f t="shared" si="5"/>
        <v>19</v>
      </c>
      <c r="S27" s="20" t="s">
        <v>178</v>
      </c>
      <c r="T27" s="20"/>
      <c r="U27" s="430" t="s">
        <v>34</v>
      </c>
      <c r="V27" s="159" t="s">
        <v>34</v>
      </c>
      <c r="W27" s="430"/>
      <c r="X27" s="430"/>
      <c r="Y27" s="430"/>
      <c r="Z27" s="430"/>
      <c r="AA27" s="430"/>
      <c r="AB27" t="s">
        <v>34</v>
      </c>
      <c r="AH27" s="306">
        <f t="shared" si="14"/>
        <v>376.11940298507466</v>
      </c>
      <c r="AI27" s="306">
        <f t="shared" si="15"/>
        <v>22567.164179104479</v>
      </c>
      <c r="AJ27" s="306">
        <f t="shared" si="16"/>
        <v>6.2686567164179108</v>
      </c>
    </row>
    <row r="28" spans="1:36" x14ac:dyDescent="0.35">
      <c r="A28">
        <f t="shared" si="4"/>
        <v>20</v>
      </c>
      <c r="B28" s="123" t="s">
        <v>1026</v>
      </c>
      <c r="C28" s="42" t="s">
        <v>884</v>
      </c>
      <c r="D28" s="159">
        <v>12000000</v>
      </c>
      <c r="E28" s="159">
        <f>D28*E$7/F$3</f>
        <v>1200</v>
      </c>
      <c r="F28" s="159">
        <f>D28*F$7/F$3</f>
        <v>12000</v>
      </c>
      <c r="G28" s="174" t="s">
        <v>34</v>
      </c>
      <c r="H28" s="174" t="s">
        <v>34</v>
      </c>
      <c r="I28" s="58" t="s">
        <v>34</v>
      </c>
      <c r="J28" s="58" t="s">
        <v>34</v>
      </c>
      <c r="K28" s="394">
        <v>700</v>
      </c>
      <c r="L28" s="394">
        <v>103</v>
      </c>
      <c r="M28" s="177" t="s">
        <v>34</v>
      </c>
      <c r="N28" s="181" t="s">
        <v>34</v>
      </c>
      <c r="O28" s="394" t="s">
        <v>423</v>
      </c>
      <c r="P28" s="394"/>
      <c r="Q28" s="394"/>
      <c r="R28">
        <f t="shared" si="5"/>
        <v>20</v>
      </c>
      <c r="S28" s="20" t="s">
        <v>671</v>
      </c>
      <c r="T28" s="20"/>
      <c r="U28" t="s">
        <v>670</v>
      </c>
      <c r="V28" s="159" t="s">
        <v>34</v>
      </c>
      <c r="AB28" t="s">
        <v>34</v>
      </c>
      <c r="AH28" s="306">
        <f t="shared" si="14"/>
        <v>407.76699029126212</v>
      </c>
      <c r="AI28" s="306">
        <f t="shared" si="15"/>
        <v>24466.019417475727</v>
      </c>
      <c r="AJ28" s="306">
        <f t="shared" si="16"/>
        <v>6.7961165048543686</v>
      </c>
    </row>
    <row r="29" spans="1:36" x14ac:dyDescent="0.35">
      <c r="A29">
        <f t="shared" si="4"/>
        <v>21</v>
      </c>
      <c r="B29" s="123" t="s">
        <v>1036</v>
      </c>
      <c r="C29" s="42" t="s">
        <v>960</v>
      </c>
      <c r="D29" s="159">
        <f>D26</f>
        <v>10400000</v>
      </c>
      <c r="E29" s="159">
        <f>D29*E$7/F$3</f>
        <v>1040</v>
      </c>
      <c r="F29" s="159">
        <f>D29*F$7/F$3</f>
        <v>10400</v>
      </c>
      <c r="G29" s="174" t="s">
        <v>34</v>
      </c>
      <c r="H29" s="174" t="s">
        <v>34</v>
      </c>
      <c r="I29" s="58" t="s">
        <v>34</v>
      </c>
      <c r="J29" s="58" t="s">
        <v>34</v>
      </c>
      <c r="K29" s="394">
        <v>600</v>
      </c>
      <c r="L29" s="394">
        <v>100</v>
      </c>
      <c r="M29" s="177" t="s">
        <v>34</v>
      </c>
      <c r="N29" s="181" t="s">
        <v>34</v>
      </c>
      <c r="O29" s="394" t="s">
        <v>368</v>
      </c>
      <c r="P29" s="394"/>
      <c r="Q29" s="394"/>
      <c r="R29">
        <f t="shared" si="5"/>
        <v>21</v>
      </c>
      <c r="S29" s="20" t="s">
        <v>193</v>
      </c>
      <c r="T29" s="20"/>
      <c r="U29" s="430" t="s">
        <v>34</v>
      </c>
      <c r="V29" s="159" t="s">
        <v>34</v>
      </c>
      <c r="W29" s="430"/>
      <c r="X29" s="430"/>
      <c r="Y29" s="430"/>
      <c r="Z29" s="430"/>
      <c r="AA29" s="430"/>
      <c r="AB29" t="s">
        <v>34</v>
      </c>
      <c r="AH29" s="306">
        <f t="shared" si="14"/>
        <v>360</v>
      </c>
      <c r="AI29" s="306">
        <f t="shared" si="15"/>
        <v>21600</v>
      </c>
      <c r="AJ29" s="306">
        <f t="shared" si="16"/>
        <v>6</v>
      </c>
    </row>
    <row r="30" spans="1:36" x14ac:dyDescent="0.35">
      <c r="A30">
        <f t="shared" si="4"/>
        <v>22</v>
      </c>
      <c r="B30" s="489" t="s">
        <v>1032</v>
      </c>
      <c r="C30" s="491" t="s">
        <v>797</v>
      </c>
      <c r="D30" s="484"/>
      <c r="E30" s="484"/>
      <c r="F30" s="484"/>
      <c r="G30" s="485"/>
      <c r="H30" s="485"/>
      <c r="I30" s="516"/>
      <c r="J30" s="516"/>
      <c r="K30" s="490">
        <v>1200</v>
      </c>
      <c r="L30" s="490">
        <v>100</v>
      </c>
      <c r="M30" s="488" t="s">
        <v>34</v>
      </c>
      <c r="N30" s="528" t="s">
        <v>34</v>
      </c>
      <c r="O30" s="490" t="s">
        <v>1033</v>
      </c>
      <c r="P30" s="490"/>
      <c r="Q30" s="490"/>
      <c r="R30">
        <f t="shared" si="5"/>
        <v>22</v>
      </c>
      <c r="S30" s="20" t="s">
        <v>1034</v>
      </c>
      <c r="T30" s="20"/>
      <c r="U30" s="430" t="s">
        <v>1035</v>
      </c>
      <c r="V30" s="159" t="s">
        <v>34</v>
      </c>
      <c r="W30" s="430"/>
      <c r="X30" s="430"/>
      <c r="Y30" s="430"/>
      <c r="Z30" s="430"/>
      <c r="AA30" s="430"/>
      <c r="AB30" t="s">
        <v>34</v>
      </c>
      <c r="AH30" s="306">
        <f t="shared" si="14"/>
        <v>720</v>
      </c>
      <c r="AI30" s="306">
        <f t="shared" si="15"/>
        <v>43200</v>
      </c>
      <c r="AJ30" s="306">
        <f t="shared" si="16"/>
        <v>12</v>
      </c>
    </row>
    <row r="31" spans="1:36" x14ac:dyDescent="0.35">
      <c r="A31">
        <f t="shared" si="4"/>
        <v>23</v>
      </c>
      <c r="B31" s="123" t="s">
        <v>962</v>
      </c>
      <c r="C31" s="42" t="s">
        <v>961</v>
      </c>
      <c r="D31" s="159">
        <v>25</v>
      </c>
      <c r="E31" s="174" t="s">
        <v>34</v>
      </c>
      <c r="F31" s="174" t="s">
        <v>34</v>
      </c>
      <c r="G31" s="174" t="s">
        <v>34</v>
      </c>
      <c r="H31" s="159">
        <f>D31*H$7/F$3</f>
        <v>2.5</v>
      </c>
      <c r="I31" s="8">
        <f>D31*I$7/I$3</f>
        <v>2.5000000000000001E-2</v>
      </c>
      <c r="J31" s="142">
        <f>D31*J$7/I$3</f>
        <v>0.25</v>
      </c>
      <c r="K31" s="105">
        <v>2.5</v>
      </c>
      <c r="L31" s="105">
        <v>570</v>
      </c>
      <c r="M31" s="177" t="s">
        <v>369</v>
      </c>
      <c r="N31" s="181" t="s">
        <v>194</v>
      </c>
      <c r="O31" s="394" t="s">
        <v>360</v>
      </c>
      <c r="P31" s="394"/>
      <c r="Q31" s="394"/>
      <c r="R31">
        <f t="shared" si="5"/>
        <v>23</v>
      </c>
      <c r="S31" t="s">
        <v>963</v>
      </c>
      <c r="U31" s="454" t="s">
        <v>364</v>
      </c>
      <c r="V31" s="159" t="s">
        <v>34</v>
      </c>
      <c r="W31" s="454"/>
      <c r="X31" s="454"/>
      <c r="Y31" s="454"/>
      <c r="Z31" s="454"/>
      <c r="AA31" s="454"/>
      <c r="AB31" t="s">
        <v>34</v>
      </c>
      <c r="AH31" s="306">
        <f t="shared" si="14"/>
        <v>0.26315789473684209</v>
      </c>
      <c r="AI31" s="306">
        <f t="shared" si="15"/>
        <v>15.789473684210526</v>
      </c>
      <c r="AJ31" s="306">
        <f t="shared" si="16"/>
        <v>4.3859649122807015E-3</v>
      </c>
    </row>
    <row r="32" spans="1:36" x14ac:dyDescent="0.35">
      <c r="A32">
        <f t="shared" si="4"/>
        <v>24</v>
      </c>
      <c r="B32" s="123" t="s">
        <v>964</v>
      </c>
      <c r="C32" s="42" t="s">
        <v>961</v>
      </c>
      <c r="D32" s="159">
        <v>70</v>
      </c>
      <c r="E32" s="174" t="s">
        <v>34</v>
      </c>
      <c r="F32" s="174" t="s">
        <v>34</v>
      </c>
      <c r="G32" s="174" t="s">
        <v>34</v>
      </c>
      <c r="H32" s="159">
        <f>D32*H$7/F$3</f>
        <v>7</v>
      </c>
      <c r="I32" s="8">
        <f>D32*I$7/I$3</f>
        <v>7.0000000000000007E-2</v>
      </c>
      <c r="J32" s="142">
        <f>D32*J$7/I$3</f>
        <v>0.7</v>
      </c>
      <c r="K32" s="105">
        <v>5.3</v>
      </c>
      <c r="L32" s="105">
        <v>750</v>
      </c>
      <c r="M32" s="177" t="s">
        <v>369</v>
      </c>
      <c r="N32" s="181" t="s">
        <v>195</v>
      </c>
      <c r="O32" s="394" t="s">
        <v>360</v>
      </c>
      <c r="P32" s="394"/>
      <c r="Q32" s="394"/>
      <c r="R32">
        <f t="shared" si="5"/>
        <v>24</v>
      </c>
      <c r="S32" s="20" t="s">
        <v>965</v>
      </c>
      <c r="T32" s="20"/>
      <c r="U32" s="430" t="s">
        <v>34</v>
      </c>
      <c r="V32" s="159" t="s">
        <v>34</v>
      </c>
      <c r="W32" s="430"/>
      <c r="X32" s="430"/>
      <c r="Y32" s="430"/>
      <c r="Z32" s="430"/>
      <c r="AA32" s="430"/>
      <c r="AB32" t="s">
        <v>34</v>
      </c>
      <c r="AH32" s="306">
        <f t="shared" si="14"/>
        <v>0.42399999999999999</v>
      </c>
      <c r="AI32" s="306">
        <f t="shared" si="15"/>
        <v>25.439999999999998</v>
      </c>
      <c r="AJ32" s="306">
        <f t="shared" si="16"/>
        <v>7.0666666666666664E-3</v>
      </c>
    </row>
    <row r="33" spans="1:36" x14ac:dyDescent="0.35">
      <c r="A33">
        <f t="shared" si="4"/>
        <v>25</v>
      </c>
      <c r="B33" s="123" t="s">
        <v>967</v>
      </c>
      <c r="C33" s="42" t="s">
        <v>961</v>
      </c>
      <c r="D33" s="159">
        <v>125</v>
      </c>
      <c r="E33" s="174" t="s">
        <v>34</v>
      </c>
      <c r="F33" s="174" t="s">
        <v>34</v>
      </c>
      <c r="G33" s="174" t="s">
        <v>34</v>
      </c>
      <c r="H33" s="159">
        <f>D33*H$7/F$3</f>
        <v>12.5</v>
      </c>
      <c r="I33" s="8">
        <f>D33*I$7/I$3</f>
        <v>0.125</v>
      </c>
      <c r="J33" s="142">
        <f>D33*J$7/I$3</f>
        <v>1.25</v>
      </c>
      <c r="K33" s="105">
        <v>8</v>
      </c>
      <c r="L33" s="105">
        <v>1100</v>
      </c>
      <c r="M33" s="177" t="s">
        <v>369</v>
      </c>
      <c r="N33" s="181" t="s">
        <v>196</v>
      </c>
      <c r="O33" s="394" t="s">
        <v>360</v>
      </c>
      <c r="P33" s="394"/>
      <c r="Q33" s="394"/>
      <c r="R33">
        <f t="shared" si="5"/>
        <v>25</v>
      </c>
      <c r="S33" s="20" t="s">
        <v>966</v>
      </c>
      <c r="T33" s="20"/>
      <c r="U33" s="430" t="s">
        <v>34</v>
      </c>
      <c r="V33" s="159" t="s">
        <v>34</v>
      </c>
      <c r="W33" s="430"/>
      <c r="X33" s="430"/>
      <c r="Y33" s="430"/>
      <c r="Z33" s="430"/>
      <c r="AA33" s="430"/>
      <c r="AB33" t="s">
        <v>34</v>
      </c>
      <c r="AH33" s="306">
        <f t="shared" si="14"/>
        <v>0.43636363636363634</v>
      </c>
      <c r="AI33" s="306">
        <f t="shared" si="15"/>
        <v>26.18181818181818</v>
      </c>
      <c r="AJ33" s="306">
        <f t="shared" si="16"/>
        <v>7.2727272727272727E-3</v>
      </c>
    </row>
    <row r="34" spans="1:36" x14ac:dyDescent="0.35">
      <c r="A34">
        <f t="shared" si="4"/>
        <v>26</v>
      </c>
      <c r="B34" s="123" t="s">
        <v>187</v>
      </c>
      <c r="C34" s="42" t="s">
        <v>915</v>
      </c>
      <c r="D34" s="159">
        <v>10600</v>
      </c>
      <c r="E34" s="175">
        <f>D34*E$7/F$3</f>
        <v>1.06</v>
      </c>
      <c r="F34" s="159">
        <f t="shared" ref="F34:F39" si="17">D34*F$7/F$3</f>
        <v>10.6</v>
      </c>
      <c r="G34" s="159">
        <f>D34*G$7/F$3</f>
        <v>106</v>
      </c>
      <c r="H34" s="174" t="s">
        <v>34</v>
      </c>
      <c r="I34" s="58" t="s">
        <v>34</v>
      </c>
      <c r="J34" s="58" t="s">
        <v>34</v>
      </c>
      <c r="K34" s="394" t="s">
        <v>34</v>
      </c>
      <c r="L34" s="394" t="s">
        <v>34</v>
      </c>
      <c r="M34" s="177" t="s">
        <v>34</v>
      </c>
      <c r="N34" s="181" t="s">
        <v>34</v>
      </c>
      <c r="O34" s="394" t="s">
        <v>373</v>
      </c>
      <c r="P34" s="394"/>
      <c r="Q34" s="394"/>
      <c r="R34">
        <f t="shared" si="5"/>
        <v>26</v>
      </c>
      <c r="S34" s="20" t="s">
        <v>179</v>
      </c>
      <c r="T34" s="20"/>
      <c r="U34" s="430" t="s">
        <v>34</v>
      </c>
      <c r="V34" s="159" t="s">
        <v>34</v>
      </c>
      <c r="W34" s="430"/>
      <c r="X34" s="430"/>
      <c r="Y34" s="430"/>
      <c r="Z34" s="430"/>
      <c r="AA34" s="430"/>
      <c r="AB34" t="s">
        <v>34</v>
      </c>
      <c r="AH34" s="306"/>
      <c r="AI34" s="306"/>
      <c r="AJ34" s="306"/>
    </row>
    <row r="35" spans="1:36" x14ac:dyDescent="0.35">
      <c r="A35">
        <f t="shared" si="4"/>
        <v>27</v>
      </c>
      <c r="B35" s="123" t="s">
        <v>392</v>
      </c>
      <c r="C35" s="42" t="s">
        <v>938</v>
      </c>
      <c r="D35" s="159">
        <v>40000</v>
      </c>
      <c r="E35" s="159">
        <f>D35*E$7/F$3</f>
        <v>4</v>
      </c>
      <c r="F35" s="159">
        <f t="shared" si="17"/>
        <v>40</v>
      </c>
      <c r="G35" s="159">
        <f>D35*G$7/F$3</f>
        <v>400</v>
      </c>
      <c r="H35" s="174" t="s">
        <v>34</v>
      </c>
      <c r="I35" s="58" t="s">
        <v>34</v>
      </c>
      <c r="J35" s="58" t="s">
        <v>34</v>
      </c>
      <c r="K35" s="394" t="s">
        <v>34</v>
      </c>
      <c r="L35" s="394" t="s">
        <v>34</v>
      </c>
      <c r="M35" s="177" t="s">
        <v>34</v>
      </c>
      <c r="N35" s="181" t="s">
        <v>34</v>
      </c>
      <c r="O35" s="394" t="s">
        <v>372</v>
      </c>
      <c r="P35" s="394"/>
      <c r="Q35" s="394"/>
      <c r="R35">
        <f t="shared" si="5"/>
        <v>27</v>
      </c>
      <c r="S35" s="20" t="s">
        <v>180</v>
      </c>
      <c r="T35" s="20"/>
      <c r="U35" s="430" t="s">
        <v>34</v>
      </c>
      <c r="V35" s="159" t="s">
        <v>34</v>
      </c>
      <c r="W35" s="430"/>
      <c r="X35" s="430"/>
      <c r="Y35" s="430"/>
      <c r="Z35" s="430"/>
      <c r="AA35" s="430"/>
      <c r="AB35" t="s">
        <v>34</v>
      </c>
      <c r="AH35" s="306"/>
      <c r="AI35" s="306"/>
      <c r="AJ35" s="306"/>
    </row>
    <row r="36" spans="1:36" x14ac:dyDescent="0.35">
      <c r="A36">
        <f t="shared" si="4"/>
        <v>28</v>
      </c>
      <c r="B36" s="123" t="s">
        <v>396</v>
      </c>
      <c r="C36" s="42" t="s">
        <v>791</v>
      </c>
      <c r="D36" s="159">
        <v>30000</v>
      </c>
      <c r="E36" s="174" t="s">
        <v>34</v>
      </c>
      <c r="F36" s="159">
        <f t="shared" si="17"/>
        <v>30</v>
      </c>
      <c r="G36" s="159">
        <f>D36*G$7/F$3</f>
        <v>300</v>
      </c>
      <c r="H36" s="159">
        <f>D36*H$7/F$3</f>
        <v>3000</v>
      </c>
      <c r="I36" s="58" t="s">
        <v>34</v>
      </c>
      <c r="J36" s="58" t="s">
        <v>34</v>
      </c>
      <c r="K36" s="394">
        <v>45</v>
      </c>
      <c r="L36" s="394" t="s">
        <v>34</v>
      </c>
      <c r="M36" s="177" t="s">
        <v>34</v>
      </c>
      <c r="N36" s="181" t="s">
        <v>34</v>
      </c>
      <c r="O36" s="394" t="s">
        <v>398</v>
      </c>
      <c r="P36" s="394"/>
      <c r="Q36" s="394"/>
      <c r="R36">
        <f t="shared" si="5"/>
        <v>28</v>
      </c>
      <c r="S36" s="20" t="s">
        <v>411</v>
      </c>
      <c r="T36" s="20"/>
      <c r="U36" t="s">
        <v>397</v>
      </c>
      <c r="V36" s="159" t="s">
        <v>34</v>
      </c>
      <c r="AB36" t="s">
        <v>34</v>
      </c>
      <c r="AH36" s="306"/>
      <c r="AI36" s="306"/>
      <c r="AJ36" s="306"/>
    </row>
    <row r="37" spans="1:36" x14ac:dyDescent="0.35">
      <c r="A37">
        <f t="shared" si="4"/>
        <v>29</v>
      </c>
      <c r="B37" s="123" t="s">
        <v>968</v>
      </c>
      <c r="C37" s="42" t="s">
        <v>803</v>
      </c>
      <c r="D37" s="159">
        <v>168000</v>
      </c>
      <c r="E37" s="174" t="s">
        <v>34</v>
      </c>
      <c r="F37" s="159">
        <f t="shared" si="17"/>
        <v>168</v>
      </c>
      <c r="G37" s="159">
        <f>D37*G$7/F$3</f>
        <v>1680</v>
      </c>
      <c r="H37" s="159">
        <f>D37*H$7/F$3</f>
        <v>16800</v>
      </c>
      <c r="I37" s="58" t="s">
        <v>34</v>
      </c>
      <c r="J37" s="58" t="s">
        <v>34</v>
      </c>
      <c r="K37" s="394">
        <v>90</v>
      </c>
      <c r="L37" s="394">
        <v>3062</v>
      </c>
      <c r="M37" s="177" t="s">
        <v>407</v>
      </c>
      <c r="N37" s="181" t="s">
        <v>404</v>
      </c>
      <c r="O37" s="394" t="s">
        <v>403</v>
      </c>
      <c r="P37" s="394"/>
      <c r="Q37" s="394"/>
      <c r="R37">
        <f t="shared" si="5"/>
        <v>29</v>
      </c>
      <c r="S37" s="20" t="s">
        <v>399</v>
      </c>
      <c r="T37" s="20"/>
      <c r="U37" t="s">
        <v>405</v>
      </c>
      <c r="V37" s="159" t="s">
        <v>34</v>
      </c>
      <c r="AB37" t="s">
        <v>34</v>
      </c>
      <c r="AH37" s="306">
        <f t="shared" si="14"/>
        <v>1.7635532331809274</v>
      </c>
      <c r="AI37" s="306">
        <f t="shared" si="15"/>
        <v>105.81319399085564</v>
      </c>
      <c r="AJ37" s="306">
        <f t="shared" si="16"/>
        <v>2.9392553886348791E-2</v>
      </c>
    </row>
    <row r="38" spans="1:36" x14ac:dyDescent="0.35">
      <c r="A38">
        <f t="shared" si="4"/>
        <v>30</v>
      </c>
      <c r="B38" s="123" t="s">
        <v>676</v>
      </c>
      <c r="C38" s="42" t="s">
        <v>797</v>
      </c>
      <c r="D38" s="159">
        <v>40000</v>
      </c>
      <c r="E38" s="174" t="s">
        <v>34</v>
      </c>
      <c r="F38" s="159">
        <f t="shared" si="17"/>
        <v>40</v>
      </c>
      <c r="G38" s="159">
        <f>D38*G$7/F$3</f>
        <v>400</v>
      </c>
      <c r="H38" s="159">
        <f>D38*H$7/F$3</f>
        <v>4000</v>
      </c>
      <c r="I38" s="58" t="s">
        <v>34</v>
      </c>
      <c r="J38" s="58" t="s">
        <v>34</v>
      </c>
      <c r="K38" s="394">
        <v>150</v>
      </c>
      <c r="L38" s="394" t="s">
        <v>34</v>
      </c>
      <c r="M38" s="177" t="s">
        <v>34</v>
      </c>
      <c r="N38" s="181" t="s">
        <v>401</v>
      </c>
      <c r="O38" s="394" t="s">
        <v>355</v>
      </c>
      <c r="P38" s="394"/>
      <c r="Q38" s="394"/>
      <c r="R38">
        <f t="shared" si="5"/>
        <v>30</v>
      </c>
      <c r="S38" s="20" t="s">
        <v>400</v>
      </c>
      <c r="T38" s="20"/>
      <c r="U38" t="s">
        <v>402</v>
      </c>
      <c r="V38" s="159" t="s">
        <v>34</v>
      </c>
      <c r="AB38" t="s">
        <v>34</v>
      </c>
      <c r="AH38" s="306"/>
      <c r="AI38" s="306"/>
      <c r="AJ38" s="306"/>
    </row>
    <row r="39" spans="1:36" x14ac:dyDescent="0.35">
      <c r="A39">
        <f t="shared" si="4"/>
        <v>31</v>
      </c>
      <c r="B39" s="123" t="s">
        <v>395</v>
      </c>
      <c r="C39" s="42" t="s">
        <v>936</v>
      </c>
      <c r="D39" s="159">
        <v>4400000</v>
      </c>
      <c r="E39" s="159">
        <f>D39*E$7/F$3</f>
        <v>440</v>
      </c>
      <c r="F39" s="159">
        <f t="shared" si="17"/>
        <v>4400</v>
      </c>
      <c r="G39" s="174" t="s">
        <v>34</v>
      </c>
      <c r="H39" s="174" t="s">
        <v>34</v>
      </c>
      <c r="I39" s="58" t="s">
        <v>34</v>
      </c>
      <c r="J39" s="58" t="s">
        <v>34</v>
      </c>
      <c r="K39" s="394">
        <v>480</v>
      </c>
      <c r="L39" s="394">
        <v>85</v>
      </c>
      <c r="M39" s="177" t="s">
        <v>34</v>
      </c>
      <c r="N39" s="181" t="s">
        <v>34</v>
      </c>
      <c r="O39" s="394" t="s">
        <v>394</v>
      </c>
      <c r="P39" s="394"/>
      <c r="Q39" s="394"/>
      <c r="R39">
        <f t="shared" si="5"/>
        <v>31</v>
      </c>
      <c r="S39" t="s">
        <v>393</v>
      </c>
      <c r="U39" s="430" t="s">
        <v>34</v>
      </c>
      <c r="V39" s="159" t="s">
        <v>34</v>
      </c>
      <c r="W39" s="430"/>
      <c r="X39" s="430"/>
      <c r="Y39" s="430"/>
      <c r="Z39" s="430"/>
      <c r="AA39" s="430"/>
      <c r="AB39" t="s">
        <v>34</v>
      </c>
      <c r="AH39" s="306">
        <f t="shared" si="14"/>
        <v>338.82352941176475</v>
      </c>
      <c r="AI39" s="306">
        <f t="shared" si="15"/>
        <v>20329.411764705885</v>
      </c>
      <c r="AJ39" s="306">
        <f t="shared" si="16"/>
        <v>5.6470588235294121</v>
      </c>
    </row>
    <row r="40" spans="1:36" x14ac:dyDescent="0.35">
      <c r="A40">
        <f t="shared" si="4"/>
        <v>32</v>
      </c>
      <c r="B40" s="493" t="s">
        <v>339</v>
      </c>
      <c r="C40" s="494" t="s">
        <v>972</v>
      </c>
      <c r="D40" s="495">
        <v>500</v>
      </c>
      <c r="E40" s="496" t="s">
        <v>34</v>
      </c>
      <c r="F40" s="496" t="s">
        <v>34</v>
      </c>
      <c r="G40" s="496" t="s">
        <v>34</v>
      </c>
      <c r="H40" s="495">
        <f>D40*H$7/F$3</f>
        <v>50</v>
      </c>
      <c r="I40" s="502">
        <f>D40*I$7/I$3</f>
        <v>0.5</v>
      </c>
      <c r="J40" s="504">
        <f>D40*J$7/I$3</f>
        <v>5</v>
      </c>
      <c r="K40" s="505" t="s">
        <v>470</v>
      </c>
      <c r="L40" s="498">
        <v>1080</v>
      </c>
      <c r="M40" s="506" t="s">
        <v>566</v>
      </c>
      <c r="N40" s="507" t="s">
        <v>337</v>
      </c>
      <c r="O40" s="501" t="s">
        <v>469</v>
      </c>
      <c r="P40" s="501"/>
      <c r="Q40" s="501"/>
      <c r="R40">
        <f t="shared" si="5"/>
        <v>32</v>
      </c>
      <c r="S40" s="20" t="s">
        <v>342</v>
      </c>
      <c r="T40" s="20"/>
      <c r="U40" s="430" t="s">
        <v>34</v>
      </c>
      <c r="V40" s="159" t="s">
        <v>34</v>
      </c>
      <c r="W40" s="430"/>
      <c r="X40" s="430"/>
      <c r="Y40" s="430"/>
      <c r="Z40" s="430"/>
      <c r="AA40" s="430"/>
      <c r="AB40" t="s">
        <v>34</v>
      </c>
      <c r="AH40" s="306"/>
      <c r="AI40" s="306"/>
      <c r="AJ40" s="306"/>
    </row>
    <row r="41" spans="1:36" x14ac:dyDescent="0.35">
      <c r="A41">
        <f t="shared" si="4"/>
        <v>33</v>
      </c>
      <c r="B41" s="493" t="s">
        <v>340</v>
      </c>
      <c r="C41" s="494" t="s">
        <v>972</v>
      </c>
      <c r="D41" s="495">
        <v>400</v>
      </c>
      <c r="E41" s="496" t="s">
        <v>34</v>
      </c>
      <c r="F41" s="496" t="s">
        <v>34</v>
      </c>
      <c r="G41" s="496" t="s">
        <v>34</v>
      </c>
      <c r="H41" s="495">
        <f>D41*H$7/F$3</f>
        <v>40</v>
      </c>
      <c r="I41" s="502">
        <f>D41*I$7/I$3</f>
        <v>0.4</v>
      </c>
      <c r="J41" s="504">
        <f>D41*J$7/I$3</f>
        <v>4</v>
      </c>
      <c r="K41" s="501" t="s">
        <v>34</v>
      </c>
      <c r="L41" s="501" t="s">
        <v>34</v>
      </c>
      <c r="M41" s="506" t="s">
        <v>34</v>
      </c>
      <c r="N41" s="507" t="s">
        <v>338</v>
      </c>
      <c r="O41" s="501" t="s">
        <v>418</v>
      </c>
      <c r="P41" s="501"/>
      <c r="Q41" s="501"/>
      <c r="R41">
        <f t="shared" si="5"/>
        <v>33</v>
      </c>
      <c r="S41" s="20" t="s">
        <v>973</v>
      </c>
      <c r="T41" s="20"/>
      <c r="U41" s="430" t="s">
        <v>34</v>
      </c>
      <c r="V41" s="159" t="s">
        <v>34</v>
      </c>
      <c r="W41" s="430"/>
      <c r="X41" s="430"/>
      <c r="Y41" s="430"/>
      <c r="Z41" s="430"/>
      <c r="AA41" s="430"/>
      <c r="AB41" t="s">
        <v>34</v>
      </c>
      <c r="AH41" s="306"/>
      <c r="AI41" s="306"/>
      <c r="AJ41" s="306"/>
    </row>
    <row r="42" spans="1:36" x14ac:dyDescent="0.35">
      <c r="A42">
        <f t="shared" si="4"/>
        <v>34</v>
      </c>
      <c r="B42" s="493" t="s">
        <v>341</v>
      </c>
      <c r="C42" s="494" t="s">
        <v>972</v>
      </c>
      <c r="D42" s="495">
        <v>100</v>
      </c>
      <c r="E42" s="496" t="s">
        <v>34</v>
      </c>
      <c r="F42" s="496" t="s">
        <v>34</v>
      </c>
      <c r="G42" s="496" t="s">
        <v>34</v>
      </c>
      <c r="H42" s="495">
        <f>D42*H$7/F$3</f>
        <v>10</v>
      </c>
      <c r="I42" s="502">
        <f>D42*I$7/I$3</f>
        <v>0.1</v>
      </c>
      <c r="J42" s="504">
        <f>D42*J$7/I$3</f>
        <v>1</v>
      </c>
      <c r="K42" s="501" t="s">
        <v>34</v>
      </c>
      <c r="L42" s="501" t="s">
        <v>34</v>
      </c>
      <c r="M42" s="506" t="s">
        <v>34</v>
      </c>
      <c r="N42" s="507" t="s">
        <v>343</v>
      </c>
      <c r="O42" s="501" t="s">
        <v>418</v>
      </c>
      <c r="P42" s="501"/>
      <c r="Q42" s="501"/>
      <c r="R42">
        <f t="shared" si="5"/>
        <v>34</v>
      </c>
      <c r="S42" s="20" t="s">
        <v>974</v>
      </c>
      <c r="T42" s="20"/>
      <c r="U42" s="430" t="s">
        <v>34</v>
      </c>
      <c r="V42" s="159" t="s">
        <v>34</v>
      </c>
      <c r="W42" s="430"/>
      <c r="X42" s="430"/>
      <c r="Y42" s="430"/>
      <c r="Z42" s="430"/>
      <c r="AA42" s="430"/>
      <c r="AB42" t="s">
        <v>34</v>
      </c>
      <c r="AH42" s="306"/>
      <c r="AI42" s="306"/>
      <c r="AJ42" s="306"/>
    </row>
    <row r="43" spans="1:36" x14ac:dyDescent="0.35">
      <c r="A43">
        <f t="shared" si="4"/>
        <v>35</v>
      </c>
      <c r="B43" s="493" t="s">
        <v>336</v>
      </c>
      <c r="C43" s="494" t="s">
        <v>972</v>
      </c>
      <c r="D43" s="495">
        <v>2000</v>
      </c>
      <c r="E43" s="496" t="s">
        <v>34</v>
      </c>
      <c r="F43" s="496" t="s">
        <v>34</v>
      </c>
      <c r="G43" s="495">
        <f t="shared" ref="G43:G52" si="18">D43*G$7/F$3</f>
        <v>20</v>
      </c>
      <c r="H43" s="495">
        <f>D43*H$7/F$3</f>
        <v>200</v>
      </c>
      <c r="I43" s="502">
        <f>D43*I$7/I$3</f>
        <v>2</v>
      </c>
      <c r="J43" s="508" t="s">
        <v>34</v>
      </c>
      <c r="K43" s="501" t="s">
        <v>34</v>
      </c>
      <c r="L43" s="501" t="s">
        <v>34</v>
      </c>
      <c r="M43" s="506" t="s">
        <v>34</v>
      </c>
      <c r="N43" s="507" t="s">
        <v>34</v>
      </c>
      <c r="O43" s="501" t="s">
        <v>468</v>
      </c>
      <c r="P43" s="501"/>
      <c r="Q43" s="501"/>
      <c r="R43">
        <f t="shared" si="5"/>
        <v>35</v>
      </c>
      <c r="S43" s="20" t="s">
        <v>975</v>
      </c>
      <c r="T43" s="20"/>
      <c r="U43" s="430" t="s">
        <v>34</v>
      </c>
      <c r="V43" s="159" t="s">
        <v>34</v>
      </c>
      <c r="W43" s="430"/>
      <c r="X43" s="430"/>
      <c r="Y43" s="430"/>
      <c r="Z43" s="430"/>
      <c r="AA43" s="430"/>
      <c r="AB43" t="s">
        <v>34</v>
      </c>
      <c r="AH43" s="306"/>
      <c r="AI43" s="306"/>
      <c r="AJ43" s="306"/>
    </row>
    <row r="44" spans="1:36" x14ac:dyDescent="0.35">
      <c r="A44">
        <f t="shared" si="4"/>
        <v>36</v>
      </c>
      <c r="B44" s="123" t="s">
        <v>467</v>
      </c>
      <c r="C44" s="42" t="s">
        <v>977</v>
      </c>
      <c r="D44" s="159">
        <v>249700</v>
      </c>
      <c r="E44" s="174" t="s">
        <v>34</v>
      </c>
      <c r="F44" s="159">
        <f t="shared" ref="F44:F52" si="19">D44*F$7/F$3</f>
        <v>249.7</v>
      </c>
      <c r="G44" s="159">
        <f t="shared" si="18"/>
        <v>2497</v>
      </c>
      <c r="H44" s="174" t="s">
        <v>34</v>
      </c>
      <c r="I44" s="70" t="s">
        <v>34</v>
      </c>
      <c r="J44" s="70" t="s">
        <v>34</v>
      </c>
      <c r="K44" s="394" t="s">
        <v>34</v>
      </c>
      <c r="L44" s="394" t="s">
        <v>34</v>
      </c>
      <c r="M44" s="177" t="s">
        <v>34</v>
      </c>
      <c r="N44" s="181" t="s">
        <v>34</v>
      </c>
      <c r="O44" s="394" t="s">
        <v>472</v>
      </c>
      <c r="P44" s="394"/>
      <c r="Q44" s="394"/>
      <c r="R44">
        <f t="shared" si="5"/>
        <v>36</v>
      </c>
      <c r="S44" s="20" t="s">
        <v>976</v>
      </c>
      <c r="T44" s="20"/>
      <c r="U44" s="430" t="s">
        <v>34</v>
      </c>
      <c r="V44" s="159" t="s">
        <v>34</v>
      </c>
      <c r="W44" s="430"/>
      <c r="X44" s="430"/>
      <c r="Y44" s="430"/>
      <c r="Z44" s="430"/>
      <c r="AA44" s="430"/>
      <c r="AB44" t="s">
        <v>34</v>
      </c>
      <c r="AH44" s="306"/>
      <c r="AI44" s="306"/>
      <c r="AJ44" s="306"/>
    </row>
    <row r="45" spans="1:36" x14ac:dyDescent="0.35">
      <c r="A45">
        <f t="shared" si="4"/>
        <v>37</v>
      </c>
      <c r="B45" s="123" t="s">
        <v>641</v>
      </c>
      <c r="C45" s="42" t="s">
        <v>977</v>
      </c>
      <c r="D45" s="159">
        <v>216717</v>
      </c>
      <c r="E45" s="174" t="s">
        <v>34</v>
      </c>
      <c r="F45" s="159">
        <f t="shared" si="19"/>
        <v>216.71700000000001</v>
      </c>
      <c r="G45" s="159">
        <f t="shared" si="18"/>
        <v>2167.17</v>
      </c>
      <c r="H45" s="174" t="s">
        <v>34</v>
      </c>
      <c r="I45" s="70" t="s">
        <v>34</v>
      </c>
      <c r="J45" s="70" t="s">
        <v>34</v>
      </c>
      <c r="K45" s="105">
        <v>4</v>
      </c>
      <c r="L45" s="394" t="s">
        <v>34</v>
      </c>
      <c r="M45" s="177" t="s">
        <v>34</v>
      </c>
      <c r="N45" s="181" t="s">
        <v>473</v>
      </c>
      <c r="O45" s="394" t="s">
        <v>978</v>
      </c>
      <c r="P45" s="394"/>
      <c r="Q45" s="394"/>
      <c r="R45">
        <f t="shared" si="5"/>
        <v>37</v>
      </c>
      <c r="S45" s="97" t="s">
        <v>471</v>
      </c>
      <c r="T45" s="97"/>
      <c r="U45" s="430" t="s">
        <v>34</v>
      </c>
      <c r="V45" s="159" t="s">
        <v>34</v>
      </c>
      <c r="W45" s="430"/>
      <c r="X45" s="430"/>
      <c r="Y45" s="430"/>
      <c r="Z45" s="430"/>
      <c r="AA45" s="430"/>
      <c r="AB45" t="s">
        <v>34</v>
      </c>
      <c r="AH45" s="306"/>
      <c r="AI45" s="306"/>
      <c r="AJ45" s="306"/>
    </row>
    <row r="46" spans="1:36" x14ac:dyDescent="0.35">
      <c r="A46">
        <f t="shared" ref="A46:A205" si="20">A45+1</f>
        <v>38</v>
      </c>
      <c r="B46" s="123" t="s">
        <v>667</v>
      </c>
      <c r="C46" s="42" t="s">
        <v>864</v>
      </c>
      <c r="D46" s="159">
        <v>140000</v>
      </c>
      <c r="E46" s="174" t="s">
        <v>34</v>
      </c>
      <c r="F46" s="159">
        <f t="shared" si="19"/>
        <v>140</v>
      </c>
      <c r="G46" s="159">
        <f t="shared" si="18"/>
        <v>1400</v>
      </c>
      <c r="H46" s="174" t="s">
        <v>34</v>
      </c>
      <c r="I46" s="70" t="s">
        <v>34</v>
      </c>
      <c r="J46" s="70" t="s">
        <v>34</v>
      </c>
      <c r="K46" s="429">
        <v>1.5</v>
      </c>
      <c r="L46" s="394">
        <v>500</v>
      </c>
      <c r="M46" s="177" t="s">
        <v>642</v>
      </c>
      <c r="N46" s="181" t="s">
        <v>669</v>
      </c>
      <c r="O46" s="394" t="s">
        <v>640</v>
      </c>
      <c r="P46" s="394"/>
      <c r="Q46" s="394"/>
      <c r="R46">
        <f t="shared" si="5"/>
        <v>38</v>
      </c>
      <c r="S46" s="97" t="s">
        <v>639</v>
      </c>
      <c r="T46" s="97"/>
      <c r="U46" s="432" t="s">
        <v>666</v>
      </c>
      <c r="V46" s="159" t="s">
        <v>34</v>
      </c>
      <c r="W46" s="430"/>
      <c r="X46" s="430"/>
      <c r="Y46" s="430"/>
      <c r="Z46" s="430"/>
      <c r="AA46" s="430"/>
      <c r="AB46" t="s">
        <v>34</v>
      </c>
      <c r="AC46" s="4" t="s">
        <v>1109</v>
      </c>
      <c r="AH46" s="306">
        <f t="shared" ref="AH46" si="21">(K46/L46)*60</f>
        <v>0.18</v>
      </c>
      <c r="AI46" s="306">
        <f>60*AH46</f>
        <v>10.799999999999999</v>
      </c>
      <c r="AJ46" s="306">
        <f>AH46/60</f>
        <v>3.0000000000000001E-3</v>
      </c>
    </row>
    <row r="47" spans="1:36" x14ac:dyDescent="0.35">
      <c r="A47">
        <f t="shared" si="20"/>
        <v>39</v>
      </c>
      <c r="B47" s="123" t="s">
        <v>668</v>
      </c>
      <c r="C47" s="42" t="s">
        <v>864</v>
      </c>
      <c r="D47" s="159">
        <v>140000</v>
      </c>
      <c r="E47" s="174" t="s">
        <v>34</v>
      </c>
      <c r="F47" s="159">
        <f t="shared" si="19"/>
        <v>140</v>
      </c>
      <c r="G47" s="159">
        <f t="shared" si="18"/>
        <v>1400</v>
      </c>
      <c r="H47" s="174" t="s">
        <v>34</v>
      </c>
      <c r="I47" s="70" t="s">
        <v>34</v>
      </c>
      <c r="J47" s="70" t="s">
        <v>34</v>
      </c>
      <c r="K47" s="429">
        <v>5.5</v>
      </c>
      <c r="L47" s="394">
        <v>500</v>
      </c>
      <c r="M47" s="177" t="s">
        <v>643</v>
      </c>
      <c r="N47" s="181" t="s">
        <v>669</v>
      </c>
      <c r="O47" s="394" t="s">
        <v>640</v>
      </c>
      <c r="P47" s="394"/>
      <c r="Q47" s="394"/>
      <c r="R47">
        <f t="shared" si="5"/>
        <v>39</v>
      </c>
      <c r="S47" t="s">
        <v>639</v>
      </c>
      <c r="U47" s="432" t="s">
        <v>645</v>
      </c>
      <c r="V47" s="159" t="s">
        <v>34</v>
      </c>
      <c r="W47" s="430"/>
      <c r="X47" s="430"/>
      <c r="Y47" s="430"/>
      <c r="Z47" s="430"/>
      <c r="AA47" s="430"/>
      <c r="AB47" t="s">
        <v>34</v>
      </c>
      <c r="AH47" s="306">
        <f t="shared" ref="AH47:AH48" si="22">(K47/L47)*60</f>
        <v>0.65999999999999992</v>
      </c>
      <c r="AI47" s="306">
        <f>60*AH47</f>
        <v>39.599999999999994</v>
      </c>
      <c r="AJ47" s="306">
        <f>AH47/60</f>
        <v>1.0999999999999999E-2</v>
      </c>
    </row>
    <row r="48" spans="1:36" x14ac:dyDescent="0.35">
      <c r="A48">
        <f t="shared" si="20"/>
        <v>40</v>
      </c>
      <c r="B48" s="123" t="s">
        <v>918</v>
      </c>
      <c r="C48" s="42" t="s">
        <v>864</v>
      </c>
      <c r="D48" s="159">
        <v>250000</v>
      </c>
      <c r="E48" s="174" t="s">
        <v>34</v>
      </c>
      <c r="F48" s="159">
        <f t="shared" si="19"/>
        <v>250</v>
      </c>
      <c r="G48" s="159">
        <f t="shared" si="18"/>
        <v>2500</v>
      </c>
      <c r="H48" s="174" t="s">
        <v>34</v>
      </c>
      <c r="I48" s="70" t="s">
        <v>34</v>
      </c>
      <c r="J48" s="70" t="s">
        <v>34</v>
      </c>
      <c r="K48" s="394">
        <v>32</v>
      </c>
      <c r="L48" s="394">
        <v>500</v>
      </c>
      <c r="M48" s="177" t="s">
        <v>375</v>
      </c>
      <c r="N48" s="181" t="s">
        <v>669</v>
      </c>
      <c r="O48" s="394" t="s">
        <v>640</v>
      </c>
      <c r="P48" s="394"/>
      <c r="Q48" s="394"/>
      <c r="R48">
        <f t="shared" si="5"/>
        <v>40</v>
      </c>
      <c r="S48" s="97" t="s">
        <v>639</v>
      </c>
      <c r="T48" s="97"/>
      <c r="U48" s="430" t="s">
        <v>919</v>
      </c>
      <c r="V48" s="159" t="s">
        <v>34</v>
      </c>
      <c r="W48" s="430"/>
      <c r="X48" s="430"/>
      <c r="Y48" s="430"/>
      <c r="Z48" s="430"/>
      <c r="AA48" s="430"/>
      <c r="AB48" t="s">
        <v>34</v>
      </c>
      <c r="AH48" s="306">
        <f t="shared" si="22"/>
        <v>3.84</v>
      </c>
      <c r="AI48" s="306">
        <f>60*AH48</f>
        <v>230.39999999999998</v>
      </c>
      <c r="AJ48" s="306">
        <f>AH48/60</f>
        <v>6.4000000000000001E-2</v>
      </c>
    </row>
    <row r="49" spans="1:36" x14ac:dyDescent="0.35">
      <c r="A49">
        <f t="shared" si="20"/>
        <v>41</v>
      </c>
      <c r="B49" s="489" t="s">
        <v>478</v>
      </c>
      <c r="C49" s="491" t="s">
        <v>920</v>
      </c>
      <c r="D49" s="484">
        <v>50000</v>
      </c>
      <c r="E49" s="485" t="s">
        <v>34</v>
      </c>
      <c r="F49" s="484">
        <f t="shared" si="19"/>
        <v>50</v>
      </c>
      <c r="G49" s="484">
        <f t="shared" si="18"/>
        <v>500</v>
      </c>
      <c r="H49" s="485" t="s">
        <v>34</v>
      </c>
      <c r="I49" s="492" t="s">
        <v>34</v>
      </c>
      <c r="J49" s="492" t="s">
        <v>34</v>
      </c>
      <c r="K49" s="490" t="s">
        <v>34</v>
      </c>
      <c r="L49" s="490" t="s">
        <v>34</v>
      </c>
      <c r="M49" s="488" t="s">
        <v>34</v>
      </c>
      <c r="N49" s="488" t="s">
        <v>34</v>
      </c>
      <c r="O49" s="490" t="s">
        <v>475</v>
      </c>
      <c r="P49" s="490"/>
      <c r="Q49" s="490"/>
      <c r="R49">
        <f t="shared" si="5"/>
        <v>41</v>
      </c>
      <c r="S49" s="97" t="s">
        <v>476</v>
      </c>
      <c r="T49" s="97"/>
      <c r="U49" s="430" t="s">
        <v>34</v>
      </c>
      <c r="V49" s="159" t="s">
        <v>34</v>
      </c>
      <c r="W49" s="430"/>
      <c r="X49" s="430"/>
      <c r="Y49" s="430"/>
      <c r="Z49" s="430"/>
      <c r="AA49" s="430"/>
      <c r="AB49" t="s">
        <v>34</v>
      </c>
      <c r="AH49" s="306"/>
      <c r="AI49" s="306"/>
      <c r="AJ49" s="306"/>
    </row>
    <row r="50" spans="1:36" x14ac:dyDescent="0.35">
      <c r="A50">
        <f t="shared" si="20"/>
        <v>42</v>
      </c>
      <c r="B50" s="489" t="s">
        <v>479</v>
      </c>
      <c r="C50" s="491" t="s">
        <v>920</v>
      </c>
      <c r="D50" s="484">
        <v>30000</v>
      </c>
      <c r="E50" s="485" t="s">
        <v>34</v>
      </c>
      <c r="F50" s="484">
        <f t="shared" si="19"/>
        <v>30</v>
      </c>
      <c r="G50" s="484">
        <f t="shared" si="18"/>
        <v>300</v>
      </c>
      <c r="H50" s="485" t="s">
        <v>34</v>
      </c>
      <c r="I50" s="492" t="s">
        <v>34</v>
      </c>
      <c r="J50" s="492" t="s">
        <v>34</v>
      </c>
      <c r="K50" s="490" t="s">
        <v>474</v>
      </c>
      <c r="L50" s="490" t="s">
        <v>34</v>
      </c>
      <c r="M50" s="488" t="s">
        <v>34</v>
      </c>
      <c r="N50" s="488" t="s">
        <v>980</v>
      </c>
      <c r="O50" s="490" t="s">
        <v>373</v>
      </c>
      <c r="P50" s="490"/>
      <c r="Q50" s="490"/>
      <c r="R50">
        <f t="shared" si="5"/>
        <v>42</v>
      </c>
      <c r="S50" s="97" t="s">
        <v>476</v>
      </c>
      <c r="T50" s="97"/>
      <c r="U50" s="430" t="s">
        <v>34</v>
      </c>
      <c r="V50" s="159" t="s">
        <v>34</v>
      </c>
      <c r="W50" s="430"/>
      <c r="X50" s="430"/>
      <c r="Y50" s="430"/>
      <c r="Z50" s="430"/>
      <c r="AA50" s="430"/>
      <c r="AB50" t="s">
        <v>34</v>
      </c>
      <c r="AH50" s="306"/>
      <c r="AI50" s="306"/>
      <c r="AJ50" s="306"/>
    </row>
    <row r="51" spans="1:36" x14ac:dyDescent="0.35">
      <c r="A51">
        <f t="shared" si="20"/>
        <v>43</v>
      </c>
      <c r="B51" s="123" t="s">
        <v>480</v>
      </c>
      <c r="C51" s="42" t="s">
        <v>981</v>
      </c>
      <c r="D51" s="159">
        <v>40000</v>
      </c>
      <c r="E51" s="174" t="s">
        <v>34</v>
      </c>
      <c r="F51" s="174">
        <f t="shared" si="19"/>
        <v>40</v>
      </c>
      <c r="G51" s="159">
        <f t="shared" si="18"/>
        <v>400</v>
      </c>
      <c r="H51" s="174" t="s">
        <v>34</v>
      </c>
      <c r="I51" s="70" t="s">
        <v>34</v>
      </c>
      <c r="J51" s="70" t="s">
        <v>34</v>
      </c>
      <c r="K51" s="105">
        <v>1</v>
      </c>
      <c r="L51" s="105">
        <v>724</v>
      </c>
      <c r="M51" s="177" t="s">
        <v>565</v>
      </c>
      <c r="N51" s="181" t="s">
        <v>482</v>
      </c>
      <c r="O51" s="394" t="s">
        <v>481</v>
      </c>
      <c r="P51" s="394"/>
      <c r="Q51" s="394"/>
      <c r="R51">
        <f t="shared" si="5"/>
        <v>43</v>
      </c>
      <c r="S51" s="20" t="s">
        <v>483</v>
      </c>
      <c r="T51" s="20"/>
      <c r="U51" s="430" t="s">
        <v>34</v>
      </c>
      <c r="V51" s="159" t="s">
        <v>34</v>
      </c>
      <c r="W51" s="430"/>
      <c r="X51" s="430"/>
      <c r="Y51" s="430"/>
      <c r="Z51" s="430"/>
      <c r="AA51" s="430"/>
      <c r="AB51" t="s">
        <v>34</v>
      </c>
      <c r="AH51" s="306">
        <f t="shared" ref="AH51:AH154" si="23">(K51/L51)*60</f>
        <v>8.2872928176795577E-2</v>
      </c>
      <c r="AI51" s="306">
        <f t="shared" ref="AI51:AI154" si="24">60*AH51</f>
        <v>4.972375690607735</v>
      </c>
      <c r="AJ51" s="306">
        <f t="shared" ref="AJ51:AJ154" si="25">AH51/60</f>
        <v>1.3812154696132596E-3</v>
      </c>
    </row>
    <row r="52" spans="1:36" x14ac:dyDescent="0.35">
      <c r="A52">
        <f t="shared" si="20"/>
        <v>44</v>
      </c>
      <c r="B52" s="123" t="s">
        <v>462</v>
      </c>
      <c r="C52" s="42" t="s">
        <v>864</v>
      </c>
      <c r="D52" s="159">
        <v>4212000</v>
      </c>
      <c r="E52" s="159">
        <f>D52*E$7/F$3</f>
        <v>421.2</v>
      </c>
      <c r="F52" s="159">
        <f t="shared" si="19"/>
        <v>4212</v>
      </c>
      <c r="G52" s="159">
        <f t="shared" si="18"/>
        <v>42120</v>
      </c>
      <c r="H52" s="174" t="s">
        <v>34</v>
      </c>
      <c r="I52" s="58" t="s">
        <v>34</v>
      </c>
      <c r="J52" s="58" t="s">
        <v>34</v>
      </c>
      <c r="K52" s="105">
        <v>480</v>
      </c>
      <c r="L52" s="105">
        <v>64</v>
      </c>
      <c r="M52" s="177" t="s">
        <v>34</v>
      </c>
      <c r="N52" s="181" t="s">
        <v>34</v>
      </c>
      <c r="O52" s="394" t="s">
        <v>373</v>
      </c>
      <c r="P52" s="394"/>
      <c r="Q52" s="394"/>
      <c r="R52">
        <f t="shared" si="5"/>
        <v>44</v>
      </c>
      <c r="S52" s="97" t="s">
        <v>463</v>
      </c>
      <c r="T52" s="97"/>
      <c r="U52" s="430" t="s">
        <v>34</v>
      </c>
      <c r="V52" s="159" t="s">
        <v>34</v>
      </c>
      <c r="W52" s="430"/>
      <c r="X52" s="430"/>
      <c r="Y52" s="430"/>
      <c r="Z52" s="430"/>
      <c r="AA52" s="430"/>
      <c r="AB52" t="s">
        <v>34</v>
      </c>
      <c r="AH52" s="306">
        <f t="shared" si="23"/>
        <v>450</v>
      </c>
      <c r="AI52" s="306">
        <f t="shared" si="24"/>
        <v>27000</v>
      </c>
      <c r="AJ52" s="306">
        <f t="shared" si="25"/>
        <v>7.5</v>
      </c>
    </row>
    <row r="53" spans="1:36" x14ac:dyDescent="0.35">
      <c r="A53">
        <f t="shared" si="20"/>
        <v>45</v>
      </c>
      <c r="B53" s="123" t="s">
        <v>464</v>
      </c>
      <c r="C53" s="42" t="s">
        <v>864</v>
      </c>
      <c r="D53" s="159">
        <v>70</v>
      </c>
      <c r="E53" s="174" t="s">
        <v>34</v>
      </c>
      <c r="F53" s="174" t="s">
        <v>34</v>
      </c>
      <c r="G53" s="174" t="s">
        <v>34</v>
      </c>
      <c r="H53" s="159">
        <f>D53*H$7/F$3</f>
        <v>7</v>
      </c>
      <c r="I53" s="8">
        <f>D53*I$7/I$3</f>
        <v>7.0000000000000007E-2</v>
      </c>
      <c r="J53" s="142">
        <f>D53*J$7/I$3</f>
        <v>0.7</v>
      </c>
      <c r="K53" s="394" t="s">
        <v>466</v>
      </c>
      <c r="L53" s="105">
        <v>3960</v>
      </c>
      <c r="M53" s="177" t="s">
        <v>563</v>
      </c>
      <c r="N53" s="181" t="s">
        <v>34</v>
      </c>
      <c r="O53" s="394" t="s">
        <v>360</v>
      </c>
      <c r="P53" s="394"/>
      <c r="Q53" s="394"/>
      <c r="R53">
        <f t="shared" si="5"/>
        <v>45</v>
      </c>
      <c r="S53" s="20" t="s">
        <v>465</v>
      </c>
      <c r="T53" s="20"/>
      <c r="U53" s="430" t="s">
        <v>34</v>
      </c>
      <c r="V53" s="159" t="s">
        <v>34</v>
      </c>
      <c r="W53" s="430"/>
      <c r="X53" s="430"/>
      <c r="Y53" s="430"/>
      <c r="Z53" s="430"/>
      <c r="AA53" s="430"/>
      <c r="AB53" t="s">
        <v>34</v>
      </c>
      <c r="AH53" s="306"/>
      <c r="AI53" s="306"/>
      <c r="AJ53" s="306"/>
    </row>
    <row r="54" spans="1:36" x14ac:dyDescent="0.35">
      <c r="A54">
        <f t="shared" si="20"/>
        <v>46</v>
      </c>
      <c r="B54" s="123"/>
      <c r="C54" s="42"/>
      <c r="D54" s="159"/>
      <c r="E54" s="174"/>
      <c r="F54" s="174"/>
      <c r="G54" s="174"/>
      <c r="H54" s="159"/>
      <c r="I54" s="8"/>
      <c r="J54" s="8"/>
      <c r="K54" s="394"/>
      <c r="L54" s="105"/>
      <c r="M54" s="177"/>
      <c r="N54" s="181"/>
      <c r="O54" s="394"/>
      <c r="P54" s="394"/>
      <c r="Q54" s="394"/>
      <c r="R54">
        <f t="shared" si="5"/>
        <v>46</v>
      </c>
      <c r="S54" s="454"/>
      <c r="T54" s="454"/>
      <c r="U54" s="430" t="s">
        <v>34</v>
      </c>
      <c r="V54" s="159" t="s">
        <v>34</v>
      </c>
      <c r="W54" s="430"/>
      <c r="X54" s="430"/>
      <c r="Y54" s="430"/>
      <c r="Z54" s="430"/>
      <c r="AA54" s="430"/>
      <c r="AB54" t="s">
        <v>34</v>
      </c>
      <c r="AH54" s="306"/>
      <c r="AI54" s="306"/>
      <c r="AJ54" s="306"/>
    </row>
    <row r="55" spans="1:36" x14ac:dyDescent="0.35">
      <c r="A55">
        <f t="shared" si="20"/>
        <v>47</v>
      </c>
      <c r="B55" s="123"/>
      <c r="C55" s="42"/>
      <c r="D55" s="159"/>
      <c r="E55" s="174"/>
      <c r="F55" s="174"/>
      <c r="G55" s="174"/>
      <c r="H55" s="159"/>
      <c r="I55" s="8"/>
      <c r="J55" s="8"/>
      <c r="K55" s="394"/>
      <c r="L55" s="105"/>
      <c r="M55" s="177"/>
      <c r="N55" s="181"/>
      <c r="O55" s="394"/>
      <c r="P55" s="394"/>
      <c r="Q55" s="394"/>
      <c r="R55">
        <f t="shared" si="5"/>
        <v>47</v>
      </c>
      <c r="S55" s="454"/>
      <c r="T55" s="454"/>
      <c r="U55" s="430" t="s">
        <v>34</v>
      </c>
      <c r="V55" s="159" t="s">
        <v>34</v>
      </c>
      <c r="W55" s="430"/>
      <c r="X55" s="430"/>
      <c r="Y55" s="430"/>
      <c r="Z55" s="430"/>
      <c r="AA55" s="430"/>
      <c r="AB55" t="s">
        <v>34</v>
      </c>
      <c r="AH55" s="306"/>
      <c r="AI55" s="306"/>
      <c r="AJ55" s="306"/>
    </row>
    <row r="56" spans="1:36" x14ac:dyDescent="0.35">
      <c r="A56">
        <f t="shared" si="20"/>
        <v>48</v>
      </c>
      <c r="B56" s="123"/>
      <c r="C56" s="42"/>
      <c r="D56" s="159"/>
      <c r="E56" s="174"/>
      <c r="F56" s="174"/>
      <c r="G56" s="159"/>
      <c r="H56" s="159"/>
      <c r="I56" s="70"/>
      <c r="J56" s="70"/>
      <c r="K56" s="105"/>
      <c r="L56" s="105"/>
      <c r="M56" s="177"/>
      <c r="N56" s="181"/>
      <c r="O56" s="394"/>
      <c r="P56" s="394"/>
      <c r="Q56" s="394"/>
      <c r="R56">
        <f t="shared" si="5"/>
        <v>48</v>
      </c>
      <c r="S56" s="20"/>
      <c r="T56" s="20"/>
      <c r="U56" s="430" t="s">
        <v>34</v>
      </c>
      <c r="V56" s="159" t="s">
        <v>34</v>
      </c>
      <c r="W56" s="430"/>
      <c r="X56" s="430"/>
      <c r="Y56" s="430"/>
      <c r="Z56" s="430"/>
      <c r="AA56" s="430"/>
      <c r="AB56" t="s">
        <v>34</v>
      </c>
      <c r="AH56" s="306"/>
      <c r="AI56" s="306"/>
      <c r="AJ56" s="306"/>
    </row>
    <row r="57" spans="1:36" x14ac:dyDescent="0.35">
      <c r="A57">
        <f t="shared" si="20"/>
        <v>49</v>
      </c>
      <c r="B57" s="191" t="s">
        <v>984</v>
      </c>
      <c r="C57" s="467"/>
      <c r="D57" s="185"/>
      <c r="E57" s="185"/>
      <c r="F57" s="185"/>
      <c r="G57" s="185"/>
      <c r="H57" s="185"/>
      <c r="I57" s="185"/>
      <c r="J57" s="186"/>
      <c r="K57" s="393"/>
      <c r="L57" s="393"/>
      <c r="M57" s="390"/>
      <c r="N57" s="192"/>
      <c r="O57" s="395"/>
      <c r="P57" s="395"/>
      <c r="Q57" s="395"/>
      <c r="R57">
        <f t="shared" si="5"/>
        <v>49</v>
      </c>
      <c r="U57" t="s">
        <v>34</v>
      </c>
      <c r="V57" s="159" t="s">
        <v>34</v>
      </c>
      <c r="AB57" t="s">
        <v>34</v>
      </c>
      <c r="AH57" s="306"/>
      <c r="AI57" s="306"/>
      <c r="AJ57" s="306"/>
    </row>
    <row r="58" spans="1:36" x14ac:dyDescent="0.35">
      <c r="A58">
        <f t="shared" si="20"/>
        <v>50</v>
      </c>
      <c r="B58" s="123" t="s">
        <v>990</v>
      </c>
      <c r="C58" s="42"/>
      <c r="D58" s="159">
        <v>500</v>
      </c>
      <c r="E58" s="174" t="s">
        <v>34</v>
      </c>
      <c r="F58" s="174" t="s">
        <v>34</v>
      </c>
      <c r="G58" s="174" t="s">
        <v>34</v>
      </c>
      <c r="H58" s="159">
        <f>D58*H$7/F$3</f>
        <v>50</v>
      </c>
      <c r="I58" s="8">
        <f>D58*I$7/I$3</f>
        <v>0.5</v>
      </c>
      <c r="J58" s="142">
        <f>D58*J$7/I$3</f>
        <v>5</v>
      </c>
      <c r="K58" s="394">
        <v>3</v>
      </c>
      <c r="L58" s="394">
        <v>100</v>
      </c>
      <c r="M58" s="180" t="s">
        <v>993</v>
      </c>
      <c r="N58" s="383">
        <v>2.5</v>
      </c>
      <c r="O58" s="394" t="s">
        <v>418</v>
      </c>
      <c r="P58" s="394"/>
      <c r="Q58" s="394"/>
      <c r="R58">
        <f t="shared" si="5"/>
        <v>50</v>
      </c>
      <c r="S58" t="s">
        <v>992</v>
      </c>
      <c r="U58" s="4" t="s">
        <v>996</v>
      </c>
      <c r="V58" s="159" t="s">
        <v>34</v>
      </c>
      <c r="W58" s="397"/>
      <c r="X58" s="397"/>
      <c r="Y58" s="397"/>
      <c r="Z58" s="397"/>
      <c r="AA58" s="397"/>
      <c r="AB58" t="s">
        <v>34</v>
      </c>
      <c r="AC58" s="174" t="s">
        <v>34</v>
      </c>
      <c r="AH58" s="306">
        <f t="shared" ref="AH58:AH60" si="26">(K58/L58)*60</f>
        <v>1.7999999999999998</v>
      </c>
      <c r="AI58" s="306">
        <f t="shared" ref="AI58:AI61" si="27">60*AH58</f>
        <v>107.99999999999999</v>
      </c>
      <c r="AJ58" s="306">
        <f t="shared" ref="AJ58:AJ60" si="28">AH58/60</f>
        <v>2.9999999999999995E-2</v>
      </c>
    </row>
    <row r="59" spans="1:36" x14ac:dyDescent="0.35">
      <c r="A59">
        <f t="shared" si="20"/>
        <v>51</v>
      </c>
      <c r="B59" s="123" t="s">
        <v>991</v>
      </c>
      <c r="C59" s="42"/>
      <c r="D59" s="159">
        <v>1500</v>
      </c>
      <c r="E59" s="174" t="s">
        <v>34</v>
      </c>
      <c r="F59" s="174" t="s">
        <v>34</v>
      </c>
      <c r="G59" s="174" t="s">
        <v>34</v>
      </c>
      <c r="H59" s="159">
        <f>D59*H$7/F$3</f>
        <v>150</v>
      </c>
      <c r="I59" s="8">
        <f>D59*I$7/I$3</f>
        <v>1.5</v>
      </c>
      <c r="J59" s="142">
        <f>D59*J$7/I$3</f>
        <v>15</v>
      </c>
      <c r="K59" s="105">
        <v>9</v>
      </c>
      <c r="L59" s="394">
        <v>100</v>
      </c>
      <c r="M59" s="180">
        <v>5.4</v>
      </c>
      <c r="N59" s="383">
        <v>2.5</v>
      </c>
      <c r="O59" s="394" t="s">
        <v>418</v>
      </c>
      <c r="P59" s="394"/>
      <c r="Q59" s="394"/>
      <c r="R59">
        <f t="shared" si="5"/>
        <v>51</v>
      </c>
      <c r="S59" t="s">
        <v>992</v>
      </c>
      <c r="U59" t="s">
        <v>996</v>
      </c>
      <c r="V59" s="159" t="s">
        <v>34</v>
      </c>
      <c r="AB59" t="s">
        <v>34</v>
      </c>
      <c r="AC59" s="174" t="s">
        <v>34</v>
      </c>
      <c r="AH59" s="306">
        <f t="shared" si="26"/>
        <v>5.3999999999999995</v>
      </c>
      <c r="AI59" s="306">
        <f t="shared" si="27"/>
        <v>323.99999999999994</v>
      </c>
      <c r="AJ59" s="306">
        <f t="shared" si="28"/>
        <v>0.09</v>
      </c>
    </row>
    <row r="60" spans="1:36" x14ac:dyDescent="0.35">
      <c r="A60">
        <f t="shared" si="20"/>
        <v>52</v>
      </c>
      <c r="B60" s="489" t="s">
        <v>1005</v>
      </c>
      <c r="C60" s="491"/>
      <c r="D60" s="484">
        <v>20000</v>
      </c>
      <c r="E60" s="485" t="s">
        <v>34</v>
      </c>
      <c r="F60" s="485" t="s">
        <v>34</v>
      </c>
      <c r="G60" s="484">
        <f>D60*G$7/F$3</f>
        <v>200</v>
      </c>
      <c r="H60" s="484">
        <f>D60*H$7/F$3</f>
        <v>2000</v>
      </c>
      <c r="I60" s="516" t="s">
        <v>34</v>
      </c>
      <c r="J60" s="516" t="s">
        <v>34</v>
      </c>
      <c r="K60" s="487">
        <v>15</v>
      </c>
      <c r="L60" s="490">
        <v>100</v>
      </c>
      <c r="M60" s="509" t="s">
        <v>994</v>
      </c>
      <c r="N60" s="522">
        <v>15</v>
      </c>
      <c r="O60" s="490" t="s">
        <v>373</v>
      </c>
      <c r="P60" s="490"/>
      <c r="Q60" s="490"/>
      <c r="R60">
        <f t="shared" si="5"/>
        <v>52</v>
      </c>
      <c r="S60" s="97" t="s">
        <v>1003</v>
      </c>
      <c r="T60" s="97"/>
      <c r="U60" s="4" t="s">
        <v>1004</v>
      </c>
      <c r="V60" s="159" t="s">
        <v>34</v>
      </c>
      <c r="W60" s="397"/>
      <c r="X60" s="397"/>
      <c r="Y60" s="397"/>
      <c r="Z60" s="397"/>
      <c r="AA60" s="397"/>
      <c r="AB60" t="s">
        <v>34</v>
      </c>
      <c r="AC60" s="174" t="s">
        <v>34</v>
      </c>
      <c r="AH60" s="306">
        <f t="shared" si="26"/>
        <v>9</v>
      </c>
      <c r="AI60" s="306">
        <f t="shared" si="27"/>
        <v>540</v>
      </c>
      <c r="AJ60" s="306">
        <f t="shared" si="28"/>
        <v>0.15</v>
      </c>
    </row>
    <row r="61" spans="1:36" x14ac:dyDescent="0.35">
      <c r="A61">
        <f t="shared" si="20"/>
        <v>53</v>
      </c>
      <c r="B61" s="123" t="s">
        <v>1006</v>
      </c>
      <c r="C61" s="42" t="s">
        <v>797</v>
      </c>
      <c r="D61" s="159">
        <v>2500</v>
      </c>
      <c r="E61" s="174" t="s">
        <v>34</v>
      </c>
      <c r="F61" s="174" t="s">
        <v>34</v>
      </c>
      <c r="G61" s="159">
        <f>D61*G$7/F$3</f>
        <v>25</v>
      </c>
      <c r="H61" s="58" t="s">
        <v>34</v>
      </c>
      <c r="I61" s="58" t="s">
        <v>34</v>
      </c>
      <c r="J61" s="58" t="s">
        <v>34</v>
      </c>
      <c r="K61" s="105">
        <v>14</v>
      </c>
      <c r="L61" s="394">
        <v>75</v>
      </c>
      <c r="M61" s="394" t="s">
        <v>578</v>
      </c>
      <c r="N61" s="394" t="s">
        <v>34</v>
      </c>
      <c r="O61" s="394" t="s">
        <v>999</v>
      </c>
      <c r="P61" s="394"/>
      <c r="Q61" s="394"/>
      <c r="R61">
        <f t="shared" si="5"/>
        <v>53</v>
      </c>
      <c r="S61" s="97" t="s">
        <v>997</v>
      </c>
      <c r="T61" s="97"/>
      <c r="U61" t="s">
        <v>34</v>
      </c>
      <c r="V61" s="159" t="s">
        <v>34</v>
      </c>
      <c r="AB61" t="s">
        <v>34</v>
      </c>
      <c r="AH61" s="306">
        <f t="shared" ref="AH61" si="29">(K61/L61)*60</f>
        <v>11.200000000000001</v>
      </c>
      <c r="AI61" s="306">
        <f t="shared" si="27"/>
        <v>672.00000000000011</v>
      </c>
      <c r="AJ61" s="306">
        <f t="shared" ref="AJ61" si="30">AH61/60</f>
        <v>0.18666666666666668</v>
      </c>
    </row>
    <row r="62" spans="1:36" x14ac:dyDescent="0.35">
      <c r="A62">
        <f t="shared" si="20"/>
        <v>54</v>
      </c>
      <c r="B62" s="123"/>
      <c r="C62" s="42"/>
      <c r="D62" s="159"/>
      <c r="E62" s="174"/>
      <c r="F62" s="174"/>
      <c r="G62" s="174"/>
      <c r="H62" s="159"/>
      <c r="I62" s="8"/>
      <c r="J62" s="142"/>
      <c r="K62" s="105"/>
      <c r="L62" s="394"/>
      <c r="M62" s="394"/>
      <c r="N62" s="394"/>
      <c r="O62" s="394"/>
      <c r="P62" s="394"/>
      <c r="Q62" s="394"/>
      <c r="R62">
        <f t="shared" si="5"/>
        <v>54</v>
      </c>
      <c r="V62" s="159" t="s">
        <v>34</v>
      </c>
      <c r="AB62" t="s">
        <v>34</v>
      </c>
      <c r="AH62" s="306"/>
      <c r="AI62" s="306"/>
      <c r="AJ62" s="306"/>
    </row>
    <row r="63" spans="1:36" x14ac:dyDescent="0.35">
      <c r="A63">
        <f t="shared" si="20"/>
        <v>55</v>
      </c>
      <c r="B63" s="123"/>
      <c r="C63" s="42"/>
      <c r="D63" s="159"/>
      <c r="E63" s="174"/>
      <c r="F63" s="174"/>
      <c r="G63" s="174"/>
      <c r="H63" s="159"/>
      <c r="I63" s="8"/>
      <c r="J63" s="142"/>
      <c r="K63" s="105"/>
      <c r="L63" s="394"/>
      <c r="M63" s="394"/>
      <c r="N63" s="394"/>
      <c r="O63" s="394"/>
      <c r="P63" s="394"/>
      <c r="Q63" s="394"/>
      <c r="R63">
        <f t="shared" si="5"/>
        <v>55</v>
      </c>
      <c r="U63" t="s">
        <v>34</v>
      </c>
      <c r="V63" s="159" t="s">
        <v>34</v>
      </c>
      <c r="AB63" t="s">
        <v>34</v>
      </c>
      <c r="AH63" s="306"/>
      <c r="AI63" s="306"/>
      <c r="AJ63" s="306"/>
    </row>
    <row r="64" spans="1:36" x14ac:dyDescent="0.35">
      <c r="A64">
        <f t="shared" si="20"/>
        <v>56</v>
      </c>
      <c r="B64" s="191" t="s">
        <v>983</v>
      </c>
      <c r="C64" s="467"/>
      <c r="D64" s="472"/>
      <c r="E64" s="473"/>
      <c r="F64" s="473"/>
      <c r="G64" s="473"/>
      <c r="H64" s="472"/>
      <c r="I64" s="474"/>
      <c r="J64" s="475"/>
      <c r="K64" s="476"/>
      <c r="L64" s="477"/>
      <c r="M64" s="477"/>
      <c r="N64" s="477"/>
      <c r="O64" s="477"/>
      <c r="P64" s="477"/>
      <c r="Q64" s="477"/>
      <c r="R64">
        <f t="shared" si="5"/>
        <v>56</v>
      </c>
      <c r="V64" s="159" t="s">
        <v>34</v>
      </c>
      <c r="AB64" t="s">
        <v>34</v>
      </c>
      <c r="AH64" s="306"/>
      <c r="AI64" s="306"/>
      <c r="AJ64" s="306"/>
    </row>
    <row r="65" spans="1:44" x14ac:dyDescent="0.35">
      <c r="A65">
        <f t="shared" si="20"/>
        <v>57</v>
      </c>
      <c r="B65" s="493" t="s">
        <v>1007</v>
      </c>
      <c r="C65" s="494" t="s">
        <v>829</v>
      </c>
      <c r="D65" s="495">
        <v>35000</v>
      </c>
      <c r="E65" s="495">
        <f>D65*E$7/F$3</f>
        <v>3.5</v>
      </c>
      <c r="F65" s="495">
        <f>D65*F$7/F$3</f>
        <v>35</v>
      </c>
      <c r="G65" s="495">
        <f>D65*G$7/F$3</f>
        <v>350</v>
      </c>
      <c r="H65" s="496" t="s">
        <v>34</v>
      </c>
      <c r="I65" s="496" t="s">
        <v>34</v>
      </c>
      <c r="J65" s="497" t="s">
        <v>34</v>
      </c>
      <c r="K65" s="498">
        <v>80</v>
      </c>
      <c r="L65" s="498">
        <v>110</v>
      </c>
      <c r="M65" s="499" t="s">
        <v>1082</v>
      </c>
      <c r="N65" s="500">
        <v>5</v>
      </c>
      <c r="O65" s="501" t="s">
        <v>421</v>
      </c>
      <c r="P65" s="501"/>
      <c r="Q65" s="501"/>
      <c r="R65">
        <f t="shared" si="5"/>
        <v>57</v>
      </c>
      <c r="S65" s="20" t="s">
        <v>348</v>
      </c>
      <c r="T65" s="20"/>
      <c r="U65" t="s">
        <v>982</v>
      </c>
      <c r="V65" s="159" t="s">
        <v>34</v>
      </c>
      <c r="AB65" t="s">
        <v>34</v>
      </c>
      <c r="AH65" s="306">
        <f>(K65/L65)*60</f>
        <v>43.63636363636364</v>
      </c>
      <c r="AI65" s="306">
        <f>60*AH65</f>
        <v>2618.1818181818185</v>
      </c>
      <c r="AJ65" s="306">
        <f>AH65/60</f>
        <v>0.72727272727272729</v>
      </c>
    </row>
    <row r="66" spans="1:44" x14ac:dyDescent="0.35">
      <c r="A66">
        <f t="shared" si="20"/>
        <v>58</v>
      </c>
      <c r="B66" s="493" t="s">
        <v>832</v>
      </c>
      <c r="C66" s="494" t="s">
        <v>828</v>
      </c>
      <c r="D66" s="495">
        <v>10000</v>
      </c>
      <c r="E66" s="496" t="s">
        <v>34</v>
      </c>
      <c r="F66" s="496" t="s">
        <v>34</v>
      </c>
      <c r="G66" s="496" t="s">
        <v>34</v>
      </c>
      <c r="H66" s="495">
        <f>D66*H$7/F$3</f>
        <v>1000</v>
      </c>
      <c r="I66" s="502">
        <f>D66*I$7/I$3</f>
        <v>10</v>
      </c>
      <c r="J66" s="497" t="s">
        <v>34</v>
      </c>
      <c r="K66" s="498">
        <f>K65</f>
        <v>80</v>
      </c>
      <c r="L66" s="498">
        <v>110</v>
      </c>
      <c r="M66" s="501" t="str">
        <f t="shared" ref="M66:N66" si="31">M65</f>
        <v>44M</v>
      </c>
      <c r="N66" s="498">
        <f t="shared" si="31"/>
        <v>5</v>
      </c>
      <c r="O66" s="501">
        <v>0</v>
      </c>
      <c r="P66" s="501"/>
      <c r="Q66" s="501"/>
      <c r="R66">
        <f t="shared" si="5"/>
        <v>58</v>
      </c>
      <c r="S66" t="s">
        <v>307</v>
      </c>
      <c r="U66" t="s">
        <v>34</v>
      </c>
      <c r="V66" s="159" t="s">
        <v>34</v>
      </c>
      <c r="AB66" t="s">
        <v>34</v>
      </c>
      <c r="AH66" s="306">
        <f>(K66/L66)*60</f>
        <v>43.63636363636364</v>
      </c>
      <c r="AI66" s="306">
        <f>60*AH66</f>
        <v>2618.1818181818185</v>
      </c>
      <c r="AJ66" s="306">
        <f>AH66/60</f>
        <v>0.72727272727272729</v>
      </c>
    </row>
    <row r="67" spans="1:44" x14ac:dyDescent="0.35">
      <c r="A67">
        <f t="shared" si="20"/>
        <v>59</v>
      </c>
      <c r="B67" s="489" t="s">
        <v>1008</v>
      </c>
      <c r="C67" s="491" t="s">
        <v>884</v>
      </c>
      <c r="D67" s="484">
        <v>325000</v>
      </c>
      <c r="E67" s="484">
        <f>D67*E$7/F$3</f>
        <v>32.5</v>
      </c>
      <c r="F67" s="484">
        <f>D67*F$7/F$3</f>
        <v>325</v>
      </c>
      <c r="G67" s="484">
        <f>D67*G$7/F$3</f>
        <v>3250</v>
      </c>
      <c r="H67" s="485" t="s">
        <v>34</v>
      </c>
      <c r="I67" s="485" t="s">
        <v>34</v>
      </c>
      <c r="J67" s="486" t="s">
        <v>34</v>
      </c>
      <c r="K67" s="487">
        <v>160</v>
      </c>
      <c r="L67" s="490">
        <v>75</v>
      </c>
      <c r="M67" s="490" t="s">
        <v>1001</v>
      </c>
      <c r="N67" s="513" t="s">
        <v>1002</v>
      </c>
      <c r="O67" s="490" t="s">
        <v>414</v>
      </c>
      <c r="P67" s="490"/>
      <c r="Q67" s="490"/>
      <c r="R67">
        <f t="shared" si="5"/>
        <v>59</v>
      </c>
      <c r="S67" s="97" t="s">
        <v>1000</v>
      </c>
      <c r="T67" s="97"/>
      <c r="U67" t="s">
        <v>34</v>
      </c>
      <c r="V67" s="159" t="s">
        <v>34</v>
      </c>
      <c r="AB67" t="s">
        <v>34</v>
      </c>
      <c r="AH67" s="306">
        <f>(K67/L67)*60</f>
        <v>128</v>
      </c>
      <c r="AI67" s="306">
        <f>60*AH67</f>
        <v>7680</v>
      </c>
      <c r="AJ67" s="306">
        <f>AH67/60</f>
        <v>2.1333333333333333</v>
      </c>
    </row>
    <row r="68" spans="1:44" x14ac:dyDescent="0.35">
      <c r="A68">
        <f t="shared" si="20"/>
        <v>60</v>
      </c>
      <c r="B68" s="123" t="s">
        <v>1012</v>
      </c>
      <c r="C68" s="42" t="s">
        <v>797</v>
      </c>
      <c r="D68" s="159">
        <v>3000</v>
      </c>
      <c r="E68" s="174" t="s">
        <v>34</v>
      </c>
      <c r="F68" s="159">
        <f>D68*F$7/F$3</f>
        <v>3</v>
      </c>
      <c r="G68" s="159">
        <f>D68*G$7/F$3</f>
        <v>30</v>
      </c>
      <c r="H68" s="174"/>
      <c r="I68" s="174"/>
      <c r="J68" s="178"/>
      <c r="K68" s="105">
        <v>100</v>
      </c>
      <c r="L68" s="394">
        <v>60</v>
      </c>
      <c r="M68" s="394" t="s">
        <v>1013</v>
      </c>
      <c r="N68" s="429">
        <v>2.4</v>
      </c>
      <c r="O68" s="394" t="s">
        <v>355</v>
      </c>
      <c r="P68" s="394"/>
      <c r="Q68" s="394"/>
      <c r="R68">
        <f t="shared" si="5"/>
        <v>60</v>
      </c>
      <c r="S68" s="97" t="s">
        <v>1010</v>
      </c>
      <c r="T68" s="97"/>
      <c r="U68" s="4" t="s">
        <v>1011</v>
      </c>
      <c r="V68" s="159" t="s">
        <v>34</v>
      </c>
      <c r="W68" s="397"/>
      <c r="X68" s="397"/>
      <c r="Y68" s="397"/>
      <c r="Z68" s="397"/>
      <c r="AA68" s="397"/>
      <c r="AB68" t="s">
        <v>34</v>
      </c>
      <c r="AC68" t="s">
        <v>34</v>
      </c>
      <c r="AH68" s="306">
        <f>(K68/L68)*60</f>
        <v>100</v>
      </c>
      <c r="AI68" s="306">
        <f>60*AH68</f>
        <v>6000</v>
      </c>
      <c r="AJ68" s="306">
        <f>AH68/60</f>
        <v>1.6666666666666667</v>
      </c>
    </row>
    <row r="69" spans="1:44" x14ac:dyDescent="0.35">
      <c r="A69">
        <f t="shared" si="20"/>
        <v>61</v>
      </c>
      <c r="B69" s="123"/>
      <c r="C69" s="42"/>
      <c r="D69" s="159"/>
      <c r="E69" s="174"/>
      <c r="F69" s="174"/>
      <c r="G69" s="174"/>
      <c r="H69" s="159"/>
      <c r="I69" s="8"/>
      <c r="J69" s="142"/>
      <c r="K69" s="105"/>
      <c r="L69" s="394"/>
      <c r="M69" s="394"/>
      <c r="N69" s="394"/>
      <c r="O69" s="394"/>
      <c r="P69" s="394"/>
      <c r="Q69" s="394"/>
      <c r="R69">
        <f t="shared" si="5"/>
        <v>61</v>
      </c>
      <c r="V69" s="159" t="s">
        <v>34</v>
      </c>
      <c r="AB69" t="s">
        <v>34</v>
      </c>
    </row>
    <row r="70" spans="1:44" x14ac:dyDescent="0.35">
      <c r="A70">
        <f t="shared" si="20"/>
        <v>62</v>
      </c>
      <c r="B70" s="191" t="s">
        <v>985</v>
      </c>
      <c r="C70" s="467"/>
      <c r="D70" s="185"/>
      <c r="E70" s="185"/>
      <c r="F70" s="185"/>
      <c r="G70" s="185"/>
      <c r="H70" s="185"/>
      <c r="I70" s="185"/>
      <c r="J70" s="186"/>
      <c r="K70" s="393"/>
      <c r="L70" s="393"/>
      <c r="M70" s="390"/>
      <c r="N70" s="192"/>
      <c r="O70" s="395"/>
      <c r="P70" s="395"/>
      <c r="Q70" s="395"/>
      <c r="R70">
        <f t="shared" si="5"/>
        <v>62</v>
      </c>
      <c r="U70" t="s">
        <v>34</v>
      </c>
      <c r="V70" s="159" t="s">
        <v>34</v>
      </c>
      <c r="AB70" t="s">
        <v>34</v>
      </c>
    </row>
    <row r="71" spans="1:44" x14ac:dyDescent="0.35">
      <c r="A71">
        <f t="shared" si="20"/>
        <v>63</v>
      </c>
      <c r="B71" s="493" t="s">
        <v>1072</v>
      </c>
      <c r="C71" s="494" t="s">
        <v>830</v>
      </c>
      <c r="D71" s="495">
        <v>193000</v>
      </c>
      <c r="E71" s="495">
        <f>D71*E$7/F$3</f>
        <v>19.3</v>
      </c>
      <c r="F71" s="495">
        <f>D71*F$7/F$3</f>
        <v>193</v>
      </c>
      <c r="G71" s="495">
        <f>D71*G$7/F$3</f>
        <v>1930</v>
      </c>
      <c r="H71" s="496" t="s">
        <v>34</v>
      </c>
      <c r="I71" s="496" t="s">
        <v>34</v>
      </c>
      <c r="J71" s="497" t="s">
        <v>34</v>
      </c>
      <c r="K71" s="498">
        <v>2500</v>
      </c>
      <c r="L71" s="498">
        <v>185</v>
      </c>
      <c r="M71" s="499" t="s">
        <v>995</v>
      </c>
      <c r="N71" s="500">
        <v>50</v>
      </c>
      <c r="O71" s="501" t="s">
        <v>520</v>
      </c>
      <c r="P71" s="501"/>
      <c r="Q71" s="501"/>
      <c r="R71">
        <f t="shared" si="5"/>
        <v>63</v>
      </c>
      <c r="S71" s="397" t="s">
        <v>349</v>
      </c>
      <c r="T71" s="397"/>
      <c r="U71" t="s">
        <v>519</v>
      </c>
      <c r="V71" s="159" t="s">
        <v>34</v>
      </c>
      <c r="AB71" t="s">
        <v>34</v>
      </c>
      <c r="AH71" s="306">
        <f>(K71/L71)*60</f>
        <v>810.81081081081084</v>
      </c>
      <c r="AI71" s="306">
        <f>60*AH71</f>
        <v>48648.648648648654</v>
      </c>
      <c r="AJ71" s="306">
        <f>AH71/60</f>
        <v>13.513513513513514</v>
      </c>
    </row>
    <row r="72" spans="1:44" x14ac:dyDescent="0.35">
      <c r="A72">
        <f t="shared" si="20"/>
        <v>64</v>
      </c>
      <c r="B72" s="493" t="s">
        <v>831</v>
      </c>
      <c r="C72" s="494" t="s">
        <v>828</v>
      </c>
      <c r="D72" s="495">
        <v>20000</v>
      </c>
      <c r="E72" s="496" t="s">
        <v>34</v>
      </c>
      <c r="F72" s="496" t="s">
        <v>34</v>
      </c>
      <c r="G72" s="496" t="s">
        <v>34</v>
      </c>
      <c r="H72" s="495">
        <f>D72*H$7/F$3</f>
        <v>2000</v>
      </c>
      <c r="I72" s="502">
        <f>D72*I$7/I$3</f>
        <v>20</v>
      </c>
      <c r="J72" s="503" t="s">
        <v>34</v>
      </c>
      <c r="K72" s="498">
        <f>K71</f>
        <v>2500</v>
      </c>
      <c r="L72" s="498">
        <f t="shared" ref="L72:N72" si="32">L71</f>
        <v>185</v>
      </c>
      <c r="M72" s="501" t="str">
        <f t="shared" si="32"/>
        <v>&gt;13.5H</v>
      </c>
      <c r="N72" s="498">
        <f t="shared" si="32"/>
        <v>50</v>
      </c>
      <c r="O72" s="501">
        <v>0</v>
      </c>
      <c r="P72" s="501"/>
      <c r="Q72" s="501"/>
      <c r="R72">
        <f t="shared" si="5"/>
        <v>64</v>
      </c>
      <c r="U72" t="s">
        <v>519</v>
      </c>
      <c r="V72" s="159" t="s">
        <v>34</v>
      </c>
      <c r="AB72" t="s">
        <v>34</v>
      </c>
      <c r="AH72" s="306">
        <f>(K72/L72)*60</f>
        <v>810.81081081081084</v>
      </c>
      <c r="AI72" s="306">
        <f>60*AH72</f>
        <v>48648.648648648654</v>
      </c>
      <c r="AJ72" s="306">
        <f>AH72/60</f>
        <v>13.513513513513514</v>
      </c>
    </row>
    <row r="73" spans="1:44" x14ac:dyDescent="0.35">
      <c r="A73">
        <f t="shared" si="20"/>
        <v>65</v>
      </c>
      <c r="B73" s="489" t="s">
        <v>1009</v>
      </c>
      <c r="C73" s="491" t="s">
        <v>927</v>
      </c>
      <c r="D73" s="484">
        <v>40000</v>
      </c>
      <c r="E73" s="484">
        <f>D73*E$7/F$3</f>
        <v>4</v>
      </c>
      <c r="F73" s="484">
        <f t="shared" ref="F73:F78" si="33">D73*F$7/F$3</f>
        <v>40</v>
      </c>
      <c r="G73" s="484">
        <f t="shared" ref="G73:G78" si="34">D73*G$7/F$3</f>
        <v>400</v>
      </c>
      <c r="H73" s="485" t="s">
        <v>34</v>
      </c>
      <c r="I73" s="485" t="s">
        <v>34</v>
      </c>
      <c r="J73" s="486" t="s">
        <v>34</v>
      </c>
      <c r="K73" s="487">
        <v>500</v>
      </c>
      <c r="L73" s="490">
        <v>430</v>
      </c>
      <c r="M73" s="490" t="s">
        <v>989</v>
      </c>
      <c r="N73" s="490">
        <v>20</v>
      </c>
      <c r="O73" s="490" t="s">
        <v>355</v>
      </c>
      <c r="P73" s="490">
        <v>10</v>
      </c>
      <c r="Q73" s="490">
        <v>300</v>
      </c>
      <c r="R73">
        <f t="shared" si="5"/>
        <v>65</v>
      </c>
      <c r="S73" s="97" t="s">
        <v>926</v>
      </c>
      <c r="T73" s="97"/>
      <c r="V73" s="159" t="s">
        <v>34</v>
      </c>
      <c r="AB73" t="s">
        <v>34</v>
      </c>
      <c r="AC73" t="s">
        <v>1110</v>
      </c>
      <c r="AD73" s="397" t="s">
        <v>987</v>
      </c>
      <c r="AE73" t="s">
        <v>1111</v>
      </c>
      <c r="AF73" s="557">
        <f>1.6*43</f>
        <v>68.8</v>
      </c>
      <c r="AG73" t="s">
        <v>1101</v>
      </c>
      <c r="AH73" s="306">
        <f>(K73/L73)*60</f>
        <v>69.767441860465127</v>
      </c>
      <c r="AI73" s="306">
        <f>60*AH73</f>
        <v>4186.0465116279074</v>
      </c>
      <c r="AJ73" s="306">
        <f>AH73/60</f>
        <v>1.1627906976744187</v>
      </c>
      <c r="AK73" s="4" t="s">
        <v>889</v>
      </c>
      <c r="AL73" s="159">
        <f>80/1.14</f>
        <v>70.175438596491233</v>
      </c>
      <c r="AM73" t="s">
        <v>988</v>
      </c>
      <c r="AO73" t="s">
        <v>986</v>
      </c>
      <c r="AP73" s="4" t="s">
        <v>928</v>
      </c>
      <c r="AR73" t="s">
        <v>1094</v>
      </c>
    </row>
    <row r="74" spans="1:44" x14ac:dyDescent="0.35">
      <c r="A74">
        <f t="shared" si="20"/>
        <v>66</v>
      </c>
      <c r="B74" s="489" t="s">
        <v>833</v>
      </c>
      <c r="C74" s="491" t="s">
        <v>834</v>
      </c>
      <c r="D74" s="484">
        <v>300000</v>
      </c>
      <c r="E74" s="484">
        <f>D74*E$7/F$3</f>
        <v>30</v>
      </c>
      <c r="F74" s="484">
        <f t="shared" si="33"/>
        <v>300</v>
      </c>
      <c r="G74" s="484">
        <f t="shared" si="34"/>
        <v>3000</v>
      </c>
      <c r="H74" s="485" t="s">
        <v>34</v>
      </c>
      <c r="I74" s="485" t="s">
        <v>34</v>
      </c>
      <c r="J74" s="486" t="s">
        <v>34</v>
      </c>
      <c r="K74" s="487">
        <v>3000</v>
      </c>
      <c r="L74" s="490">
        <v>200</v>
      </c>
      <c r="M74" s="509" t="s">
        <v>1015</v>
      </c>
      <c r="N74" s="510">
        <v>80</v>
      </c>
      <c r="O74" s="490" t="s">
        <v>423</v>
      </c>
      <c r="P74" s="490"/>
      <c r="Q74" s="490"/>
      <c r="R74">
        <f t="shared" si="5"/>
        <v>66</v>
      </c>
      <c r="S74" s="20" t="s">
        <v>352</v>
      </c>
      <c r="T74" s="20"/>
      <c r="U74" s="4" t="s">
        <v>1031</v>
      </c>
      <c r="V74" s="159" t="s">
        <v>34</v>
      </c>
      <c r="W74" s="397"/>
      <c r="X74" s="397"/>
      <c r="Y74" s="397"/>
      <c r="Z74" s="397"/>
      <c r="AA74" s="397"/>
      <c r="AB74" t="s">
        <v>34</v>
      </c>
      <c r="AH74" s="306">
        <f t="shared" ref="AH74:AH84" si="35">(K74/L74)*60</f>
        <v>900</v>
      </c>
      <c r="AI74" s="306">
        <f t="shared" ref="AI74:AI84" si="36">60*AH74</f>
        <v>54000</v>
      </c>
      <c r="AJ74" s="306">
        <f t="shared" ref="AJ74:AJ84" si="37">AH74/60</f>
        <v>15</v>
      </c>
    </row>
    <row r="75" spans="1:44" x14ac:dyDescent="0.35">
      <c r="A75">
        <f t="shared" si="20"/>
        <v>67</v>
      </c>
      <c r="B75" s="489" t="s">
        <v>1014</v>
      </c>
      <c r="C75" s="491" t="s">
        <v>834</v>
      </c>
      <c r="D75" s="485">
        <v>200000</v>
      </c>
      <c r="E75" s="484">
        <f>D75*E$7/F$3</f>
        <v>20</v>
      </c>
      <c r="F75" s="484">
        <f t="shared" si="33"/>
        <v>200</v>
      </c>
      <c r="G75" s="484">
        <f t="shared" si="34"/>
        <v>2000</v>
      </c>
      <c r="H75" s="485" t="s">
        <v>34</v>
      </c>
      <c r="I75" s="485" t="s">
        <v>34</v>
      </c>
      <c r="J75" s="486" t="s">
        <v>34</v>
      </c>
      <c r="K75" s="487">
        <v>1000</v>
      </c>
      <c r="L75" s="490">
        <v>200</v>
      </c>
      <c r="M75" s="509" t="s">
        <v>716</v>
      </c>
      <c r="N75" s="510">
        <v>50</v>
      </c>
      <c r="O75" s="490" t="s">
        <v>367</v>
      </c>
      <c r="P75" s="490"/>
      <c r="Q75" s="490"/>
      <c r="R75">
        <f t="shared" si="5"/>
        <v>67</v>
      </c>
      <c r="S75" s="20" t="s">
        <v>353</v>
      </c>
      <c r="T75" s="20"/>
      <c r="U75" s="4" t="s">
        <v>510</v>
      </c>
      <c r="V75" s="159" t="s">
        <v>34</v>
      </c>
      <c r="W75" s="397"/>
      <c r="X75" s="397"/>
      <c r="Y75" s="397"/>
      <c r="Z75" s="397"/>
      <c r="AA75" s="397"/>
      <c r="AB75" t="s">
        <v>34</v>
      </c>
      <c r="AC75" s="485" t="s">
        <v>34</v>
      </c>
      <c r="AH75" s="306">
        <f t="shared" si="35"/>
        <v>300</v>
      </c>
      <c r="AI75" s="306">
        <f t="shared" si="36"/>
        <v>18000</v>
      </c>
      <c r="AJ75" s="306">
        <f t="shared" si="37"/>
        <v>5</v>
      </c>
    </row>
    <row r="76" spans="1:44" x14ac:dyDescent="0.35">
      <c r="A76">
        <f t="shared" si="20"/>
        <v>68</v>
      </c>
      <c r="B76" s="489" t="s">
        <v>1020</v>
      </c>
      <c r="C76" s="491" t="s">
        <v>797</v>
      </c>
      <c r="D76" s="485">
        <v>100000</v>
      </c>
      <c r="E76" s="484">
        <f>D76*E$7/F$3</f>
        <v>10</v>
      </c>
      <c r="F76" s="484">
        <f t="shared" si="33"/>
        <v>100</v>
      </c>
      <c r="G76" s="484">
        <f t="shared" si="34"/>
        <v>1000</v>
      </c>
      <c r="H76" s="485" t="s">
        <v>34</v>
      </c>
      <c r="I76" s="485" t="s">
        <v>34</v>
      </c>
      <c r="J76" s="486" t="s">
        <v>34</v>
      </c>
      <c r="K76" s="487">
        <v>800</v>
      </c>
      <c r="L76" s="490">
        <v>150</v>
      </c>
      <c r="M76" s="509" t="s">
        <v>1018</v>
      </c>
      <c r="N76" s="510">
        <v>20</v>
      </c>
      <c r="O76" s="490" t="s">
        <v>355</v>
      </c>
      <c r="P76" s="490"/>
      <c r="Q76" s="490"/>
      <c r="R76">
        <f t="shared" ref="R76:R142" si="38">R75+1</f>
        <v>68</v>
      </c>
      <c r="S76" s="20" t="s">
        <v>1016</v>
      </c>
      <c r="T76" s="20"/>
      <c r="U76" s="4" t="s">
        <v>1017</v>
      </c>
      <c r="V76" s="159" t="s">
        <v>34</v>
      </c>
      <c r="W76" s="397"/>
      <c r="X76" s="397"/>
      <c r="Y76" s="397"/>
      <c r="Z76" s="397"/>
      <c r="AA76" s="397"/>
      <c r="AB76" t="s">
        <v>34</v>
      </c>
      <c r="AC76" s="485" t="s">
        <v>34</v>
      </c>
      <c r="AH76" s="306">
        <f t="shared" si="35"/>
        <v>320</v>
      </c>
      <c r="AI76" s="306">
        <f t="shared" si="36"/>
        <v>19200</v>
      </c>
      <c r="AJ76" s="306">
        <f t="shared" si="37"/>
        <v>5.333333333333333</v>
      </c>
    </row>
    <row r="77" spans="1:44" x14ac:dyDescent="0.35">
      <c r="A77">
        <f t="shared" si="20"/>
        <v>69</v>
      </c>
      <c r="B77" s="489" t="s">
        <v>1025</v>
      </c>
      <c r="C77" s="491" t="s">
        <v>1019</v>
      </c>
      <c r="D77" s="485">
        <v>30000</v>
      </c>
      <c r="E77" s="485" t="s">
        <v>34</v>
      </c>
      <c r="F77" s="484">
        <f t="shared" si="33"/>
        <v>30</v>
      </c>
      <c r="G77" s="484">
        <f t="shared" si="34"/>
        <v>300</v>
      </c>
      <c r="H77" s="485" t="s">
        <v>34</v>
      </c>
      <c r="I77" s="485" t="s">
        <v>34</v>
      </c>
      <c r="J77" s="486" t="s">
        <v>34</v>
      </c>
      <c r="K77" s="487">
        <v>750</v>
      </c>
      <c r="L77" s="490">
        <v>140</v>
      </c>
      <c r="M77" s="509" t="s">
        <v>1023</v>
      </c>
      <c r="N77" s="510">
        <v>32</v>
      </c>
      <c r="O77" s="490" t="s">
        <v>414</v>
      </c>
      <c r="P77" s="490"/>
      <c r="Q77" s="490">
        <v>6000</v>
      </c>
      <c r="R77">
        <f t="shared" si="38"/>
        <v>69</v>
      </c>
      <c r="S77" s="20" t="s">
        <v>1021</v>
      </c>
      <c r="T77" s="20"/>
      <c r="U77" s="4" t="s">
        <v>1022</v>
      </c>
      <c r="V77" s="159" t="s">
        <v>34</v>
      </c>
      <c r="W77" s="397"/>
      <c r="X77" s="397"/>
      <c r="Y77" s="397"/>
      <c r="Z77" s="397"/>
      <c r="AA77" s="397"/>
      <c r="AB77" t="s">
        <v>34</v>
      </c>
      <c r="AC77" s="553" t="s">
        <v>1024</v>
      </c>
      <c r="AD77" s="485" t="s">
        <v>34</v>
      </c>
      <c r="AH77" s="306">
        <f t="shared" si="35"/>
        <v>321.42857142857139</v>
      </c>
      <c r="AI77" s="306">
        <f t="shared" si="36"/>
        <v>19285.714285714283</v>
      </c>
      <c r="AJ77" s="306">
        <f t="shared" si="37"/>
        <v>5.3571428571428568</v>
      </c>
    </row>
    <row r="78" spans="1:44" x14ac:dyDescent="0.35">
      <c r="A78">
        <f t="shared" si="20"/>
        <v>70</v>
      </c>
      <c r="B78" s="489" t="s">
        <v>1066</v>
      </c>
      <c r="C78" s="491" t="s">
        <v>884</v>
      </c>
      <c r="D78" s="485">
        <v>100000</v>
      </c>
      <c r="E78" s="484">
        <f t="shared" ref="E78:E80" si="39">D78*E$7/F$3</f>
        <v>10</v>
      </c>
      <c r="F78" s="484">
        <f t="shared" si="33"/>
        <v>100</v>
      </c>
      <c r="G78" s="484">
        <f t="shared" si="34"/>
        <v>1000</v>
      </c>
      <c r="H78" s="485"/>
      <c r="I78" s="485"/>
      <c r="J78" s="486"/>
      <c r="K78" s="487">
        <v>800</v>
      </c>
      <c r="L78" s="490">
        <v>120</v>
      </c>
      <c r="M78" s="509" t="s">
        <v>1069</v>
      </c>
      <c r="N78" s="510">
        <v>20</v>
      </c>
      <c r="O78" s="490" t="s">
        <v>658</v>
      </c>
      <c r="P78" s="490" t="s">
        <v>1067</v>
      </c>
      <c r="Q78" s="490"/>
      <c r="R78">
        <f t="shared" si="38"/>
        <v>70</v>
      </c>
      <c r="S78" s="20" t="s">
        <v>1065</v>
      </c>
      <c r="T78" s="20"/>
      <c r="U78" s="4"/>
      <c r="V78" s="159" t="s">
        <v>34</v>
      </c>
      <c r="W78" s="397"/>
      <c r="X78" s="397"/>
      <c r="Y78" s="397"/>
      <c r="Z78" s="397"/>
      <c r="AA78" s="397"/>
      <c r="AB78" t="s">
        <v>34</v>
      </c>
      <c r="AC78" s="553"/>
      <c r="AD78" s="485"/>
      <c r="AH78" s="306">
        <f t="shared" si="35"/>
        <v>400</v>
      </c>
      <c r="AI78" s="306">
        <f t="shared" si="36"/>
        <v>24000</v>
      </c>
      <c r="AJ78" s="306">
        <f t="shared" si="37"/>
        <v>6.666666666666667</v>
      </c>
    </row>
    <row r="79" spans="1:44" x14ac:dyDescent="0.35">
      <c r="A79">
        <f t="shared" si="20"/>
        <v>71</v>
      </c>
      <c r="B79" s="489" t="s">
        <v>1039</v>
      </c>
      <c r="C79" s="491" t="s">
        <v>797</v>
      </c>
      <c r="D79" s="485">
        <v>10000000</v>
      </c>
      <c r="E79" s="484">
        <f t="shared" si="39"/>
        <v>1000</v>
      </c>
      <c r="F79" s="485" t="s">
        <v>34</v>
      </c>
      <c r="G79" s="485" t="s">
        <v>34</v>
      </c>
      <c r="H79" s="485" t="s">
        <v>34</v>
      </c>
      <c r="I79" s="485" t="s">
        <v>34</v>
      </c>
      <c r="J79" s="486" t="s">
        <v>34</v>
      </c>
      <c r="K79" s="487">
        <v>3300</v>
      </c>
      <c r="L79" s="490">
        <v>150</v>
      </c>
      <c r="M79" s="509" t="s">
        <v>1047</v>
      </c>
      <c r="N79" s="510">
        <v>300</v>
      </c>
      <c r="O79" s="490">
        <v>1</v>
      </c>
      <c r="P79" s="490">
        <v>0</v>
      </c>
      <c r="Q79" s="490">
        <v>0</v>
      </c>
      <c r="R79">
        <f t="shared" si="38"/>
        <v>71</v>
      </c>
      <c r="S79" s="20" t="s">
        <v>1040</v>
      </c>
      <c r="T79" s="20"/>
      <c r="U79" s="4" t="s">
        <v>34</v>
      </c>
      <c r="V79" s="159" t="s">
        <v>34</v>
      </c>
      <c r="W79" s="397"/>
      <c r="X79" s="397"/>
      <c r="Y79" s="397"/>
      <c r="Z79" s="397"/>
      <c r="AA79" s="397"/>
      <c r="AB79" t="s">
        <v>34</v>
      </c>
      <c r="AC79" s="553"/>
      <c r="AD79" s="485"/>
      <c r="AH79" s="306">
        <f t="shared" si="35"/>
        <v>1320</v>
      </c>
      <c r="AI79" s="306">
        <f t="shared" si="36"/>
        <v>79200</v>
      </c>
      <c r="AJ79" s="306">
        <f t="shared" si="37"/>
        <v>22</v>
      </c>
    </row>
    <row r="80" spans="1:44" x14ac:dyDescent="0.35">
      <c r="A80">
        <f t="shared" si="20"/>
        <v>72</v>
      </c>
      <c r="B80" s="123" t="s">
        <v>1046</v>
      </c>
      <c r="C80" s="42" t="s">
        <v>921</v>
      </c>
      <c r="D80" s="174">
        <v>2000000</v>
      </c>
      <c r="E80" s="159">
        <f t="shared" si="39"/>
        <v>200</v>
      </c>
      <c r="F80" s="174"/>
      <c r="G80" s="174"/>
      <c r="H80" s="174"/>
      <c r="I80" s="174"/>
      <c r="J80" s="178"/>
      <c r="K80" s="105">
        <v>3500</v>
      </c>
      <c r="L80" s="394">
        <v>130</v>
      </c>
      <c r="M80" s="180" t="s">
        <v>1063</v>
      </c>
      <c r="N80" s="425">
        <v>150</v>
      </c>
      <c r="O80" s="394" t="s">
        <v>1064</v>
      </c>
      <c r="P80" s="555" t="s">
        <v>1068</v>
      </c>
      <c r="Q80" s="394"/>
      <c r="R80">
        <f t="shared" si="38"/>
        <v>72</v>
      </c>
      <c r="S80" s="20" t="s">
        <v>1048</v>
      </c>
      <c r="T80" s="20"/>
      <c r="U80" s="4"/>
      <c r="V80" s="159" t="s">
        <v>34</v>
      </c>
      <c r="W80" s="397"/>
      <c r="X80" s="397"/>
      <c r="Y80" s="397"/>
      <c r="Z80" s="397"/>
      <c r="AA80" s="397"/>
      <c r="AB80" t="s">
        <v>34</v>
      </c>
      <c r="AC80" s="553"/>
      <c r="AD80" s="485"/>
      <c r="AH80" s="306">
        <f t="shared" si="35"/>
        <v>1615.3846153846155</v>
      </c>
      <c r="AI80" s="306">
        <f t="shared" si="36"/>
        <v>96923.076923076922</v>
      </c>
      <c r="AJ80" s="306">
        <f t="shared" si="37"/>
        <v>26.923076923076923</v>
      </c>
    </row>
    <row r="81" spans="1:45" x14ac:dyDescent="0.35">
      <c r="A81">
        <f t="shared" si="20"/>
        <v>73</v>
      </c>
      <c r="B81" s="123" t="s">
        <v>634</v>
      </c>
      <c r="C81" s="42" t="s">
        <v>803</v>
      </c>
      <c r="D81" s="174">
        <v>18000000</v>
      </c>
      <c r="E81" s="159">
        <f>D81*E$7/F$3</f>
        <v>1800</v>
      </c>
      <c r="F81" s="174" t="s">
        <v>34</v>
      </c>
      <c r="G81" s="174" t="s">
        <v>34</v>
      </c>
      <c r="H81" s="174" t="s">
        <v>34</v>
      </c>
      <c r="I81" s="174" t="s">
        <v>34</v>
      </c>
      <c r="J81" s="178" t="s">
        <v>34</v>
      </c>
      <c r="K81" s="105">
        <v>6750</v>
      </c>
      <c r="L81" s="394">
        <v>150</v>
      </c>
      <c r="M81" s="180" t="s">
        <v>635</v>
      </c>
      <c r="N81" s="394">
        <v>250</v>
      </c>
      <c r="O81" s="394" t="s">
        <v>458</v>
      </c>
      <c r="P81" s="394"/>
      <c r="Q81" s="394"/>
      <c r="R81">
        <f t="shared" si="38"/>
        <v>73</v>
      </c>
      <c r="S81" s="20" t="s">
        <v>636</v>
      </c>
      <c r="T81" s="20"/>
      <c r="U81" t="s">
        <v>34</v>
      </c>
      <c r="V81" s="159" t="s">
        <v>34</v>
      </c>
      <c r="AB81" t="s">
        <v>34</v>
      </c>
      <c r="AC81">
        <f>45*150</f>
        <v>6750</v>
      </c>
      <c r="AH81" s="306">
        <f t="shared" si="35"/>
        <v>2700</v>
      </c>
      <c r="AI81" s="306">
        <f t="shared" si="36"/>
        <v>162000</v>
      </c>
      <c r="AJ81" s="306">
        <f t="shared" si="37"/>
        <v>45</v>
      </c>
    </row>
    <row r="82" spans="1:45" x14ac:dyDescent="0.35">
      <c r="A82">
        <f t="shared" si="20"/>
        <v>74</v>
      </c>
      <c r="B82" s="123" t="s">
        <v>1049</v>
      </c>
      <c r="C82" s="42" t="s">
        <v>1050</v>
      </c>
      <c r="D82" s="174">
        <v>20000000</v>
      </c>
      <c r="E82" s="159">
        <f t="shared" ref="E82:E84" si="40">D82*E$7/F$3</f>
        <v>2000</v>
      </c>
      <c r="F82" s="174" t="s">
        <v>34</v>
      </c>
      <c r="G82" s="174" t="s">
        <v>34</v>
      </c>
      <c r="H82" s="174" t="s">
        <v>34</v>
      </c>
      <c r="I82" s="174" t="s">
        <v>34</v>
      </c>
      <c r="J82" s="178" t="s">
        <v>34</v>
      </c>
      <c r="K82" s="105">
        <v>3100</v>
      </c>
      <c r="L82" s="394">
        <v>130</v>
      </c>
      <c r="M82" s="180" t="s">
        <v>631</v>
      </c>
      <c r="N82" s="425">
        <f>1020-513-387</f>
        <v>120</v>
      </c>
      <c r="O82" s="394">
        <v>360</v>
      </c>
      <c r="P82" s="394"/>
      <c r="Q82" s="394"/>
      <c r="R82">
        <f t="shared" si="38"/>
        <v>74</v>
      </c>
      <c r="S82" s="20" t="s">
        <v>1051</v>
      </c>
      <c r="T82" s="20"/>
      <c r="U82" s="4" t="s">
        <v>34</v>
      </c>
      <c r="V82" s="159" t="s">
        <v>34</v>
      </c>
      <c r="W82" s="397"/>
      <c r="X82" s="397"/>
      <c r="Y82" s="397"/>
      <c r="Z82" s="397"/>
      <c r="AA82" s="397"/>
      <c r="AB82" t="s">
        <v>34</v>
      </c>
      <c r="AC82" s="553"/>
      <c r="AD82" s="485"/>
      <c r="AH82" s="306">
        <f t="shared" si="35"/>
        <v>1430.7692307692307</v>
      </c>
      <c r="AI82" s="306">
        <f t="shared" si="36"/>
        <v>85846.153846153844</v>
      </c>
      <c r="AJ82" s="306">
        <f t="shared" si="37"/>
        <v>23.846153846153847</v>
      </c>
    </row>
    <row r="83" spans="1:45" x14ac:dyDescent="0.35">
      <c r="A83">
        <f t="shared" si="20"/>
        <v>75</v>
      </c>
      <c r="B83" s="123" t="s">
        <v>1053</v>
      </c>
      <c r="C83" s="42" t="s">
        <v>960</v>
      </c>
      <c r="D83" s="174">
        <v>31000000</v>
      </c>
      <c r="E83" s="159">
        <f t="shared" si="40"/>
        <v>3100</v>
      </c>
      <c r="F83" s="174" t="s">
        <v>34</v>
      </c>
      <c r="G83" s="174" t="s">
        <v>34</v>
      </c>
      <c r="H83" s="174" t="s">
        <v>34</v>
      </c>
      <c r="I83" s="174" t="s">
        <v>34</v>
      </c>
      <c r="J83" s="178" t="s">
        <v>34</v>
      </c>
      <c r="K83" s="105">
        <v>3800</v>
      </c>
      <c r="L83" s="394">
        <v>150</v>
      </c>
      <c r="M83" s="180" t="s">
        <v>1055</v>
      </c>
      <c r="N83" s="425">
        <v>360</v>
      </c>
      <c r="O83" s="394" t="s">
        <v>1054</v>
      </c>
      <c r="P83" s="394"/>
      <c r="Q83" s="394"/>
      <c r="R83">
        <f t="shared" si="38"/>
        <v>75</v>
      </c>
      <c r="S83" s="20" t="s">
        <v>1052</v>
      </c>
      <c r="T83" s="20"/>
      <c r="U83" s="4"/>
      <c r="V83" s="159" t="s">
        <v>34</v>
      </c>
      <c r="W83" s="397"/>
      <c r="X83" s="397"/>
      <c r="Y83" s="397"/>
      <c r="Z83" s="397"/>
      <c r="AA83" s="397"/>
      <c r="AB83" t="s">
        <v>34</v>
      </c>
      <c r="AC83" s="553"/>
      <c r="AD83" s="485"/>
      <c r="AH83" s="306">
        <f t="shared" si="35"/>
        <v>1520</v>
      </c>
      <c r="AI83" s="306">
        <f t="shared" si="36"/>
        <v>91200</v>
      </c>
      <c r="AJ83" s="306">
        <f t="shared" si="37"/>
        <v>25.333333333333332</v>
      </c>
    </row>
    <row r="84" spans="1:45" x14ac:dyDescent="0.35">
      <c r="A84">
        <f t="shared" si="20"/>
        <v>76</v>
      </c>
      <c r="B84" s="123" t="s">
        <v>1093</v>
      </c>
      <c r="C84" s="42" t="s">
        <v>1091</v>
      </c>
      <c r="D84" s="174">
        <v>132000000</v>
      </c>
      <c r="E84" s="159">
        <f t="shared" si="40"/>
        <v>13200</v>
      </c>
      <c r="F84" s="174" t="s">
        <v>34</v>
      </c>
      <c r="G84" s="174" t="s">
        <v>34</v>
      </c>
      <c r="H84" s="174" t="s">
        <v>34</v>
      </c>
      <c r="I84" s="174" t="s">
        <v>34</v>
      </c>
      <c r="J84" s="178" t="s">
        <v>34</v>
      </c>
      <c r="K84" s="105">
        <v>22800</v>
      </c>
      <c r="L84" s="394">
        <v>570</v>
      </c>
      <c r="M84" s="180" t="s">
        <v>1087</v>
      </c>
      <c r="N84" s="425" t="s">
        <v>1090</v>
      </c>
      <c r="O84" s="394">
        <v>42</v>
      </c>
      <c r="P84" s="394"/>
      <c r="Q84" s="394"/>
      <c r="R84">
        <f t="shared" si="38"/>
        <v>76</v>
      </c>
      <c r="S84" s="20" t="s">
        <v>1086</v>
      </c>
      <c r="T84" s="20"/>
      <c r="U84" s="182" t="s">
        <v>1089</v>
      </c>
      <c r="V84" s="159" t="s">
        <v>34</v>
      </c>
      <c r="W84" s="470"/>
      <c r="X84" s="470"/>
      <c r="Y84" s="470"/>
      <c r="Z84" s="470"/>
      <c r="AA84" s="470"/>
      <c r="AB84" t="s">
        <v>34</v>
      </c>
      <c r="AC84" s="553"/>
      <c r="AD84" s="485"/>
      <c r="AH84" s="306">
        <f t="shared" si="35"/>
        <v>2400</v>
      </c>
      <c r="AI84" s="306">
        <f t="shared" si="36"/>
        <v>144000</v>
      </c>
      <c r="AJ84" s="306">
        <f t="shared" si="37"/>
        <v>40</v>
      </c>
    </row>
    <row r="85" spans="1:45" x14ac:dyDescent="0.35">
      <c r="A85">
        <f t="shared" si="20"/>
        <v>77</v>
      </c>
      <c r="B85" s="123" t="s">
        <v>1092</v>
      </c>
      <c r="C85" s="42" t="s">
        <v>835</v>
      </c>
      <c r="D85" s="174" t="s">
        <v>656</v>
      </c>
      <c r="E85" s="174" t="s">
        <v>34</v>
      </c>
      <c r="F85" s="174" t="s">
        <v>34</v>
      </c>
      <c r="G85" s="174" t="s">
        <v>34</v>
      </c>
      <c r="H85" s="174" t="s">
        <v>34</v>
      </c>
      <c r="I85" s="174" t="s">
        <v>34</v>
      </c>
      <c r="J85" s="178" t="s">
        <v>34</v>
      </c>
      <c r="K85" s="105">
        <v>22000</v>
      </c>
      <c r="L85" s="394">
        <v>900</v>
      </c>
      <c r="M85" s="180" t="s">
        <v>631</v>
      </c>
      <c r="N85" s="425" t="s">
        <v>630</v>
      </c>
      <c r="O85" s="394" t="s">
        <v>658</v>
      </c>
      <c r="P85" s="394"/>
      <c r="Q85" s="394"/>
      <c r="R85">
        <f t="shared" si="38"/>
        <v>77</v>
      </c>
      <c r="S85" s="20" t="s">
        <v>633</v>
      </c>
      <c r="T85" s="20"/>
      <c r="U85" t="s">
        <v>34</v>
      </c>
      <c r="V85" s="159" t="s">
        <v>34</v>
      </c>
      <c r="AB85" t="s">
        <v>34</v>
      </c>
      <c r="AH85" s="306">
        <f>(K85/L85)*60</f>
        <v>1466.6666666666665</v>
      </c>
      <c r="AI85" s="306">
        <f>60*AH85</f>
        <v>87999.999999999985</v>
      </c>
      <c r="AJ85" s="306">
        <f>AH85/60</f>
        <v>24.444444444444443</v>
      </c>
    </row>
    <row r="86" spans="1:45" x14ac:dyDescent="0.35">
      <c r="A86">
        <f t="shared" si="20"/>
        <v>78</v>
      </c>
      <c r="B86" s="123"/>
      <c r="C86" s="42"/>
      <c r="D86" s="174"/>
      <c r="E86" s="174"/>
      <c r="F86" s="174"/>
      <c r="G86" s="174"/>
      <c r="H86" s="174"/>
      <c r="I86" s="174"/>
      <c r="J86" s="178"/>
      <c r="K86" s="105"/>
      <c r="L86" s="394"/>
      <c r="M86" s="180"/>
      <c r="N86" s="180"/>
      <c r="O86" s="394"/>
      <c r="P86" s="394"/>
      <c r="Q86" s="394"/>
      <c r="R86">
        <f t="shared" si="38"/>
        <v>78</v>
      </c>
      <c r="U86" t="s">
        <v>34</v>
      </c>
      <c r="V86" s="159" t="s">
        <v>34</v>
      </c>
      <c r="AB86" t="s">
        <v>34</v>
      </c>
    </row>
    <row r="87" spans="1:45" x14ac:dyDescent="0.35">
      <c r="A87">
        <f t="shared" si="20"/>
        <v>79</v>
      </c>
      <c r="B87" s="123"/>
      <c r="C87" s="42"/>
      <c r="D87" s="159"/>
      <c r="E87" s="159"/>
      <c r="F87" s="159"/>
      <c r="G87" s="159"/>
      <c r="H87" s="159"/>
      <c r="I87" s="159"/>
      <c r="J87" s="171"/>
      <c r="K87" s="105"/>
      <c r="L87" s="394"/>
      <c r="M87" s="180"/>
      <c r="N87" s="180"/>
      <c r="O87" s="394"/>
      <c r="P87" s="394"/>
      <c r="Q87" s="394"/>
      <c r="R87">
        <f t="shared" si="38"/>
        <v>79</v>
      </c>
      <c r="U87" t="s">
        <v>34</v>
      </c>
      <c r="V87" s="159" t="s">
        <v>34</v>
      </c>
      <c r="AB87" t="s">
        <v>34</v>
      </c>
    </row>
    <row r="88" spans="1:45" x14ac:dyDescent="0.35">
      <c r="A88">
        <f t="shared" si="20"/>
        <v>80</v>
      </c>
      <c r="B88" s="191" t="s">
        <v>1249</v>
      </c>
      <c r="C88" s="467"/>
      <c r="D88" s="185"/>
      <c r="E88" s="185"/>
      <c r="F88" s="185"/>
      <c r="G88" s="185"/>
      <c r="H88" s="185"/>
      <c r="I88" s="185"/>
      <c r="J88" s="186"/>
      <c r="K88" s="393"/>
      <c r="L88" s="395"/>
      <c r="M88" s="386"/>
      <c r="N88" s="386"/>
      <c r="O88" s="395"/>
      <c r="P88" s="395"/>
      <c r="Q88" s="395"/>
      <c r="R88">
        <f t="shared" si="38"/>
        <v>80</v>
      </c>
      <c r="S88" s="306"/>
      <c r="T88" s="306"/>
      <c r="U88" t="s">
        <v>34</v>
      </c>
      <c r="V88" s="159" t="s">
        <v>34</v>
      </c>
      <c r="AB88" t="s">
        <v>34</v>
      </c>
    </row>
    <row r="89" spans="1:45" x14ac:dyDescent="0.35">
      <c r="A89">
        <f t="shared" si="20"/>
        <v>81</v>
      </c>
      <c r="B89" s="123" t="s">
        <v>546</v>
      </c>
      <c r="C89" s="42" t="s">
        <v>1353</v>
      </c>
      <c r="D89" s="159">
        <v>2500000</v>
      </c>
      <c r="E89" s="159">
        <f>D89*E$7/F$3</f>
        <v>250</v>
      </c>
      <c r="F89" s="159">
        <f>D89*F$7/F$3</f>
        <v>2500</v>
      </c>
      <c r="G89" s="174" t="s">
        <v>34</v>
      </c>
      <c r="H89" s="174" t="s">
        <v>34</v>
      </c>
      <c r="I89" s="174" t="s">
        <v>34</v>
      </c>
      <c r="J89" s="178" t="s">
        <v>34</v>
      </c>
      <c r="K89" s="105">
        <v>550</v>
      </c>
      <c r="L89" s="394">
        <v>1130</v>
      </c>
      <c r="M89" s="383" t="s">
        <v>346</v>
      </c>
      <c r="N89" s="181" t="s">
        <v>345</v>
      </c>
      <c r="O89" s="394" t="s">
        <v>416</v>
      </c>
      <c r="P89" s="394"/>
      <c r="Q89" s="394">
        <v>0</v>
      </c>
      <c r="R89">
        <f t="shared" si="38"/>
        <v>81</v>
      </c>
      <c r="S89" s="20" t="s">
        <v>344</v>
      </c>
      <c r="T89" s="20"/>
      <c r="U89" t="s">
        <v>34</v>
      </c>
      <c r="V89" s="159">
        <v>1300</v>
      </c>
      <c r="W89" t="s">
        <v>1354</v>
      </c>
      <c r="X89" t="s">
        <v>1355</v>
      </c>
      <c r="Y89" t="s">
        <v>1356</v>
      </c>
      <c r="Z89" t="s">
        <v>1357</v>
      </c>
      <c r="AA89" t="s">
        <v>1358</v>
      </c>
      <c r="AB89" t="s">
        <v>34</v>
      </c>
    </row>
    <row r="90" spans="1:45" x14ac:dyDescent="0.35">
      <c r="A90">
        <f t="shared" si="20"/>
        <v>82</v>
      </c>
      <c r="B90" s="123" t="s">
        <v>1371</v>
      </c>
      <c r="C90" s="42" t="s">
        <v>854</v>
      </c>
      <c r="D90" s="159">
        <v>2000000</v>
      </c>
      <c r="E90" s="159">
        <f>D90*E$7/F$3</f>
        <v>200</v>
      </c>
      <c r="F90" s="159">
        <f>D90*F$7/F$3</f>
        <v>2000</v>
      </c>
      <c r="G90" s="174" t="s">
        <v>34</v>
      </c>
      <c r="H90" s="174" t="s">
        <v>34</v>
      </c>
      <c r="I90" s="174" t="s">
        <v>34</v>
      </c>
      <c r="J90" s="178" t="s">
        <v>34</v>
      </c>
      <c r="K90" s="105">
        <v>1666</v>
      </c>
      <c r="L90" s="394">
        <v>913</v>
      </c>
      <c r="M90" s="383" t="s">
        <v>413</v>
      </c>
      <c r="N90" s="181" t="s">
        <v>345</v>
      </c>
      <c r="O90" s="555" t="s">
        <v>1243</v>
      </c>
      <c r="P90" s="394"/>
      <c r="Q90" s="394" t="s">
        <v>861</v>
      </c>
      <c r="R90">
        <f t="shared" si="38"/>
        <v>82</v>
      </c>
      <c r="S90" s="20" t="s">
        <v>412</v>
      </c>
      <c r="T90" s="20"/>
      <c r="U90" t="s">
        <v>823</v>
      </c>
      <c r="V90" s="159">
        <f>1300+300</f>
        <v>1600</v>
      </c>
      <c r="W90" t="s">
        <v>1359</v>
      </c>
      <c r="X90" t="s">
        <v>1370</v>
      </c>
      <c r="Y90" t="s">
        <v>1356</v>
      </c>
      <c r="AB90" t="s">
        <v>34</v>
      </c>
      <c r="AC90" s="430" t="s">
        <v>1226</v>
      </c>
      <c r="AD90" s="4" t="s">
        <v>1225</v>
      </c>
      <c r="AH90" s="306">
        <f t="shared" ref="AH90:AH91" si="41">(K90/L90)*60</f>
        <v>109.48521358159911</v>
      </c>
      <c r="AI90" s="306">
        <f>60*AH90</f>
        <v>6569.1128148959469</v>
      </c>
      <c r="AJ90" s="306">
        <f>AH90/60</f>
        <v>1.8247535596933184</v>
      </c>
    </row>
    <row r="91" spans="1:45" x14ac:dyDescent="0.35">
      <c r="A91">
        <f t="shared" si="20"/>
        <v>83</v>
      </c>
      <c r="B91" s="123" t="s">
        <v>1242</v>
      </c>
      <c r="C91" s="42" t="s">
        <v>1233</v>
      </c>
      <c r="D91" s="159">
        <v>2000000</v>
      </c>
      <c r="E91" s="159"/>
      <c r="F91" s="159"/>
      <c r="G91" s="174"/>
      <c r="H91" s="174"/>
      <c r="I91" s="174"/>
      <c r="J91" s="178"/>
      <c r="K91" s="105">
        <v>2400</v>
      </c>
      <c r="L91" s="394">
        <v>900</v>
      </c>
      <c r="M91" s="383" t="s">
        <v>1232</v>
      </c>
      <c r="N91" s="181" t="s">
        <v>1231</v>
      </c>
      <c r="O91" s="394">
        <f>1715+239+50</f>
        <v>2004</v>
      </c>
      <c r="P91" s="555" t="s">
        <v>1234</v>
      </c>
      <c r="Q91" s="394">
        <v>0</v>
      </c>
      <c r="R91">
        <f t="shared" si="38"/>
        <v>83</v>
      </c>
      <c r="S91" s="20" t="s">
        <v>1227</v>
      </c>
      <c r="T91" s="20"/>
      <c r="V91" s="159">
        <v>1430</v>
      </c>
      <c r="AB91" t="s">
        <v>34</v>
      </c>
      <c r="AC91" s="430" t="s">
        <v>1226</v>
      </c>
      <c r="AD91" s="4" t="s">
        <v>1225</v>
      </c>
      <c r="AH91" s="306">
        <f t="shared" si="41"/>
        <v>160</v>
      </c>
      <c r="AI91" s="306">
        <f>60*AH91</f>
        <v>9600</v>
      </c>
      <c r="AJ91" s="306">
        <f>AH91/60</f>
        <v>2.6666666666666665</v>
      </c>
    </row>
    <row r="92" spans="1:45" x14ac:dyDescent="0.35">
      <c r="A92">
        <f t="shared" si="20"/>
        <v>84</v>
      </c>
      <c r="B92" s="582" t="s">
        <v>1360</v>
      </c>
      <c r="C92" s="583" t="s">
        <v>1200</v>
      </c>
      <c r="D92" s="584">
        <v>4870000</v>
      </c>
      <c r="E92" s="584">
        <f>D92*E$7/F$3</f>
        <v>487</v>
      </c>
      <c r="F92" s="584">
        <f>D92*F$7/F$3</f>
        <v>4870</v>
      </c>
      <c r="G92" s="584">
        <f t="shared" ref="G92" si="42">D92*G$7/F$3</f>
        <v>48700</v>
      </c>
      <c r="H92" s="585" t="s">
        <v>34</v>
      </c>
      <c r="I92" s="585" t="s">
        <v>34</v>
      </c>
      <c r="J92" s="586" t="s">
        <v>34</v>
      </c>
      <c r="K92" s="587">
        <v>500</v>
      </c>
      <c r="L92" s="588">
        <v>4287</v>
      </c>
      <c r="M92" s="589" t="s">
        <v>1205</v>
      </c>
      <c r="N92" s="590" t="s">
        <v>1202</v>
      </c>
      <c r="O92" s="588" t="s">
        <v>367</v>
      </c>
      <c r="P92" s="588"/>
      <c r="Q92" s="588">
        <v>180</v>
      </c>
      <c r="R92">
        <f t="shared" si="38"/>
        <v>84</v>
      </c>
      <c r="S92" s="20" t="s">
        <v>1201</v>
      </c>
      <c r="T92" s="20"/>
      <c r="U92" t="s">
        <v>1203</v>
      </c>
      <c r="V92" s="159">
        <f>1200+300</f>
        <v>1500</v>
      </c>
      <c r="W92" t="s">
        <v>1367</v>
      </c>
      <c r="X92" t="s">
        <v>1364</v>
      </c>
      <c r="Y92" t="s">
        <v>1365</v>
      </c>
      <c r="Z92" t="s">
        <v>1363</v>
      </c>
      <c r="AA92" t="s">
        <v>1366</v>
      </c>
      <c r="AB92" t="s">
        <v>34</v>
      </c>
      <c r="AC92" t="s">
        <v>1230</v>
      </c>
      <c r="AH92" s="306">
        <f t="shared" ref="AH92" si="43">(K92/L92)*60</f>
        <v>6.9979006298110562</v>
      </c>
      <c r="AI92" s="306">
        <f>60*AH92</f>
        <v>419.87403778866337</v>
      </c>
      <c r="AJ92" s="306">
        <f>AH92/60</f>
        <v>0.11663167716351761</v>
      </c>
    </row>
    <row r="93" spans="1:45" x14ac:dyDescent="0.35">
      <c r="A93">
        <f t="shared" si="20"/>
        <v>85</v>
      </c>
      <c r="B93" s="582" t="s">
        <v>1244</v>
      </c>
      <c r="C93" s="583" t="s">
        <v>797</v>
      </c>
      <c r="D93" s="584" t="s">
        <v>1228</v>
      </c>
      <c r="E93" s="585" t="s">
        <v>34</v>
      </c>
      <c r="F93" s="585" t="s">
        <v>34</v>
      </c>
      <c r="G93" s="585" t="s">
        <v>34</v>
      </c>
      <c r="H93" s="585" t="s">
        <v>34</v>
      </c>
      <c r="I93" s="585" t="s">
        <v>34</v>
      </c>
      <c r="J93" s="586" t="s">
        <v>34</v>
      </c>
      <c r="K93" s="588" t="s">
        <v>34</v>
      </c>
      <c r="L93" s="588" t="s">
        <v>34</v>
      </c>
      <c r="M93" s="589" t="s">
        <v>34</v>
      </c>
      <c r="N93" s="590" t="s">
        <v>34</v>
      </c>
      <c r="O93" s="588" t="s">
        <v>1033</v>
      </c>
      <c r="P93" s="588" t="s">
        <v>1033</v>
      </c>
      <c r="Q93" s="588"/>
      <c r="R93">
        <f t="shared" si="38"/>
        <v>85</v>
      </c>
      <c r="S93" s="20" t="s">
        <v>1199</v>
      </c>
      <c r="T93" s="20" t="s">
        <v>1383</v>
      </c>
      <c r="U93" s="4" t="s">
        <v>1240</v>
      </c>
      <c r="V93" s="159" t="s">
        <v>34</v>
      </c>
      <c r="W93" s="397"/>
      <c r="X93" s="397"/>
      <c r="Y93" s="397"/>
      <c r="Z93" s="397"/>
      <c r="AA93" s="397"/>
      <c r="AB93" t="s">
        <v>34</v>
      </c>
      <c r="AC93" s="430" t="s">
        <v>1206</v>
      </c>
      <c r="AH93" s="306"/>
      <c r="AI93" s="306"/>
      <c r="AJ93" s="306"/>
    </row>
    <row r="94" spans="1:45" x14ac:dyDescent="0.35">
      <c r="A94">
        <f t="shared" si="20"/>
        <v>86</v>
      </c>
      <c r="B94" s="123" t="s">
        <v>1260</v>
      </c>
      <c r="C94" s="42" t="s">
        <v>1247</v>
      </c>
      <c r="D94" s="159">
        <v>689000</v>
      </c>
      <c r="E94" s="159">
        <f>D94*E$7/F$3</f>
        <v>68.900000000000006</v>
      </c>
      <c r="F94" s="159">
        <f>D94*F$7/F$3</f>
        <v>689</v>
      </c>
      <c r="G94" s="159">
        <f>D94*G$7/F$3</f>
        <v>6890</v>
      </c>
      <c r="H94" s="174" t="s">
        <v>34</v>
      </c>
      <c r="I94" s="174" t="s">
        <v>34</v>
      </c>
      <c r="J94" s="178" t="s">
        <v>34</v>
      </c>
      <c r="K94" s="105">
        <v>370</v>
      </c>
      <c r="L94" s="394">
        <v>760</v>
      </c>
      <c r="M94" s="383" t="s">
        <v>1125</v>
      </c>
      <c r="N94" s="181" t="s">
        <v>846</v>
      </c>
      <c r="O94" s="394">
        <v>7500</v>
      </c>
      <c r="P94" s="394">
        <v>7500</v>
      </c>
      <c r="Q94" s="394">
        <v>0</v>
      </c>
      <c r="R94">
        <f t="shared" si="38"/>
        <v>86</v>
      </c>
      <c r="S94" s="20" t="s">
        <v>625</v>
      </c>
      <c r="T94" s="20"/>
      <c r="U94" s="4" t="s">
        <v>1108</v>
      </c>
      <c r="V94" s="159">
        <v>1021</v>
      </c>
      <c r="W94" s="397"/>
      <c r="X94" s="397"/>
      <c r="Y94" s="397"/>
      <c r="Z94" s="397"/>
      <c r="AA94" s="397"/>
      <c r="AB94" t="s">
        <v>34</v>
      </c>
      <c r="AC94" t="s">
        <v>1081</v>
      </c>
      <c r="AD94" s="4" t="s">
        <v>1079</v>
      </c>
      <c r="AE94" t="s">
        <v>1080</v>
      </c>
      <c r="AF94" s="557">
        <f>1.2*300</f>
        <v>360</v>
      </c>
      <c r="AG94" t="s">
        <v>1101</v>
      </c>
      <c r="AH94" s="306">
        <f t="shared" ref="AH94" si="44">(K94/L94)*60</f>
        <v>29.210526315789476</v>
      </c>
      <c r="AI94" s="306">
        <f>60*AH94</f>
        <v>1752.6315789473686</v>
      </c>
      <c r="AJ94" s="306">
        <f>AH94/60</f>
        <v>0.48684210526315791</v>
      </c>
      <c r="AK94" t="s">
        <v>1136</v>
      </c>
      <c r="AL94" s="159">
        <f>1021-(46+AO94+450)</f>
        <v>349.73684210526312</v>
      </c>
      <c r="AM94" t="s">
        <v>1105</v>
      </c>
      <c r="AN94" t="s">
        <v>1128</v>
      </c>
      <c r="AO94" s="8">
        <f>AF94*(AH94/60)</f>
        <v>175.26315789473685</v>
      </c>
      <c r="AP94" t="s">
        <v>1118</v>
      </c>
      <c r="AQ94" s="451" t="s">
        <v>1124</v>
      </c>
      <c r="AR94" s="559" t="s">
        <v>1127</v>
      </c>
    </row>
    <row r="95" spans="1:45" x14ac:dyDescent="0.35">
      <c r="A95">
        <f t="shared" si="20"/>
        <v>87</v>
      </c>
      <c r="B95" s="123" t="s">
        <v>1261</v>
      </c>
      <c r="C95" s="42" t="s">
        <v>783</v>
      </c>
      <c r="D95" s="159">
        <v>1004000</v>
      </c>
      <c r="E95" s="159">
        <f>D95*E$7/F$3</f>
        <v>100.4</v>
      </c>
      <c r="F95" s="159">
        <f>D95*F$7/F$3</f>
        <v>1004</v>
      </c>
      <c r="G95" s="159">
        <f t="shared" ref="G95:G96" si="45">D95*G$7/F$3</f>
        <v>10040</v>
      </c>
      <c r="H95" s="174" t="s">
        <v>34</v>
      </c>
      <c r="I95" s="174" t="s">
        <v>34</v>
      </c>
      <c r="J95" s="178" t="s">
        <v>34</v>
      </c>
      <c r="K95" s="105">
        <v>926</v>
      </c>
      <c r="L95" s="394">
        <v>1105</v>
      </c>
      <c r="M95" s="383" t="s">
        <v>808</v>
      </c>
      <c r="N95" s="181" t="s">
        <v>846</v>
      </c>
      <c r="O95" s="394" t="s">
        <v>626</v>
      </c>
      <c r="P95" s="394" t="s">
        <v>626</v>
      </c>
      <c r="Q95" s="569" t="s">
        <v>1241</v>
      </c>
      <c r="R95">
        <f t="shared" si="38"/>
        <v>87</v>
      </c>
      <c r="S95" s="20" t="s">
        <v>625</v>
      </c>
      <c r="T95" s="20"/>
      <c r="U95" t="s">
        <v>894</v>
      </c>
      <c r="V95" s="159">
        <v>1200</v>
      </c>
      <c r="AB95" t="s">
        <v>34</v>
      </c>
      <c r="AC95" s="430" t="s">
        <v>1131</v>
      </c>
      <c r="AD95" s="4" t="s">
        <v>1099</v>
      </c>
      <c r="AE95" t="s">
        <v>1143</v>
      </c>
      <c r="AF95" s="557">
        <f>0.683*635</f>
        <v>433.70500000000004</v>
      </c>
      <c r="AG95" t="s">
        <v>1101</v>
      </c>
      <c r="AH95" s="306">
        <f>(K95/L95)*60</f>
        <v>50.280542986425338</v>
      </c>
      <c r="AI95" s="306">
        <f>60*AH95</f>
        <v>3016.8325791855204</v>
      </c>
      <c r="AJ95" s="306">
        <f>AH95/60</f>
        <v>0.83800904977375568</v>
      </c>
      <c r="AK95" t="s">
        <v>1137</v>
      </c>
      <c r="AL95" s="159">
        <f>1200-(30+AO95+450)</f>
        <v>356.55128506787332</v>
      </c>
      <c r="AM95" t="s">
        <v>1105</v>
      </c>
      <c r="AN95" t="s">
        <v>1128</v>
      </c>
      <c r="AO95" s="8">
        <f>AF95*(AH95/60)</f>
        <v>363.44871493212673</v>
      </c>
      <c r="AP95" t="s">
        <v>1118</v>
      </c>
      <c r="AQ95" s="451" t="s">
        <v>1126</v>
      </c>
      <c r="AR95" s="559" t="s">
        <v>1133</v>
      </c>
    </row>
    <row r="96" spans="1:45" x14ac:dyDescent="0.35">
      <c r="A96">
        <f t="shared" si="20"/>
        <v>88</v>
      </c>
      <c r="B96" s="123" t="s">
        <v>1262</v>
      </c>
      <c r="C96" s="42" t="s">
        <v>852</v>
      </c>
      <c r="D96" s="159">
        <v>1500000</v>
      </c>
      <c r="E96" s="159">
        <f>D96*E$7/F$3</f>
        <v>150</v>
      </c>
      <c r="F96" s="159">
        <f>D96*F$7/F$3</f>
        <v>1500</v>
      </c>
      <c r="G96" s="159">
        <f t="shared" si="45"/>
        <v>15000</v>
      </c>
      <c r="H96" s="174" t="s">
        <v>34</v>
      </c>
      <c r="I96" s="174" t="s">
        <v>34</v>
      </c>
      <c r="J96" s="178" t="s">
        <v>34</v>
      </c>
      <c r="K96" s="105">
        <v>1800</v>
      </c>
      <c r="L96" s="394">
        <v>970</v>
      </c>
      <c r="M96" s="383" t="s">
        <v>1140</v>
      </c>
      <c r="N96" s="181" t="s">
        <v>846</v>
      </c>
      <c r="O96" s="394" t="s">
        <v>423</v>
      </c>
      <c r="P96" s="394" t="s">
        <v>423</v>
      </c>
      <c r="Q96" s="469" t="s">
        <v>355</v>
      </c>
      <c r="R96">
        <f t="shared" si="38"/>
        <v>88</v>
      </c>
      <c r="S96" s="4" t="s">
        <v>855</v>
      </c>
      <c r="T96" s="4"/>
      <c r="U96" t="s">
        <v>1259</v>
      </c>
      <c r="V96" s="159">
        <v>1700</v>
      </c>
      <c r="AB96" t="s">
        <v>34</v>
      </c>
      <c r="AC96" s="430" t="s">
        <v>1132</v>
      </c>
      <c r="AD96" s="4" t="s">
        <v>1099</v>
      </c>
      <c r="AE96" t="s">
        <v>1143</v>
      </c>
      <c r="AF96" s="557">
        <f>0.683*635</f>
        <v>433.70500000000004</v>
      </c>
      <c r="AG96" t="s">
        <v>1101</v>
      </c>
      <c r="AH96" s="306">
        <f t="shared" ref="AH96" si="46">(K96/L96)*60</f>
        <v>111.34020618556701</v>
      </c>
      <c r="AI96" s="306">
        <f t="shared" ref="AI96" si="47">60*AH96</f>
        <v>6680.4123711340208</v>
      </c>
      <c r="AJ96" s="306">
        <f t="shared" ref="AJ96" si="48">AH96/60</f>
        <v>1.8556701030927836</v>
      </c>
      <c r="AK96" t="s">
        <v>1137</v>
      </c>
      <c r="AL96" s="159">
        <f>1700-(30+AO96+450)</f>
        <v>415.18659793814413</v>
      </c>
      <c r="AM96" t="s">
        <v>1105</v>
      </c>
      <c r="AN96" t="s">
        <v>1128</v>
      </c>
      <c r="AO96" s="8">
        <f>AF96*(AH96/60)</f>
        <v>804.81340206185575</v>
      </c>
      <c r="AP96" t="s">
        <v>1118</v>
      </c>
      <c r="AQ96" s="451" t="s">
        <v>1139</v>
      </c>
      <c r="AR96" s="559" t="s">
        <v>1138</v>
      </c>
      <c r="AS96" t="s">
        <v>1246</v>
      </c>
    </row>
    <row r="97" spans="1:45" x14ac:dyDescent="0.35">
      <c r="A97">
        <f t="shared" si="20"/>
        <v>89</v>
      </c>
      <c r="B97" s="123" t="s">
        <v>1263</v>
      </c>
      <c r="C97" s="42" t="s">
        <v>1245</v>
      </c>
      <c r="D97" s="159">
        <v>3240000</v>
      </c>
      <c r="E97" s="159">
        <f>D97*E$7/F$3</f>
        <v>324</v>
      </c>
      <c r="F97" s="159">
        <f>D97*F$7/F$3</f>
        <v>3240</v>
      </c>
      <c r="G97" s="159">
        <f t="shared" ref="G97" si="49">D97*G$7/F$3</f>
        <v>32400</v>
      </c>
      <c r="H97" s="174" t="s">
        <v>34</v>
      </c>
      <c r="I97" s="174" t="s">
        <v>34</v>
      </c>
      <c r="J97" s="178" t="s">
        <v>34</v>
      </c>
      <c r="K97" s="105">
        <v>900</v>
      </c>
      <c r="L97" s="394">
        <v>1075</v>
      </c>
      <c r="M97" s="383" t="s">
        <v>808</v>
      </c>
      <c r="N97" s="181" t="s">
        <v>846</v>
      </c>
      <c r="O97" s="394" t="s">
        <v>1254</v>
      </c>
      <c r="P97" s="394" t="s">
        <v>1254</v>
      </c>
      <c r="Q97" s="469" t="s">
        <v>355</v>
      </c>
      <c r="R97">
        <f t="shared" si="38"/>
        <v>89</v>
      </c>
      <c r="S97" s="4" t="s">
        <v>888</v>
      </c>
      <c r="T97" s="4"/>
      <c r="U97" t="s">
        <v>1207</v>
      </c>
      <c r="V97" s="159">
        <v>1250</v>
      </c>
      <c r="W97" t="s">
        <v>1349</v>
      </c>
      <c r="AB97" t="s">
        <v>34</v>
      </c>
      <c r="AC97" s="430" t="s">
        <v>1134</v>
      </c>
      <c r="AD97" s="4" t="s">
        <v>1099</v>
      </c>
      <c r="AE97" t="s">
        <v>1143</v>
      </c>
      <c r="AF97" s="557">
        <f>0.683*635</f>
        <v>433.70500000000004</v>
      </c>
      <c r="AG97" t="s">
        <v>1101</v>
      </c>
      <c r="AH97" s="306">
        <f t="shared" ref="AH97:AH100" si="50">(K97/L97)*60</f>
        <v>50.232558139534888</v>
      </c>
      <c r="AI97" s="306">
        <f t="shared" ref="AI97:AI100" si="51">60*AH97</f>
        <v>3013.9534883720935</v>
      </c>
      <c r="AJ97" s="306">
        <f t="shared" ref="AJ97:AJ100" si="52">AH97/60</f>
        <v>0.83720930232558144</v>
      </c>
      <c r="AK97" t="s">
        <v>1137</v>
      </c>
      <c r="AL97" s="159">
        <f>1250-(30+AO97+450)</f>
        <v>406.89813953488374</v>
      </c>
      <c r="AM97" t="s">
        <v>1255</v>
      </c>
      <c r="AN97" t="s">
        <v>1146</v>
      </c>
      <c r="AO97" s="8">
        <f>AF97*(AH97/60)</f>
        <v>363.10186046511632</v>
      </c>
      <c r="AP97" t="s">
        <v>1118</v>
      </c>
      <c r="AQ97" s="451" t="s">
        <v>1258</v>
      </c>
      <c r="AR97" s="559" t="s">
        <v>1256</v>
      </c>
      <c r="AS97" t="s">
        <v>1257</v>
      </c>
    </row>
    <row r="98" spans="1:45" x14ac:dyDescent="0.35">
      <c r="A98">
        <f t="shared" si="20"/>
        <v>90</v>
      </c>
      <c r="B98" s="123" t="s">
        <v>883</v>
      </c>
      <c r="C98" s="42" t="s">
        <v>884</v>
      </c>
      <c r="D98" s="159" t="s">
        <v>1229</v>
      </c>
      <c r="E98" s="174" t="s">
        <v>34</v>
      </c>
      <c r="F98" s="174" t="s">
        <v>34</v>
      </c>
      <c r="G98" s="174" t="s">
        <v>34</v>
      </c>
      <c r="H98" s="174" t="s">
        <v>34</v>
      </c>
      <c r="I98" s="174" t="s">
        <v>34</v>
      </c>
      <c r="J98" s="178" t="s">
        <v>34</v>
      </c>
      <c r="K98" s="394" t="s">
        <v>34</v>
      </c>
      <c r="L98" s="394" t="s">
        <v>34</v>
      </c>
      <c r="M98" s="383" t="s">
        <v>34</v>
      </c>
      <c r="N98" s="181" t="s">
        <v>34</v>
      </c>
      <c r="O98" s="394" t="s">
        <v>423</v>
      </c>
      <c r="P98" s="394" t="s">
        <v>423</v>
      </c>
      <c r="Q98" s="394"/>
      <c r="R98">
        <f t="shared" si="38"/>
        <v>90</v>
      </c>
      <c r="S98" s="20" t="s">
        <v>885</v>
      </c>
      <c r="T98" s="20"/>
      <c r="U98" s="4" t="s">
        <v>886</v>
      </c>
      <c r="V98" s="159" t="s">
        <v>34</v>
      </c>
      <c r="W98" s="397"/>
      <c r="X98" s="397"/>
      <c r="Y98" s="397"/>
      <c r="Z98" s="397"/>
      <c r="AA98" s="397"/>
      <c r="AB98" t="s">
        <v>34</v>
      </c>
      <c r="AH98" s="306"/>
      <c r="AI98" s="306"/>
      <c r="AJ98" s="306"/>
    </row>
    <row r="99" spans="1:45" x14ac:dyDescent="0.35">
      <c r="A99">
        <f t="shared" si="20"/>
        <v>91</v>
      </c>
      <c r="B99" s="123" t="s">
        <v>1224</v>
      </c>
      <c r="C99" s="42" t="s">
        <v>1215</v>
      </c>
      <c r="D99" s="159" t="s">
        <v>1216</v>
      </c>
      <c r="E99" s="174" t="s">
        <v>34</v>
      </c>
      <c r="F99" s="174" t="s">
        <v>34</v>
      </c>
      <c r="G99" s="174" t="s">
        <v>34</v>
      </c>
      <c r="H99" s="174" t="s">
        <v>34</v>
      </c>
      <c r="I99" s="174" t="s">
        <v>34</v>
      </c>
      <c r="J99" s="178" t="s">
        <v>34</v>
      </c>
      <c r="K99" s="394" t="s">
        <v>34</v>
      </c>
      <c r="L99" s="394" t="s">
        <v>34</v>
      </c>
      <c r="M99" s="383" t="s">
        <v>34</v>
      </c>
      <c r="N99" s="181" t="s">
        <v>34</v>
      </c>
      <c r="O99" s="394" t="s">
        <v>414</v>
      </c>
      <c r="P99" s="394"/>
      <c r="Q99" s="394"/>
      <c r="R99">
        <f t="shared" si="38"/>
        <v>91</v>
      </c>
      <c r="S99" s="20" t="s">
        <v>1214</v>
      </c>
      <c r="T99" s="20"/>
      <c r="U99" s="4"/>
      <c r="V99" s="159" t="s">
        <v>34</v>
      </c>
      <c r="W99" s="397"/>
      <c r="X99" s="397"/>
      <c r="Y99" s="397"/>
      <c r="Z99" s="397"/>
      <c r="AA99" s="397"/>
      <c r="AB99" t="s">
        <v>34</v>
      </c>
      <c r="AH99" s="306"/>
      <c r="AI99" s="306"/>
      <c r="AJ99" s="306"/>
    </row>
    <row r="100" spans="1:45" x14ac:dyDescent="0.35">
      <c r="A100">
        <f t="shared" si="20"/>
        <v>92</v>
      </c>
      <c r="B100" s="123" t="s">
        <v>1208</v>
      </c>
      <c r="C100" s="42" t="s">
        <v>1212</v>
      </c>
      <c r="D100" s="159">
        <v>400000</v>
      </c>
      <c r="E100" s="159">
        <f t="shared" ref="E100" si="53">D100*E$7/F$3</f>
        <v>40</v>
      </c>
      <c r="F100" s="159">
        <f t="shared" ref="F100" si="54">D100*F$7/F$3</f>
        <v>400</v>
      </c>
      <c r="G100" s="174" t="s">
        <v>34</v>
      </c>
      <c r="H100" s="174" t="s">
        <v>34</v>
      </c>
      <c r="I100" s="174" t="s">
        <v>34</v>
      </c>
      <c r="J100" s="178" t="s">
        <v>34</v>
      </c>
      <c r="K100" s="394">
        <v>500</v>
      </c>
      <c r="L100" s="394">
        <v>72</v>
      </c>
      <c r="M100" s="383" t="s">
        <v>722</v>
      </c>
      <c r="N100" s="394">
        <v>70000</v>
      </c>
      <c r="O100" s="394">
        <v>2600</v>
      </c>
      <c r="P100" s="394">
        <v>2600</v>
      </c>
      <c r="Q100" s="394" t="s">
        <v>423</v>
      </c>
      <c r="R100">
        <f t="shared" si="38"/>
        <v>92</v>
      </c>
      <c r="S100" s="20" t="s">
        <v>1211</v>
      </c>
      <c r="T100" s="20"/>
      <c r="U100" t="s">
        <v>1210</v>
      </c>
      <c r="V100" s="159" t="s">
        <v>34</v>
      </c>
      <c r="AB100" t="s">
        <v>34</v>
      </c>
      <c r="AC100" s="4" t="s">
        <v>1209</v>
      </c>
      <c r="AH100" s="306">
        <f t="shared" si="50"/>
        <v>416.66666666666669</v>
      </c>
      <c r="AI100" s="306">
        <f t="shared" si="51"/>
        <v>25000</v>
      </c>
      <c r="AJ100" s="306">
        <f t="shared" si="52"/>
        <v>6.9444444444444446</v>
      </c>
    </row>
    <row r="101" spans="1:45" x14ac:dyDescent="0.35">
      <c r="A101">
        <f t="shared" si="20"/>
        <v>93</v>
      </c>
      <c r="B101" s="123" t="s">
        <v>859</v>
      </c>
      <c r="C101" s="42" t="s">
        <v>856</v>
      </c>
      <c r="D101" s="159">
        <v>1700000</v>
      </c>
      <c r="E101" s="174" t="s">
        <v>34</v>
      </c>
      <c r="F101" s="159">
        <f>D101*F$7/F$3</f>
        <v>1700</v>
      </c>
      <c r="G101" s="159">
        <f>D101*G$7/F$3</f>
        <v>17000</v>
      </c>
      <c r="H101" s="174" t="s">
        <v>34</v>
      </c>
      <c r="I101" s="174" t="s">
        <v>34</v>
      </c>
      <c r="J101" s="178" t="s">
        <v>34</v>
      </c>
      <c r="K101" s="394">
        <v>300</v>
      </c>
      <c r="L101" s="394">
        <f>L37</f>
        <v>3062</v>
      </c>
      <c r="M101" s="177" t="s">
        <v>409</v>
      </c>
      <c r="N101" s="181" t="s">
        <v>410</v>
      </c>
      <c r="O101" s="394" t="s">
        <v>428</v>
      </c>
      <c r="P101" s="394"/>
      <c r="Q101" s="394">
        <v>0</v>
      </c>
      <c r="R101">
        <f t="shared" si="38"/>
        <v>93</v>
      </c>
      <c r="S101" s="20" t="s">
        <v>408</v>
      </c>
      <c r="T101" s="20"/>
      <c r="U101" t="s">
        <v>34</v>
      </c>
      <c r="V101" s="159" t="s">
        <v>34</v>
      </c>
      <c r="AB101" t="s">
        <v>34</v>
      </c>
      <c r="AH101" s="306">
        <f t="shared" ref="AH101:AH105" si="55">(K101/L101)*60</f>
        <v>5.8785107772697582</v>
      </c>
      <c r="AI101" s="306">
        <f t="shared" ref="AI101:AI105" si="56">60*AH101</f>
        <v>352.71064663618552</v>
      </c>
      <c r="AJ101" s="306">
        <f t="shared" ref="AJ101:AJ105" si="57">AH101/60</f>
        <v>9.7975179621162631E-2</v>
      </c>
    </row>
    <row r="102" spans="1:45" x14ac:dyDescent="0.35">
      <c r="A102">
        <f t="shared" si="20"/>
        <v>94</v>
      </c>
      <c r="B102" s="123" t="s">
        <v>858</v>
      </c>
      <c r="C102" s="42" t="s">
        <v>857</v>
      </c>
      <c r="D102" s="159">
        <v>2000000</v>
      </c>
      <c r="E102" s="174" t="s">
        <v>34</v>
      </c>
      <c r="F102" s="159">
        <f>D102*F$7/F$3</f>
        <v>2000</v>
      </c>
      <c r="G102" s="159">
        <f>D102*G$7/F$3</f>
        <v>20000</v>
      </c>
      <c r="H102" s="174" t="s">
        <v>34</v>
      </c>
      <c r="I102" s="58" t="s">
        <v>34</v>
      </c>
      <c r="J102" s="58" t="s">
        <v>34</v>
      </c>
      <c r="K102" s="394">
        <v>500</v>
      </c>
      <c r="L102" s="394">
        <f>L37</f>
        <v>3062</v>
      </c>
      <c r="M102" s="177" t="s">
        <v>359</v>
      </c>
      <c r="N102" s="181" t="s">
        <v>410</v>
      </c>
      <c r="O102" s="394" t="s">
        <v>355</v>
      </c>
      <c r="P102" s="394"/>
      <c r="Q102" s="394">
        <v>200</v>
      </c>
      <c r="R102">
        <f t="shared" si="38"/>
        <v>94</v>
      </c>
      <c r="S102" s="20" t="s">
        <v>393</v>
      </c>
      <c r="T102" s="20"/>
      <c r="U102" t="s">
        <v>34</v>
      </c>
      <c r="V102" s="159" t="s">
        <v>34</v>
      </c>
      <c r="AB102" t="s">
        <v>34</v>
      </c>
      <c r="AH102" s="306">
        <f t="shared" si="55"/>
        <v>9.7975179621162649</v>
      </c>
      <c r="AI102" s="306">
        <f t="shared" si="56"/>
        <v>587.85107772697586</v>
      </c>
      <c r="AJ102" s="306">
        <f t="shared" si="57"/>
        <v>0.16329196603527107</v>
      </c>
    </row>
    <row r="103" spans="1:45" x14ac:dyDescent="0.35">
      <c r="A103">
        <f t="shared" si="20"/>
        <v>95</v>
      </c>
      <c r="B103" s="123" t="s">
        <v>1310</v>
      </c>
      <c r="C103" s="458" t="s">
        <v>1306</v>
      </c>
      <c r="D103" s="159"/>
      <c r="E103" s="174" t="s">
        <v>34</v>
      </c>
      <c r="F103" s="174" t="s">
        <v>34</v>
      </c>
      <c r="G103" s="174" t="s">
        <v>34</v>
      </c>
      <c r="H103" s="174" t="s">
        <v>34</v>
      </c>
      <c r="I103" s="174" t="s">
        <v>34</v>
      </c>
      <c r="J103" s="58" t="s">
        <v>34</v>
      </c>
      <c r="K103" s="394">
        <v>1000</v>
      </c>
      <c r="L103" s="394"/>
      <c r="M103" s="177"/>
      <c r="N103" s="181"/>
      <c r="O103" s="394"/>
      <c r="P103" s="394">
        <v>0</v>
      </c>
      <c r="Q103" s="394">
        <v>0</v>
      </c>
      <c r="R103">
        <f t="shared" si="38"/>
        <v>95</v>
      </c>
      <c r="S103" s="20" t="s">
        <v>1307</v>
      </c>
      <c r="T103" s="20"/>
      <c r="V103" s="159" t="s">
        <v>34</v>
      </c>
      <c r="AB103" t="s">
        <v>34</v>
      </c>
      <c r="AH103" s="306" t="e">
        <f t="shared" ref="AH103:AH104" si="58">(K103/L103)*60</f>
        <v>#DIV/0!</v>
      </c>
      <c r="AI103" s="306" t="e">
        <f t="shared" ref="AI103:AI104" si="59">60*AH103</f>
        <v>#DIV/0!</v>
      </c>
      <c r="AJ103" s="306" t="e">
        <f t="shared" ref="AJ103:AJ104" si="60">AH103/60</f>
        <v>#DIV/0!</v>
      </c>
    </row>
    <row r="104" spans="1:45" x14ac:dyDescent="0.35">
      <c r="A104">
        <f t="shared" si="20"/>
        <v>96</v>
      </c>
      <c r="B104" s="123" t="s">
        <v>1308</v>
      </c>
      <c r="C104" s="42" t="s">
        <v>797</v>
      </c>
      <c r="D104" s="159">
        <v>41000000</v>
      </c>
      <c r="E104" s="159">
        <f>D104*E$7/F$3</f>
        <v>4100</v>
      </c>
      <c r="F104" s="159">
        <f>D104*F$7/F$3</f>
        <v>41000</v>
      </c>
      <c r="G104" s="174" t="s">
        <v>34</v>
      </c>
      <c r="H104" s="174" t="s">
        <v>34</v>
      </c>
      <c r="I104" s="174" t="s">
        <v>34</v>
      </c>
      <c r="J104" s="178" t="s">
        <v>34</v>
      </c>
      <c r="K104" s="394">
        <v>3000</v>
      </c>
      <c r="L104" s="394">
        <v>5960</v>
      </c>
      <c r="M104" s="177" t="s">
        <v>697</v>
      </c>
      <c r="N104" s="181" t="s">
        <v>1300</v>
      </c>
      <c r="O104" s="394"/>
      <c r="P104" s="394"/>
      <c r="Q104" s="394"/>
      <c r="R104">
        <f t="shared" si="38"/>
        <v>96</v>
      </c>
      <c r="S104" s="20" t="s">
        <v>1309</v>
      </c>
      <c r="T104" s="20"/>
      <c r="V104" s="159" t="s">
        <v>34</v>
      </c>
      <c r="AB104" t="s">
        <v>34</v>
      </c>
      <c r="AH104" s="306">
        <f t="shared" si="58"/>
        <v>30.201342281879199</v>
      </c>
      <c r="AI104" s="306">
        <f t="shared" si="59"/>
        <v>1812.080536912752</v>
      </c>
      <c r="AJ104" s="306">
        <f t="shared" si="60"/>
        <v>0.50335570469798663</v>
      </c>
    </row>
    <row r="105" spans="1:45" x14ac:dyDescent="0.35">
      <c r="A105">
        <f t="shared" si="20"/>
        <v>97</v>
      </c>
      <c r="B105" s="123" t="s">
        <v>547</v>
      </c>
      <c r="C105" s="42" t="s">
        <v>860</v>
      </c>
      <c r="D105" s="159">
        <v>1634250</v>
      </c>
      <c r="E105" s="159">
        <f>D105*E$7/F$3</f>
        <v>163.42500000000001</v>
      </c>
      <c r="F105" s="159">
        <f>D105*F$7/F$3</f>
        <v>1634.25</v>
      </c>
      <c r="G105" s="174" t="s">
        <v>34</v>
      </c>
      <c r="H105" s="174" t="s">
        <v>34</v>
      </c>
      <c r="I105" s="174" t="s">
        <v>34</v>
      </c>
      <c r="J105" s="178" t="s">
        <v>34</v>
      </c>
      <c r="K105" s="105">
        <v>500</v>
      </c>
      <c r="L105" s="394">
        <v>1073</v>
      </c>
      <c r="M105" s="383" t="s">
        <v>509</v>
      </c>
      <c r="N105" s="181" t="s">
        <v>508</v>
      </c>
      <c r="O105" s="394">
        <v>800</v>
      </c>
      <c r="P105" s="394"/>
      <c r="Q105" s="394">
        <v>0</v>
      </c>
      <c r="R105">
        <f t="shared" si="38"/>
        <v>97</v>
      </c>
      <c r="S105" s="20" t="s">
        <v>503</v>
      </c>
      <c r="T105" s="20"/>
      <c r="U105" t="s">
        <v>34</v>
      </c>
      <c r="V105" s="159" t="s">
        <v>34</v>
      </c>
      <c r="AB105" t="s">
        <v>34</v>
      </c>
      <c r="AH105" s="306">
        <f t="shared" si="55"/>
        <v>27.958993476234856</v>
      </c>
      <c r="AI105" s="306">
        <f t="shared" si="56"/>
        <v>1677.5396085740913</v>
      </c>
      <c r="AJ105" s="306">
        <f t="shared" si="57"/>
        <v>0.46598322460391428</v>
      </c>
    </row>
    <row r="106" spans="1:45" x14ac:dyDescent="0.35">
      <c r="A106">
        <f t="shared" si="20"/>
        <v>98</v>
      </c>
      <c r="B106" s="482" t="str">
        <f>B11</f>
        <v>R-360 UKR Neptune anti-ship cruise missile</v>
      </c>
      <c r="C106" s="483" t="str">
        <f>C11</f>
        <v>2021-</v>
      </c>
      <c r="D106" s="485" t="s">
        <v>34</v>
      </c>
      <c r="E106" s="485" t="str">
        <f t="shared" ref="E106:J106" si="61">E11</f>
        <v>-</v>
      </c>
      <c r="F106" s="485" t="str">
        <f t="shared" si="61"/>
        <v>-</v>
      </c>
      <c r="G106" s="485" t="str">
        <f t="shared" si="61"/>
        <v>-</v>
      </c>
      <c r="H106" s="485" t="str">
        <f t="shared" si="61"/>
        <v>-</v>
      </c>
      <c r="I106" s="485" t="str">
        <f t="shared" si="61"/>
        <v>-</v>
      </c>
      <c r="J106" s="486" t="str">
        <f t="shared" si="61"/>
        <v>-</v>
      </c>
      <c r="K106" s="487">
        <v>500</v>
      </c>
      <c r="L106" s="487">
        <v>1182</v>
      </c>
      <c r="M106" s="488" t="s">
        <v>557</v>
      </c>
      <c r="N106" s="489">
        <v>300</v>
      </c>
      <c r="O106" s="490" t="str">
        <f>O11</f>
        <v>&lt;100</v>
      </c>
      <c r="P106" s="490"/>
      <c r="Q106" s="490"/>
      <c r="R106">
        <f t="shared" si="38"/>
        <v>98</v>
      </c>
      <c r="S106" s="20" t="str">
        <f>S11</f>
        <v>https://en.wikipedia.org/wiki/R-360_Neptune</v>
      </c>
      <c r="T106" s="20"/>
      <c r="U106" t="s">
        <v>34</v>
      </c>
      <c r="V106" s="159" t="s">
        <v>34</v>
      </c>
      <c r="AB106" t="s">
        <v>34</v>
      </c>
      <c r="AC106" t="s">
        <v>1112</v>
      </c>
      <c r="AD106" s="4" t="s">
        <v>1102</v>
      </c>
      <c r="AE106" t="s">
        <v>1103</v>
      </c>
      <c r="AF106" s="557">
        <f>0.78*404</f>
        <v>315.12</v>
      </c>
      <c r="AG106" t="s">
        <v>1101</v>
      </c>
      <c r="AH106" s="306">
        <f>(K106/L106)*60</f>
        <v>25.380710659898476</v>
      </c>
      <c r="AI106" s="306">
        <f t="shared" ref="AI106:AI107" si="62">60*AH106</f>
        <v>1522.8426395939086</v>
      </c>
      <c r="AJ106" s="306">
        <f t="shared" ref="AJ106:AJ107" si="63">AH106/60</f>
        <v>0.42301184433164124</v>
      </c>
      <c r="AK106" t="s">
        <v>1122</v>
      </c>
      <c r="AL106" s="159">
        <f>870-(86+AO106+300)</f>
        <v>350.70050761421317</v>
      </c>
      <c r="AM106" t="s">
        <v>1105</v>
      </c>
      <c r="AN106" t="s">
        <v>1129</v>
      </c>
      <c r="AO106" s="8">
        <f>AF106*(AH106/60)</f>
        <v>133.29949238578678</v>
      </c>
      <c r="AP106" t="s">
        <v>1118</v>
      </c>
      <c r="AQ106" s="451" t="s">
        <v>1149</v>
      </c>
      <c r="AR106" s="559" t="s">
        <v>192</v>
      </c>
    </row>
    <row r="107" spans="1:45" x14ac:dyDescent="0.35">
      <c r="A107">
        <f t="shared" si="20"/>
        <v>99</v>
      </c>
      <c r="B107" s="482" t="s">
        <v>1121</v>
      </c>
      <c r="C107" s="483" t="s">
        <v>1151</v>
      </c>
      <c r="D107" s="484">
        <v>950000</v>
      </c>
      <c r="E107" s="484">
        <f t="shared" ref="E107:E114" si="64">D107*E$7/F$3</f>
        <v>95</v>
      </c>
      <c r="F107" s="484">
        <f t="shared" ref="F107:F114" si="65">D107*F$7/F$3</f>
        <v>950</v>
      </c>
      <c r="G107" s="485" t="s">
        <v>34</v>
      </c>
      <c r="H107" s="485" t="s">
        <v>34</v>
      </c>
      <c r="I107" s="485" t="s">
        <v>34</v>
      </c>
      <c r="J107" s="486" t="s">
        <v>34</v>
      </c>
      <c r="K107" s="487">
        <v>600</v>
      </c>
      <c r="L107" s="487">
        <v>908</v>
      </c>
      <c r="M107" s="488" t="s">
        <v>1120</v>
      </c>
      <c r="N107" s="489">
        <v>300</v>
      </c>
      <c r="O107" s="490" t="s">
        <v>502</v>
      </c>
      <c r="P107" s="490"/>
      <c r="Q107" s="490"/>
      <c r="R107">
        <f t="shared" si="38"/>
        <v>99</v>
      </c>
      <c r="S107" s="20" t="str">
        <f>S13</f>
        <v>https://en.wikipedia.org/wiki/Harpoon_(missile)</v>
      </c>
      <c r="T107" s="20"/>
      <c r="V107" s="159" t="s">
        <v>34</v>
      </c>
      <c r="AB107" t="s">
        <v>34</v>
      </c>
      <c r="AC107" t="s">
        <v>1112</v>
      </c>
      <c r="AD107" s="4" t="s">
        <v>1102</v>
      </c>
      <c r="AE107" t="s">
        <v>1103</v>
      </c>
      <c r="AF107" s="557">
        <f>0.78*404</f>
        <v>315.12</v>
      </c>
      <c r="AG107" t="s">
        <v>1101</v>
      </c>
      <c r="AH107" s="306">
        <f>(K107/L107)*60</f>
        <v>39.647577092511014</v>
      </c>
      <c r="AI107" s="306">
        <f t="shared" si="62"/>
        <v>2378.8546255506608</v>
      </c>
      <c r="AJ107" s="306">
        <f t="shared" si="63"/>
        <v>0.66079295154185025</v>
      </c>
      <c r="AK107" t="s">
        <v>1123</v>
      </c>
      <c r="AL107" s="159">
        <f>980-(86+AO107+300)</f>
        <v>385.77092511013211</v>
      </c>
      <c r="AM107" t="s">
        <v>1105</v>
      </c>
      <c r="AN107" t="s">
        <v>1130</v>
      </c>
      <c r="AO107" s="8">
        <f>AF107*(AH107/60)</f>
        <v>208.22907488986786</v>
      </c>
      <c r="AP107" t="s">
        <v>1118</v>
      </c>
      <c r="AQ107" s="451" t="s">
        <v>1141</v>
      </c>
      <c r="AR107" s="559"/>
    </row>
    <row r="108" spans="1:45" x14ac:dyDescent="0.35">
      <c r="A108">
        <f t="shared" si="20"/>
        <v>100</v>
      </c>
      <c r="B108" s="482" t="s">
        <v>1117</v>
      </c>
      <c r="C108" s="560" t="s">
        <v>1116</v>
      </c>
      <c r="D108" s="484">
        <v>950000</v>
      </c>
      <c r="E108" s="484">
        <f t="shared" si="64"/>
        <v>95</v>
      </c>
      <c r="F108" s="484">
        <f t="shared" si="65"/>
        <v>950</v>
      </c>
      <c r="G108" s="485" t="s">
        <v>34</v>
      </c>
      <c r="H108" s="485" t="s">
        <v>34</v>
      </c>
      <c r="I108" s="485" t="s">
        <v>34</v>
      </c>
      <c r="J108" s="486" t="s">
        <v>34</v>
      </c>
      <c r="K108" s="487">
        <v>900</v>
      </c>
      <c r="L108" s="487">
        <v>1210</v>
      </c>
      <c r="M108" s="522" t="s">
        <v>1142</v>
      </c>
      <c r="N108" s="528" t="str">
        <f>N94</f>
        <v>450/120</v>
      </c>
      <c r="O108" s="490">
        <v>0</v>
      </c>
      <c r="P108" s="490"/>
      <c r="Q108" s="490" t="s">
        <v>891</v>
      </c>
      <c r="R108">
        <f t="shared" si="38"/>
        <v>100</v>
      </c>
      <c r="S108" s="20" t="s">
        <v>170</v>
      </c>
      <c r="T108" s="20"/>
      <c r="U108" s="430" t="s">
        <v>1144</v>
      </c>
      <c r="V108" s="159" t="s">
        <v>34</v>
      </c>
      <c r="W108" s="430"/>
      <c r="X108" s="430"/>
      <c r="Y108" s="430"/>
      <c r="Z108" s="430"/>
      <c r="AA108" s="430"/>
      <c r="AB108" t="s">
        <v>34</v>
      </c>
      <c r="AC108" s="430" t="s">
        <v>1100</v>
      </c>
      <c r="AD108" s="4" t="s">
        <v>1099</v>
      </c>
      <c r="AE108" t="s">
        <v>1143</v>
      </c>
      <c r="AF108" s="557">
        <f>0.683*635</f>
        <v>433.70500000000004</v>
      </c>
      <c r="AG108" t="s">
        <v>1101</v>
      </c>
      <c r="AH108" s="306">
        <f>(K108/L108)*60</f>
        <v>44.628099173553714</v>
      </c>
      <c r="AI108" s="306">
        <f t="shared" ref="AI108:AI114" si="66">60*AH108</f>
        <v>2677.6859504132231</v>
      </c>
      <c r="AJ108" s="306">
        <f t="shared" ref="AJ108:AJ114" si="67">AH108/60</f>
        <v>0.74380165289256195</v>
      </c>
      <c r="AK108" t="s">
        <v>1148</v>
      </c>
      <c r="AL108" s="159">
        <f>1200-(30+AO108+450)</f>
        <v>397.4095041322314</v>
      </c>
      <c r="AM108" t="s">
        <v>1105</v>
      </c>
      <c r="AN108" t="s">
        <v>1119</v>
      </c>
      <c r="AO108" s="8">
        <f>AF108*(AH108/60)</f>
        <v>322.5904958677686</v>
      </c>
      <c r="AP108" t="s">
        <v>1118</v>
      </c>
      <c r="AQ108" s="451" t="s">
        <v>1145</v>
      </c>
      <c r="AR108" s="559" t="s">
        <v>1147</v>
      </c>
    </row>
    <row r="109" spans="1:45" x14ac:dyDescent="0.35">
      <c r="A109">
        <f t="shared" si="20"/>
        <v>101</v>
      </c>
      <c r="B109" s="482" t="s">
        <v>902</v>
      </c>
      <c r="C109" s="526" t="s">
        <v>897</v>
      </c>
      <c r="D109" s="485">
        <v>3000000</v>
      </c>
      <c r="E109" s="484">
        <f t="shared" si="64"/>
        <v>300</v>
      </c>
      <c r="F109" s="484">
        <f t="shared" si="65"/>
        <v>3000</v>
      </c>
      <c r="G109" s="485" t="s">
        <v>34</v>
      </c>
      <c r="H109" s="485" t="s">
        <v>34</v>
      </c>
      <c r="I109" s="485" t="s">
        <v>34</v>
      </c>
      <c r="J109" s="486" t="s">
        <v>34</v>
      </c>
      <c r="K109" s="487">
        <v>500</v>
      </c>
      <c r="L109" s="487">
        <v>7200</v>
      </c>
      <c r="M109" s="522" t="s">
        <v>1098</v>
      </c>
      <c r="N109" s="489">
        <v>500</v>
      </c>
      <c r="O109" s="490" t="s">
        <v>898</v>
      </c>
      <c r="P109" s="490" t="s">
        <v>898</v>
      </c>
      <c r="Q109" s="490" t="s">
        <v>34</v>
      </c>
      <c r="R109">
        <f t="shared" si="38"/>
        <v>101</v>
      </c>
      <c r="S109" s="20" t="s">
        <v>899</v>
      </c>
      <c r="T109" s="20"/>
      <c r="U109" s="4"/>
      <c r="V109" s="159" t="s">
        <v>34</v>
      </c>
      <c r="W109" s="397"/>
      <c r="X109" s="397"/>
      <c r="Y109" s="397"/>
      <c r="Z109" s="397"/>
      <c r="AA109" s="397"/>
      <c r="AB109" t="s">
        <v>34</v>
      </c>
      <c r="AC109" s="471"/>
      <c r="AH109" s="306">
        <f>(K109/L109)*60</f>
        <v>4.166666666666667</v>
      </c>
      <c r="AI109" s="306">
        <f t="shared" ref="AI109" si="68">60*AH109</f>
        <v>250.00000000000003</v>
      </c>
      <c r="AJ109" s="306">
        <f t="shared" ref="AJ109" si="69">AH109/60</f>
        <v>6.9444444444444448E-2</v>
      </c>
    </row>
    <row r="110" spans="1:45" x14ac:dyDescent="0.35">
      <c r="A110">
        <f t="shared" si="20"/>
        <v>102</v>
      </c>
      <c r="B110" s="493" t="s">
        <v>1096</v>
      </c>
      <c r="C110" s="494" t="s">
        <v>862</v>
      </c>
      <c r="D110" s="495">
        <v>3000000</v>
      </c>
      <c r="E110" s="495">
        <f t="shared" si="64"/>
        <v>300</v>
      </c>
      <c r="F110" s="495">
        <f t="shared" si="65"/>
        <v>3000</v>
      </c>
      <c r="G110" s="496" t="s">
        <v>34</v>
      </c>
      <c r="H110" s="496" t="s">
        <v>34</v>
      </c>
      <c r="I110" s="496" t="s">
        <v>34</v>
      </c>
      <c r="J110" s="497" t="s">
        <v>34</v>
      </c>
      <c r="K110" s="498">
        <v>500</v>
      </c>
      <c r="L110" s="501">
        <v>7200</v>
      </c>
      <c r="M110" s="521" t="s">
        <v>1098</v>
      </c>
      <c r="N110" s="507" t="s">
        <v>545</v>
      </c>
      <c r="O110" s="501" t="s">
        <v>573</v>
      </c>
      <c r="P110" s="501"/>
      <c r="Q110" s="469">
        <v>1000</v>
      </c>
      <c r="R110">
        <f t="shared" si="38"/>
        <v>102</v>
      </c>
      <c r="S110" s="20" t="s">
        <v>543</v>
      </c>
      <c r="T110" s="20"/>
      <c r="U110" t="s">
        <v>892</v>
      </c>
      <c r="V110" s="159" t="s">
        <v>34</v>
      </c>
      <c r="AB110" t="s">
        <v>34</v>
      </c>
      <c r="AH110" s="306">
        <f t="shared" ref="AH110:AH114" si="70">(K110/L110)*60</f>
        <v>4.166666666666667</v>
      </c>
      <c r="AI110" s="306">
        <f t="shared" si="66"/>
        <v>250.00000000000003</v>
      </c>
      <c r="AJ110" s="306">
        <f t="shared" si="67"/>
        <v>6.9444444444444448E-2</v>
      </c>
    </row>
    <row r="111" spans="1:45" x14ac:dyDescent="0.35">
      <c r="A111">
        <f t="shared" si="20"/>
        <v>103</v>
      </c>
      <c r="B111" s="493" t="s">
        <v>576</v>
      </c>
      <c r="C111" s="494" t="s">
        <v>863</v>
      </c>
      <c r="D111" s="495">
        <v>1250000</v>
      </c>
      <c r="E111" s="495">
        <f t="shared" si="64"/>
        <v>125</v>
      </c>
      <c r="F111" s="495">
        <f t="shared" si="65"/>
        <v>1250</v>
      </c>
      <c r="G111" s="496" t="s">
        <v>34</v>
      </c>
      <c r="H111" s="496" t="s">
        <v>34</v>
      </c>
      <c r="I111" s="496" t="s">
        <v>34</v>
      </c>
      <c r="J111" s="497" t="s">
        <v>34</v>
      </c>
      <c r="K111" s="498">
        <v>600</v>
      </c>
      <c r="L111" s="501">
        <v>3180</v>
      </c>
      <c r="M111" s="521" t="s">
        <v>578</v>
      </c>
      <c r="N111" s="507" t="s">
        <v>577</v>
      </c>
      <c r="O111" s="501">
        <v>470</v>
      </c>
      <c r="P111" s="501"/>
      <c r="Q111" s="469"/>
      <c r="R111">
        <f t="shared" si="38"/>
        <v>103</v>
      </c>
      <c r="S111" s="20" t="s">
        <v>579</v>
      </c>
      <c r="T111" s="20"/>
      <c r="U111" t="s">
        <v>34</v>
      </c>
      <c r="V111" s="159" t="s">
        <v>34</v>
      </c>
      <c r="AB111" t="s">
        <v>34</v>
      </c>
      <c r="AH111" s="306">
        <f t="shared" si="70"/>
        <v>11.320754716981133</v>
      </c>
      <c r="AI111" s="306">
        <f t="shared" si="66"/>
        <v>679.24528301886801</v>
      </c>
      <c r="AJ111" s="306">
        <f t="shared" si="67"/>
        <v>0.18867924528301888</v>
      </c>
    </row>
    <row r="112" spans="1:45" x14ac:dyDescent="0.35">
      <c r="A112">
        <f t="shared" si="20"/>
        <v>104</v>
      </c>
      <c r="B112" s="493" t="s">
        <v>1071</v>
      </c>
      <c r="C112" s="494" t="s">
        <v>864</v>
      </c>
      <c r="D112" s="495">
        <v>13000000</v>
      </c>
      <c r="E112" s="495">
        <f t="shared" si="64"/>
        <v>1300</v>
      </c>
      <c r="F112" s="495">
        <f t="shared" si="65"/>
        <v>13000</v>
      </c>
      <c r="G112" s="496" t="s">
        <v>34</v>
      </c>
      <c r="H112" s="496" t="s">
        <v>34</v>
      </c>
      <c r="I112" s="496" t="s">
        <v>34</v>
      </c>
      <c r="J112" s="497" t="s">
        <v>34</v>
      </c>
      <c r="K112" s="498">
        <v>3000</v>
      </c>
      <c r="L112" s="501">
        <v>970</v>
      </c>
      <c r="M112" s="521" t="s">
        <v>555</v>
      </c>
      <c r="N112" s="507" t="s">
        <v>548</v>
      </c>
      <c r="O112" s="501" t="s">
        <v>367</v>
      </c>
      <c r="P112" s="501"/>
      <c r="Q112" s="469"/>
      <c r="R112">
        <f t="shared" si="38"/>
        <v>104</v>
      </c>
      <c r="S112" s="20" t="s">
        <v>551</v>
      </c>
      <c r="T112" s="20"/>
      <c r="U112" t="s">
        <v>34</v>
      </c>
      <c r="V112" s="159" t="s">
        <v>34</v>
      </c>
      <c r="AB112" t="s">
        <v>34</v>
      </c>
      <c r="AH112" s="306">
        <f t="shared" si="70"/>
        <v>185.56701030927834</v>
      </c>
      <c r="AI112" s="306">
        <f t="shared" si="66"/>
        <v>11134.0206185567</v>
      </c>
      <c r="AJ112" s="306">
        <f t="shared" si="67"/>
        <v>3.0927835051546393</v>
      </c>
    </row>
    <row r="113" spans="1:36" x14ac:dyDescent="0.35">
      <c r="A113">
        <f t="shared" si="20"/>
        <v>105</v>
      </c>
      <c r="B113" s="493" t="s">
        <v>769</v>
      </c>
      <c r="C113" s="494" t="s">
        <v>780</v>
      </c>
      <c r="D113" s="495">
        <v>980000</v>
      </c>
      <c r="E113" s="495">
        <f t="shared" si="64"/>
        <v>98</v>
      </c>
      <c r="F113" s="495">
        <f t="shared" si="65"/>
        <v>980</v>
      </c>
      <c r="G113" s="496"/>
      <c r="H113" s="496"/>
      <c r="I113" s="496"/>
      <c r="J113" s="497"/>
      <c r="K113" s="498">
        <v>2000</v>
      </c>
      <c r="L113" s="501">
        <v>3704</v>
      </c>
      <c r="M113" s="521" t="s">
        <v>582</v>
      </c>
      <c r="N113" s="507" t="s">
        <v>537</v>
      </c>
      <c r="O113" s="501" t="s">
        <v>581</v>
      </c>
      <c r="P113" s="501"/>
      <c r="Q113" s="469"/>
      <c r="R113">
        <f t="shared" si="38"/>
        <v>105</v>
      </c>
      <c r="S113" s="20" t="s">
        <v>580</v>
      </c>
      <c r="T113" s="20"/>
      <c r="U113" t="s">
        <v>34</v>
      </c>
      <c r="V113" s="159" t="s">
        <v>34</v>
      </c>
      <c r="AB113" t="s">
        <v>34</v>
      </c>
      <c r="AH113" s="306">
        <f t="shared" si="70"/>
        <v>32.39740820734341</v>
      </c>
      <c r="AI113" s="306">
        <f t="shared" si="66"/>
        <v>1943.8444924406047</v>
      </c>
      <c r="AJ113" s="306">
        <f t="shared" si="67"/>
        <v>0.5399568034557235</v>
      </c>
    </row>
    <row r="114" spans="1:36" x14ac:dyDescent="0.35">
      <c r="A114">
        <f t="shared" si="20"/>
        <v>106</v>
      </c>
      <c r="B114" s="493" t="s">
        <v>770</v>
      </c>
      <c r="C114" s="494" t="s">
        <v>865</v>
      </c>
      <c r="D114" s="495">
        <v>10000000</v>
      </c>
      <c r="E114" s="495">
        <f t="shared" si="64"/>
        <v>1000</v>
      </c>
      <c r="F114" s="495">
        <f t="shared" si="65"/>
        <v>10000</v>
      </c>
      <c r="G114" s="496" t="s">
        <v>34</v>
      </c>
      <c r="H114" s="496" t="s">
        <v>34</v>
      </c>
      <c r="I114" s="496" t="s">
        <v>34</v>
      </c>
      <c r="J114" s="497" t="s">
        <v>34</v>
      </c>
      <c r="K114" s="498">
        <v>2000</v>
      </c>
      <c r="L114" s="501">
        <v>12240</v>
      </c>
      <c r="M114" s="521" t="s">
        <v>359</v>
      </c>
      <c r="N114" s="507" t="s">
        <v>537</v>
      </c>
      <c r="O114" s="501" t="s">
        <v>424</v>
      </c>
      <c r="P114" s="501"/>
      <c r="Q114" s="469"/>
      <c r="R114">
        <f t="shared" si="38"/>
        <v>106</v>
      </c>
      <c r="S114" s="20" t="s">
        <v>570</v>
      </c>
      <c r="T114" s="20"/>
      <c r="U114" t="s">
        <v>34</v>
      </c>
      <c r="V114" s="159" t="s">
        <v>34</v>
      </c>
      <c r="AB114" t="s">
        <v>34</v>
      </c>
      <c r="AH114" s="306">
        <f t="shared" si="70"/>
        <v>9.8039215686274517</v>
      </c>
      <c r="AI114" s="306">
        <f t="shared" si="66"/>
        <v>588.23529411764707</v>
      </c>
      <c r="AJ114" s="306">
        <f t="shared" si="67"/>
        <v>0.16339869281045752</v>
      </c>
    </row>
    <row r="115" spans="1:36" x14ac:dyDescent="0.35">
      <c r="A115">
        <f t="shared" si="20"/>
        <v>107</v>
      </c>
      <c r="B115" s="123"/>
      <c r="C115" s="42"/>
      <c r="D115" s="159"/>
      <c r="E115" s="159"/>
      <c r="F115" s="159"/>
      <c r="G115" s="174"/>
      <c r="H115" s="174"/>
      <c r="I115" s="174"/>
      <c r="J115" s="178"/>
      <c r="K115" s="105"/>
      <c r="L115" s="394"/>
      <c r="M115" s="383"/>
      <c r="N115" s="181"/>
      <c r="O115" s="394"/>
      <c r="P115" s="394"/>
      <c r="Q115" s="394"/>
      <c r="R115">
        <f t="shared" si="38"/>
        <v>107</v>
      </c>
      <c r="U115" t="s">
        <v>34</v>
      </c>
      <c r="V115" s="159" t="s">
        <v>34</v>
      </c>
      <c r="AB115" t="s">
        <v>34</v>
      </c>
      <c r="AH115" s="306"/>
      <c r="AI115" s="306"/>
      <c r="AJ115" s="306"/>
    </row>
    <row r="116" spans="1:36" x14ac:dyDescent="0.35">
      <c r="A116">
        <f t="shared" si="20"/>
        <v>108</v>
      </c>
      <c r="B116" s="123"/>
      <c r="C116" s="42"/>
      <c r="D116" s="159"/>
      <c r="E116" s="159"/>
      <c r="F116" s="159"/>
      <c r="G116" s="174"/>
      <c r="H116" s="174"/>
      <c r="I116" s="174"/>
      <c r="J116" s="178"/>
      <c r="K116" s="105"/>
      <c r="L116" s="394"/>
      <c r="M116" s="383"/>
      <c r="N116" s="181"/>
      <c r="O116" s="394"/>
      <c r="P116" s="394"/>
      <c r="Q116" s="394"/>
      <c r="R116">
        <f t="shared" si="38"/>
        <v>108</v>
      </c>
      <c r="U116" t="s">
        <v>34</v>
      </c>
      <c r="V116" s="159" t="s">
        <v>34</v>
      </c>
      <c r="AB116" t="s">
        <v>34</v>
      </c>
    </row>
    <row r="117" spans="1:36" x14ac:dyDescent="0.35">
      <c r="A117">
        <f t="shared" si="20"/>
        <v>109</v>
      </c>
      <c r="B117" s="191" t="s">
        <v>1252</v>
      </c>
      <c r="C117" s="467"/>
      <c r="D117" s="185"/>
      <c r="E117" s="185"/>
      <c r="F117" s="185"/>
      <c r="G117" s="184"/>
      <c r="H117" s="184"/>
      <c r="I117" s="184"/>
      <c r="J117" s="417"/>
      <c r="K117" s="393"/>
      <c r="L117" s="395"/>
      <c r="M117" s="390"/>
      <c r="N117" s="192"/>
      <c r="O117" s="395"/>
      <c r="P117" s="395"/>
      <c r="Q117" s="395"/>
      <c r="R117">
        <f t="shared" si="38"/>
        <v>109</v>
      </c>
      <c r="S117" s="159"/>
      <c r="T117" s="159"/>
      <c r="U117" t="s">
        <v>34</v>
      </c>
      <c r="V117" s="159" t="s">
        <v>34</v>
      </c>
      <c r="AB117" t="s">
        <v>34</v>
      </c>
    </row>
    <row r="118" spans="1:36" x14ac:dyDescent="0.35">
      <c r="A118">
        <f t="shared" si="20"/>
        <v>110</v>
      </c>
      <c r="B118" s="123" t="s">
        <v>436</v>
      </c>
      <c r="C118" s="42" t="s">
        <v>864</v>
      </c>
      <c r="D118" s="159">
        <v>1000000000</v>
      </c>
      <c r="E118" s="159">
        <f t="shared" ref="E118:E126" si="71">D118*E$7/F$3</f>
        <v>100000</v>
      </c>
      <c r="F118" s="174" t="s">
        <v>34</v>
      </c>
      <c r="G118" s="174" t="s">
        <v>34</v>
      </c>
      <c r="H118" s="174" t="s">
        <v>34</v>
      </c>
      <c r="I118" s="174" t="s">
        <v>34</v>
      </c>
      <c r="J118" s="178" t="s">
        <v>34</v>
      </c>
      <c r="K118" s="177" t="s">
        <v>34</v>
      </c>
      <c r="L118" s="177" t="s">
        <v>34</v>
      </c>
      <c r="M118" s="177" t="s">
        <v>34</v>
      </c>
      <c r="N118" s="177" t="s">
        <v>34</v>
      </c>
      <c r="O118" s="394" t="s">
        <v>434</v>
      </c>
      <c r="P118" s="394"/>
      <c r="Q118" s="394"/>
      <c r="R118">
        <f t="shared" si="38"/>
        <v>110</v>
      </c>
      <c r="S118" s="42" t="s">
        <v>942</v>
      </c>
      <c r="T118" s="42"/>
      <c r="U118" t="s">
        <v>34</v>
      </c>
      <c r="V118" s="159" t="s">
        <v>34</v>
      </c>
      <c r="AB118" t="s">
        <v>34</v>
      </c>
    </row>
    <row r="119" spans="1:36" x14ac:dyDescent="0.35">
      <c r="A119">
        <f>A118+1</f>
        <v>111</v>
      </c>
      <c r="B119" s="123" t="s">
        <v>1303</v>
      </c>
      <c r="C119" s="42" t="s">
        <v>943</v>
      </c>
      <c r="D119" s="159">
        <v>4000000</v>
      </c>
      <c r="E119" s="159">
        <f t="shared" si="71"/>
        <v>400</v>
      </c>
      <c r="F119" s="159">
        <f>D119*F$7/F$3</f>
        <v>4000</v>
      </c>
      <c r="G119" s="159">
        <f>D119*G$7/F$3</f>
        <v>40000</v>
      </c>
      <c r="H119" s="174" t="s">
        <v>34</v>
      </c>
      <c r="I119" s="174" t="s">
        <v>34</v>
      </c>
      <c r="J119" s="178" t="s">
        <v>34</v>
      </c>
      <c r="K119" s="105">
        <v>120</v>
      </c>
      <c r="L119" s="394">
        <v>4000</v>
      </c>
      <c r="M119" s="383" t="s">
        <v>993</v>
      </c>
      <c r="N119" s="181" t="s">
        <v>1076</v>
      </c>
      <c r="O119" s="556" t="s">
        <v>373</v>
      </c>
      <c r="P119" s="394"/>
      <c r="Q119" s="394"/>
      <c r="R119">
        <f t="shared" si="38"/>
        <v>111</v>
      </c>
      <c r="S119" s="97" t="s">
        <v>438</v>
      </c>
      <c r="T119" s="97"/>
      <c r="U119" t="s">
        <v>34</v>
      </c>
      <c r="V119" s="159" t="s">
        <v>34</v>
      </c>
      <c r="AB119" t="s">
        <v>34</v>
      </c>
      <c r="AH119" s="306">
        <f t="shared" ref="AH119:AH133" si="72">(K119/L119)*60</f>
        <v>1.7999999999999998</v>
      </c>
      <c r="AI119" s="306">
        <f t="shared" ref="AI119:AI133" si="73">60*AH119</f>
        <v>107.99999999999999</v>
      </c>
      <c r="AJ119" s="306">
        <f t="shared" ref="AJ119:AJ133" si="74">AH119/60</f>
        <v>2.9999999999999995E-2</v>
      </c>
    </row>
    <row r="120" spans="1:36" x14ac:dyDescent="0.35">
      <c r="A120">
        <f t="shared" ref="A120:A126" si="75">A119+1</f>
        <v>112</v>
      </c>
      <c r="B120" s="123" t="s">
        <v>1304</v>
      </c>
      <c r="C120" s="42" t="s">
        <v>1078</v>
      </c>
      <c r="D120" s="159">
        <v>3000000</v>
      </c>
      <c r="E120" s="159">
        <f t="shared" si="71"/>
        <v>300</v>
      </c>
      <c r="F120" s="159">
        <f>D120*F$7/F$3</f>
        <v>3000</v>
      </c>
      <c r="G120" s="159">
        <f>D120*G$7/F$3</f>
        <v>30000</v>
      </c>
      <c r="H120" s="174" t="s">
        <v>34</v>
      </c>
      <c r="I120" s="174" t="s">
        <v>34</v>
      </c>
      <c r="J120" s="178" t="s">
        <v>34</v>
      </c>
      <c r="K120" s="105">
        <v>160</v>
      </c>
      <c r="L120" s="394">
        <v>4284</v>
      </c>
      <c r="M120" s="383" t="s">
        <v>1075</v>
      </c>
      <c r="N120" s="181" t="s">
        <v>1077</v>
      </c>
      <c r="O120" s="556"/>
      <c r="P120" s="394"/>
      <c r="Q120" s="394"/>
      <c r="R120">
        <f t="shared" si="38"/>
        <v>112</v>
      </c>
      <c r="S120" s="97" t="s">
        <v>438</v>
      </c>
      <c r="T120" s="97"/>
      <c r="V120" s="159" t="s">
        <v>34</v>
      </c>
      <c r="AB120" t="s">
        <v>34</v>
      </c>
      <c r="AH120" s="306">
        <f t="shared" si="72"/>
        <v>2.2408963585434174</v>
      </c>
      <c r="AI120" s="306">
        <f t="shared" si="73"/>
        <v>134.45378151260505</v>
      </c>
      <c r="AJ120" s="306">
        <f t="shared" si="74"/>
        <v>3.7348272642390289E-2</v>
      </c>
    </row>
    <row r="121" spans="1:36" x14ac:dyDescent="0.35">
      <c r="A121">
        <f t="shared" si="75"/>
        <v>113</v>
      </c>
      <c r="B121" s="123" t="s">
        <v>1302</v>
      </c>
      <c r="C121" s="42" t="s">
        <v>798</v>
      </c>
      <c r="D121" s="159">
        <v>2000000</v>
      </c>
      <c r="E121" s="159">
        <f t="shared" ref="E121" si="76">D121*E$7/F$3</f>
        <v>200</v>
      </c>
      <c r="F121" s="159">
        <f>D121*F$7/F$3</f>
        <v>2000</v>
      </c>
      <c r="G121" s="159">
        <f>D121*G$7/F$3</f>
        <v>20000</v>
      </c>
      <c r="H121" s="174" t="s">
        <v>34</v>
      </c>
      <c r="I121" s="174" t="s">
        <v>34</v>
      </c>
      <c r="J121" s="178" t="s">
        <v>34</v>
      </c>
      <c r="K121" s="105">
        <v>180</v>
      </c>
      <c r="L121" s="394">
        <v>6793</v>
      </c>
      <c r="M121" s="383" t="s">
        <v>1301</v>
      </c>
      <c r="N121" s="181" t="s">
        <v>1300</v>
      </c>
      <c r="O121" s="556"/>
      <c r="P121" s="394"/>
      <c r="Q121" s="394"/>
      <c r="R121">
        <f t="shared" si="38"/>
        <v>113</v>
      </c>
      <c r="S121" s="97"/>
      <c r="T121" s="97"/>
      <c r="V121" s="159" t="s">
        <v>34</v>
      </c>
      <c r="AB121" t="s">
        <v>34</v>
      </c>
      <c r="AH121" s="306">
        <f t="shared" ref="AH121" si="77">(K121/L121)*60</f>
        <v>1.5898719269836596</v>
      </c>
      <c r="AI121" s="306">
        <f t="shared" ref="AI121" si="78">60*AH121</f>
        <v>95.392315619019584</v>
      </c>
      <c r="AJ121" s="306">
        <f t="shared" ref="AJ121" si="79">AH121/60</f>
        <v>2.649786544972766E-2</v>
      </c>
    </row>
    <row r="122" spans="1:36" x14ac:dyDescent="0.35">
      <c r="A122">
        <f t="shared" si="75"/>
        <v>114</v>
      </c>
      <c r="B122" s="582" t="s">
        <v>1362</v>
      </c>
      <c r="C122" s="583" t="s">
        <v>1200</v>
      </c>
      <c r="D122" s="584">
        <v>4870000</v>
      </c>
      <c r="E122" s="584">
        <f>D122*E$7/F$3</f>
        <v>487</v>
      </c>
      <c r="F122" s="584">
        <f>D122*F$7/F$3</f>
        <v>4870</v>
      </c>
      <c r="G122" s="584">
        <f t="shared" ref="G122" si="80">D122*G$7/F$3</f>
        <v>48700</v>
      </c>
      <c r="H122" s="585" t="s">
        <v>34</v>
      </c>
      <c r="I122" s="585" t="s">
        <v>34</v>
      </c>
      <c r="J122" s="586" t="s">
        <v>34</v>
      </c>
      <c r="K122" s="587">
        <v>370</v>
      </c>
      <c r="L122" s="588">
        <v>4287</v>
      </c>
      <c r="M122" s="589" t="s">
        <v>1386</v>
      </c>
      <c r="N122" s="590" t="s">
        <v>1202</v>
      </c>
      <c r="O122" s="588" t="s">
        <v>367</v>
      </c>
      <c r="P122" s="588"/>
      <c r="Q122" s="588">
        <v>180</v>
      </c>
      <c r="R122" s="601">
        <f t="shared" si="38"/>
        <v>114</v>
      </c>
      <c r="S122" s="34" t="s">
        <v>1201</v>
      </c>
      <c r="T122" s="34"/>
      <c r="U122" s="601" t="s">
        <v>1203</v>
      </c>
      <c r="V122" s="584">
        <f>1200+300</f>
        <v>1500</v>
      </c>
      <c r="W122" s="601" t="s">
        <v>1367</v>
      </c>
      <c r="X122" s="601" t="s">
        <v>1364</v>
      </c>
      <c r="Y122" s="601" t="s">
        <v>1365</v>
      </c>
      <c r="Z122" s="601" t="s">
        <v>1363</v>
      </c>
      <c r="AA122" s="601" t="s">
        <v>1366</v>
      </c>
      <c r="AB122" t="s">
        <v>34</v>
      </c>
      <c r="AC122" t="s">
        <v>1230</v>
      </c>
      <c r="AH122" s="306">
        <f>(K122/L122)*60</f>
        <v>5.1784464660601826</v>
      </c>
      <c r="AI122" s="306">
        <f>60*AH122</f>
        <v>310.70678796361096</v>
      </c>
      <c r="AJ122" s="306">
        <f>AH122/60</f>
        <v>8.6307441101003038E-2</v>
      </c>
    </row>
    <row r="123" spans="1:36" x14ac:dyDescent="0.35">
      <c r="A123">
        <f t="shared" si="75"/>
        <v>115</v>
      </c>
      <c r="B123" s="123" t="s">
        <v>945</v>
      </c>
      <c r="C123" s="42" t="s">
        <v>944</v>
      </c>
      <c r="D123" s="159">
        <v>285000000</v>
      </c>
      <c r="E123" s="159">
        <f t="shared" si="71"/>
        <v>28500</v>
      </c>
      <c r="F123" s="174" t="s">
        <v>34</v>
      </c>
      <c r="G123" s="174" t="s">
        <v>34</v>
      </c>
      <c r="H123" s="174" t="s">
        <v>34</v>
      </c>
      <c r="I123" s="174" t="s">
        <v>34</v>
      </c>
      <c r="J123" s="178" t="s">
        <v>34</v>
      </c>
      <c r="K123" s="177" t="s">
        <v>34</v>
      </c>
      <c r="L123" s="177" t="s">
        <v>34</v>
      </c>
      <c r="M123" s="177" t="s">
        <v>34</v>
      </c>
      <c r="N123" s="177" t="s">
        <v>34</v>
      </c>
      <c r="O123" s="394" t="s">
        <v>424</v>
      </c>
      <c r="P123" s="394"/>
      <c r="Q123" s="394"/>
      <c r="R123">
        <f t="shared" si="38"/>
        <v>115</v>
      </c>
      <c r="S123" s="570" t="s">
        <v>440</v>
      </c>
      <c r="T123" s="570"/>
      <c r="U123" t="s">
        <v>34</v>
      </c>
      <c r="V123" s="159" t="s">
        <v>34</v>
      </c>
      <c r="AB123" t="s">
        <v>34</v>
      </c>
      <c r="AH123" s="306"/>
      <c r="AI123" s="306"/>
      <c r="AJ123" s="306"/>
    </row>
    <row r="124" spans="1:36" x14ac:dyDescent="0.35">
      <c r="A124">
        <f t="shared" si="75"/>
        <v>116</v>
      </c>
      <c r="B124" s="123" t="s">
        <v>484</v>
      </c>
      <c r="C124" s="42" t="s">
        <v>944</v>
      </c>
      <c r="D124" s="159">
        <v>1200000</v>
      </c>
      <c r="E124" s="159">
        <f t="shared" si="71"/>
        <v>120</v>
      </c>
      <c r="F124" s="159">
        <f>D124*F$7/F$3</f>
        <v>1200</v>
      </c>
      <c r="G124" s="159">
        <f>D124*G$7/F$3</f>
        <v>12000</v>
      </c>
      <c r="H124" s="174" t="s">
        <v>34</v>
      </c>
      <c r="I124" s="174" t="s">
        <v>34</v>
      </c>
      <c r="J124" s="178" t="s">
        <v>34</v>
      </c>
      <c r="K124" s="394" t="s">
        <v>441</v>
      </c>
      <c r="L124" s="394"/>
      <c r="M124" s="383"/>
      <c r="N124" s="181"/>
      <c r="O124" s="394" t="s">
        <v>444</v>
      </c>
      <c r="P124" s="394"/>
      <c r="Q124" s="394"/>
      <c r="R124">
        <f t="shared" si="38"/>
        <v>116</v>
      </c>
      <c r="S124" s="570" t="s">
        <v>440</v>
      </c>
      <c r="T124" s="570"/>
      <c r="U124" t="s">
        <v>34</v>
      </c>
      <c r="V124" s="159" t="s">
        <v>34</v>
      </c>
      <c r="AB124" t="s">
        <v>34</v>
      </c>
      <c r="AH124" s="306"/>
      <c r="AI124" s="306"/>
      <c r="AJ124" s="306"/>
    </row>
    <row r="125" spans="1:36" x14ac:dyDescent="0.35">
      <c r="A125">
        <f t="shared" si="75"/>
        <v>117</v>
      </c>
      <c r="B125" s="123" t="s">
        <v>946</v>
      </c>
      <c r="C125" s="42" t="s">
        <v>803</v>
      </c>
      <c r="D125" s="159">
        <v>136000000</v>
      </c>
      <c r="E125" s="159">
        <f t="shared" si="71"/>
        <v>13600</v>
      </c>
      <c r="F125" s="174" t="s">
        <v>34</v>
      </c>
      <c r="G125" s="174" t="s">
        <v>34</v>
      </c>
      <c r="H125" s="174" t="s">
        <v>34</v>
      </c>
      <c r="I125" s="174" t="s">
        <v>34</v>
      </c>
      <c r="J125" s="178" t="s">
        <v>34</v>
      </c>
      <c r="K125" s="177" t="s">
        <v>34</v>
      </c>
      <c r="L125" s="177" t="s">
        <v>34</v>
      </c>
      <c r="M125" s="177" t="s">
        <v>34</v>
      </c>
      <c r="N125" s="177" t="s">
        <v>34</v>
      </c>
      <c r="O125" s="394" t="s">
        <v>355</v>
      </c>
      <c r="P125" s="394"/>
      <c r="Q125" s="394"/>
      <c r="R125">
        <f t="shared" si="38"/>
        <v>117</v>
      </c>
      <c r="S125" s="397" t="s">
        <v>947</v>
      </c>
      <c r="T125" s="397"/>
      <c r="U125" t="s">
        <v>34</v>
      </c>
      <c r="V125" s="159" t="s">
        <v>34</v>
      </c>
      <c r="AB125" t="s">
        <v>34</v>
      </c>
      <c r="AH125" s="306"/>
      <c r="AI125" s="306"/>
      <c r="AJ125" s="306"/>
    </row>
    <row r="126" spans="1:36" x14ac:dyDescent="0.35">
      <c r="A126">
        <f t="shared" si="75"/>
        <v>118</v>
      </c>
      <c r="B126" s="123" t="s">
        <v>948</v>
      </c>
      <c r="C126" s="42" t="s">
        <v>803</v>
      </c>
      <c r="D126" s="159">
        <v>600000</v>
      </c>
      <c r="E126" s="159">
        <f t="shared" si="71"/>
        <v>60</v>
      </c>
      <c r="F126" s="159">
        <f>D126*F$7/F$3</f>
        <v>600</v>
      </c>
      <c r="G126" s="159">
        <f>D126*G$7/F$3</f>
        <v>6000</v>
      </c>
      <c r="H126" s="174" t="s">
        <v>34</v>
      </c>
      <c r="I126" s="174" t="s">
        <v>34</v>
      </c>
      <c r="J126" s="178" t="s">
        <v>34</v>
      </c>
      <c r="K126" s="177">
        <v>80</v>
      </c>
      <c r="L126" s="177">
        <v>2000</v>
      </c>
      <c r="M126" s="177" t="s">
        <v>949</v>
      </c>
      <c r="N126" s="177">
        <v>11.4</v>
      </c>
      <c r="O126" s="394" t="s">
        <v>372</v>
      </c>
      <c r="P126" s="394"/>
      <c r="Q126" s="394"/>
      <c r="R126">
        <f t="shared" si="38"/>
        <v>118</v>
      </c>
      <c r="S126" s="397" t="s">
        <v>947</v>
      </c>
      <c r="T126" s="397"/>
      <c r="U126" t="s">
        <v>34</v>
      </c>
      <c r="V126" s="159" t="s">
        <v>34</v>
      </c>
      <c r="AB126" t="s">
        <v>34</v>
      </c>
      <c r="AH126" s="306">
        <f t="shared" si="72"/>
        <v>2.4</v>
      </c>
      <c r="AI126" s="306">
        <f t="shared" si="73"/>
        <v>144</v>
      </c>
      <c r="AJ126" s="306">
        <f t="shared" si="74"/>
        <v>0.04</v>
      </c>
    </row>
    <row r="127" spans="1:36" x14ac:dyDescent="0.35">
      <c r="A127">
        <f t="shared" ref="A127:A142" si="81">A126+1</f>
        <v>119</v>
      </c>
      <c r="B127" s="123" t="s">
        <v>447</v>
      </c>
      <c r="C127" s="42" t="s">
        <v>950</v>
      </c>
      <c r="D127" s="174" t="s">
        <v>34</v>
      </c>
      <c r="E127" s="174" t="s">
        <v>34</v>
      </c>
      <c r="F127" s="174" t="s">
        <v>34</v>
      </c>
      <c r="G127" s="174" t="s">
        <v>34</v>
      </c>
      <c r="H127" s="174" t="s">
        <v>34</v>
      </c>
      <c r="I127" s="174" t="s">
        <v>34</v>
      </c>
      <c r="J127" s="178" t="s">
        <v>34</v>
      </c>
      <c r="K127" s="177">
        <v>50</v>
      </c>
      <c r="L127" s="394">
        <v>2500</v>
      </c>
      <c r="M127" s="177" t="s">
        <v>446</v>
      </c>
      <c r="N127" s="177">
        <v>54</v>
      </c>
      <c r="O127" s="394">
        <v>40000</v>
      </c>
      <c r="P127" s="394"/>
      <c r="Q127" s="394"/>
      <c r="R127">
        <f t="shared" si="38"/>
        <v>119</v>
      </c>
      <c r="S127" s="570" t="s">
        <v>448</v>
      </c>
      <c r="T127" s="570"/>
      <c r="U127" t="s">
        <v>34</v>
      </c>
      <c r="V127" s="159" t="s">
        <v>34</v>
      </c>
      <c r="AB127" t="s">
        <v>34</v>
      </c>
      <c r="AH127" s="306">
        <f t="shared" si="72"/>
        <v>1.2</v>
      </c>
      <c r="AI127" s="306">
        <f t="shared" si="73"/>
        <v>72</v>
      </c>
      <c r="AJ127" s="306">
        <f t="shared" si="74"/>
        <v>0.02</v>
      </c>
    </row>
    <row r="128" spans="1:36" x14ac:dyDescent="0.35">
      <c r="A128">
        <f t="shared" si="81"/>
        <v>120</v>
      </c>
      <c r="B128" s="489" t="s">
        <v>449</v>
      </c>
      <c r="C128" s="491" t="s">
        <v>797</v>
      </c>
      <c r="D128" s="484">
        <v>500000</v>
      </c>
      <c r="E128" s="484">
        <f>D128*E$7/F$3</f>
        <v>50</v>
      </c>
      <c r="F128" s="484">
        <f>D128*F$7/F$3</f>
        <v>500</v>
      </c>
      <c r="G128" s="484">
        <f>D128*G$7/F$3</f>
        <v>5000</v>
      </c>
      <c r="H128" s="485" t="s">
        <v>34</v>
      </c>
      <c r="I128" s="485" t="s">
        <v>34</v>
      </c>
      <c r="J128" s="486" t="s">
        <v>34</v>
      </c>
      <c r="K128" s="488">
        <v>400</v>
      </c>
      <c r="L128" s="490">
        <v>170</v>
      </c>
      <c r="M128" s="488" t="s">
        <v>34</v>
      </c>
      <c r="N128" s="488" t="s">
        <v>34</v>
      </c>
      <c r="O128" s="490" t="s">
        <v>355</v>
      </c>
      <c r="P128" s="490"/>
      <c r="Q128" s="490"/>
      <c r="R128">
        <f t="shared" si="38"/>
        <v>120</v>
      </c>
      <c r="S128" s="570" t="s">
        <v>1029</v>
      </c>
      <c r="T128" s="570"/>
      <c r="U128" t="s">
        <v>34</v>
      </c>
      <c r="V128" s="159" t="s">
        <v>34</v>
      </c>
      <c r="AB128" t="s">
        <v>34</v>
      </c>
      <c r="AH128" s="306">
        <f t="shared" si="72"/>
        <v>141.1764705882353</v>
      </c>
      <c r="AI128" s="306">
        <f t="shared" si="73"/>
        <v>8470.5882352941189</v>
      </c>
      <c r="AJ128" s="306">
        <f t="shared" si="74"/>
        <v>2.3529411764705883</v>
      </c>
    </row>
    <row r="129" spans="1:36" x14ac:dyDescent="0.35">
      <c r="A129">
        <f t="shared" si="81"/>
        <v>121</v>
      </c>
      <c r="B129" s="489" t="s">
        <v>1028</v>
      </c>
      <c r="C129" s="491" t="s">
        <v>854</v>
      </c>
      <c r="D129" s="484">
        <v>120</v>
      </c>
      <c r="E129" s="484"/>
      <c r="F129" s="485"/>
      <c r="G129" s="485"/>
      <c r="H129" s="484">
        <f>D129*H$7/F$3</f>
        <v>12</v>
      </c>
      <c r="I129" s="511">
        <f>D129*I$7/I$3</f>
        <v>0.12</v>
      </c>
      <c r="J129" s="512">
        <f>D129*J$7/I$3</f>
        <v>1.2</v>
      </c>
      <c r="K129" s="488">
        <v>1.5</v>
      </c>
      <c r="L129" s="490">
        <v>2898</v>
      </c>
      <c r="M129" s="488" t="s">
        <v>1250</v>
      </c>
      <c r="N129" s="488"/>
      <c r="O129" s="490" t="s">
        <v>452</v>
      </c>
      <c r="P129" s="490"/>
      <c r="Q129" s="490"/>
      <c r="R129">
        <f t="shared" si="38"/>
        <v>121</v>
      </c>
      <c r="S129" s="570" t="s">
        <v>451</v>
      </c>
      <c r="T129" s="570"/>
      <c r="U129" t="s">
        <v>34</v>
      </c>
      <c r="V129" s="159" t="s">
        <v>34</v>
      </c>
      <c r="AB129" t="s">
        <v>34</v>
      </c>
      <c r="AH129" s="306">
        <f t="shared" ref="AH129" si="82">(K129/L129)*60</f>
        <v>3.1055900621118016E-2</v>
      </c>
      <c r="AI129" s="306">
        <f t="shared" ref="AI129" si="83">60*AH129</f>
        <v>1.8633540372670809</v>
      </c>
      <c r="AJ129" s="306">
        <f t="shared" ref="AJ129" si="84">AH129/60</f>
        <v>5.1759834368530024E-4</v>
      </c>
    </row>
    <row r="130" spans="1:36" x14ac:dyDescent="0.35">
      <c r="A130">
        <f t="shared" si="81"/>
        <v>122</v>
      </c>
      <c r="B130" s="123" t="s">
        <v>454</v>
      </c>
      <c r="C130" s="42" t="s">
        <v>951</v>
      </c>
      <c r="D130" s="174" t="s">
        <v>34</v>
      </c>
      <c r="E130" s="174" t="s">
        <v>34</v>
      </c>
      <c r="F130" s="174" t="s">
        <v>34</v>
      </c>
      <c r="G130" s="174" t="s">
        <v>34</v>
      </c>
      <c r="H130" s="174" t="s">
        <v>34</v>
      </c>
      <c r="I130" s="174" t="s">
        <v>34</v>
      </c>
      <c r="J130" s="178" t="s">
        <v>34</v>
      </c>
      <c r="K130" s="177">
        <v>550</v>
      </c>
      <c r="L130" s="394">
        <v>65</v>
      </c>
      <c r="M130" s="177" t="s">
        <v>34</v>
      </c>
      <c r="N130" s="177" t="s">
        <v>34</v>
      </c>
      <c r="O130" s="394" t="s">
        <v>458</v>
      </c>
      <c r="P130" s="394"/>
      <c r="Q130" s="394"/>
      <c r="R130">
        <f t="shared" si="38"/>
        <v>122</v>
      </c>
      <c r="S130" s="97" t="s">
        <v>455</v>
      </c>
      <c r="T130" s="97"/>
      <c r="U130" t="s">
        <v>34</v>
      </c>
      <c r="V130" s="159" t="s">
        <v>34</v>
      </c>
      <c r="AB130" t="s">
        <v>34</v>
      </c>
      <c r="AH130" s="306">
        <f t="shared" si="72"/>
        <v>507.69230769230768</v>
      </c>
      <c r="AI130" s="306">
        <f t="shared" si="73"/>
        <v>30461.538461538461</v>
      </c>
      <c r="AJ130" s="306">
        <f t="shared" si="74"/>
        <v>8.4615384615384617</v>
      </c>
    </row>
    <row r="131" spans="1:36" x14ac:dyDescent="0.35">
      <c r="A131">
        <f t="shared" si="81"/>
        <v>123</v>
      </c>
      <c r="B131" s="123" t="s">
        <v>453</v>
      </c>
      <c r="C131" s="42" t="s">
        <v>952</v>
      </c>
      <c r="D131" s="159">
        <v>200</v>
      </c>
      <c r="E131" s="174" t="s">
        <v>34</v>
      </c>
      <c r="F131" s="174" t="s">
        <v>34</v>
      </c>
      <c r="G131" s="159">
        <f>D131*G$7/F$3</f>
        <v>2</v>
      </c>
      <c r="H131" s="159">
        <f>D131*H$7/F$3</f>
        <v>20</v>
      </c>
      <c r="I131" s="8">
        <f>D131*I$7/I$3</f>
        <v>0.2</v>
      </c>
      <c r="J131" s="87" t="s">
        <v>34</v>
      </c>
      <c r="K131" s="177">
        <v>5.5</v>
      </c>
      <c r="L131" s="394">
        <v>4230</v>
      </c>
      <c r="M131" s="177" t="s">
        <v>664</v>
      </c>
      <c r="N131" s="177">
        <v>0.5</v>
      </c>
      <c r="O131" s="394" t="s">
        <v>418</v>
      </c>
      <c r="P131" s="394"/>
      <c r="Q131" s="394"/>
      <c r="R131">
        <f t="shared" si="38"/>
        <v>123</v>
      </c>
      <c r="S131" s="458" t="s">
        <v>457</v>
      </c>
      <c r="T131" s="458"/>
      <c r="U131" t="s">
        <v>34</v>
      </c>
      <c r="V131" s="159" t="s">
        <v>34</v>
      </c>
      <c r="AB131" t="s">
        <v>34</v>
      </c>
      <c r="AH131" s="306">
        <f t="shared" si="72"/>
        <v>7.8014184397163122E-2</v>
      </c>
      <c r="AI131" s="306">
        <f t="shared" si="73"/>
        <v>4.6808510638297873</v>
      </c>
      <c r="AJ131" s="306">
        <f t="shared" si="74"/>
        <v>1.3002364066193853E-3</v>
      </c>
    </row>
    <row r="132" spans="1:36" x14ac:dyDescent="0.35">
      <c r="A132">
        <f t="shared" si="81"/>
        <v>124</v>
      </c>
      <c r="B132" s="123" t="s">
        <v>1251</v>
      </c>
      <c r="C132" s="42" t="s">
        <v>954</v>
      </c>
      <c r="D132" s="159">
        <v>100000000</v>
      </c>
      <c r="E132" s="159">
        <f>D132*E$7/F$3</f>
        <v>10000</v>
      </c>
      <c r="F132" s="174" t="s">
        <v>34</v>
      </c>
      <c r="G132" s="174" t="s">
        <v>34</v>
      </c>
      <c r="H132" s="174" t="s">
        <v>34</v>
      </c>
      <c r="I132" s="174" t="s">
        <v>34</v>
      </c>
      <c r="J132" s="178" t="s">
        <v>34</v>
      </c>
      <c r="K132" s="177">
        <v>4</v>
      </c>
      <c r="L132" s="394">
        <v>4230</v>
      </c>
      <c r="M132" s="177" t="s">
        <v>663</v>
      </c>
      <c r="N132" s="177">
        <v>0.5</v>
      </c>
      <c r="O132" s="394" t="s">
        <v>502</v>
      </c>
      <c r="P132" s="394"/>
      <c r="Q132" s="394"/>
      <c r="R132">
        <f t="shared" si="38"/>
        <v>124</v>
      </c>
      <c r="S132" s="571" t="s">
        <v>659</v>
      </c>
      <c r="T132" s="571"/>
      <c r="U132" t="s">
        <v>665</v>
      </c>
      <c r="V132" s="159" t="s">
        <v>34</v>
      </c>
      <c r="AB132" t="s">
        <v>34</v>
      </c>
      <c r="AC132" s="4" t="s">
        <v>953</v>
      </c>
      <c r="AH132" s="306">
        <f t="shared" si="72"/>
        <v>5.6737588652482268E-2</v>
      </c>
      <c r="AI132" s="306">
        <f t="shared" si="73"/>
        <v>3.4042553191489362</v>
      </c>
      <c r="AJ132" s="306">
        <f t="shared" si="74"/>
        <v>9.4562647754137111E-4</v>
      </c>
    </row>
    <row r="133" spans="1:36" x14ac:dyDescent="0.35">
      <c r="A133">
        <f t="shared" si="81"/>
        <v>125</v>
      </c>
      <c r="B133" s="489" t="s">
        <v>584</v>
      </c>
      <c r="C133" s="491" t="s">
        <v>878</v>
      </c>
      <c r="D133" s="485" t="s">
        <v>34</v>
      </c>
      <c r="E133" s="485"/>
      <c r="F133" s="485" t="s">
        <v>34</v>
      </c>
      <c r="G133" s="485" t="s">
        <v>34</v>
      </c>
      <c r="H133" s="485" t="s">
        <v>34</v>
      </c>
      <c r="I133" s="485" t="s">
        <v>34</v>
      </c>
      <c r="J133" s="486" t="s">
        <v>34</v>
      </c>
      <c r="K133" s="488">
        <v>300</v>
      </c>
      <c r="L133" s="490">
        <v>4900</v>
      </c>
      <c r="M133" s="488" t="s">
        <v>375</v>
      </c>
      <c r="N133" s="488">
        <v>217</v>
      </c>
      <c r="O133" s="490" t="s">
        <v>585</v>
      </c>
      <c r="P133" s="490"/>
      <c r="Q133" s="490"/>
      <c r="R133">
        <f t="shared" si="38"/>
        <v>125</v>
      </c>
      <c r="S133" s="570" t="s">
        <v>583</v>
      </c>
      <c r="T133" s="570"/>
      <c r="U133" t="s">
        <v>34</v>
      </c>
      <c r="V133" s="159" t="s">
        <v>34</v>
      </c>
      <c r="AB133" t="s">
        <v>34</v>
      </c>
      <c r="AH133" s="306">
        <f t="shared" si="72"/>
        <v>3.6734693877551021</v>
      </c>
      <c r="AI133" s="306">
        <f t="shared" si="73"/>
        <v>220.40816326530611</v>
      </c>
      <c r="AJ133" s="306">
        <f t="shared" si="74"/>
        <v>6.1224489795918366E-2</v>
      </c>
    </row>
    <row r="134" spans="1:36" x14ac:dyDescent="0.35">
      <c r="A134">
        <f t="shared" si="81"/>
        <v>126</v>
      </c>
      <c r="B134" s="493" t="s">
        <v>1074</v>
      </c>
      <c r="C134" s="494" t="s">
        <v>879</v>
      </c>
      <c r="D134" s="496" t="s">
        <v>34</v>
      </c>
      <c r="E134" s="496" t="s">
        <v>34</v>
      </c>
      <c r="F134" s="496" t="s">
        <v>34</v>
      </c>
      <c r="G134" s="496" t="s">
        <v>34</v>
      </c>
      <c r="H134" s="496" t="s">
        <v>34</v>
      </c>
      <c r="I134" s="496" t="s">
        <v>34</v>
      </c>
      <c r="J134" s="497" t="s">
        <v>34</v>
      </c>
      <c r="K134" s="506">
        <v>195</v>
      </c>
      <c r="L134" s="501">
        <v>10080</v>
      </c>
      <c r="M134" s="506"/>
      <c r="N134" s="506">
        <v>150</v>
      </c>
      <c r="O134" s="501" t="s">
        <v>373</v>
      </c>
      <c r="P134" s="501"/>
      <c r="Q134" s="501"/>
      <c r="R134">
        <f t="shared" si="38"/>
        <v>126</v>
      </c>
      <c r="S134" s="570" t="s">
        <v>1073</v>
      </c>
      <c r="T134" s="570"/>
      <c r="U134" t="s">
        <v>34</v>
      </c>
      <c r="V134" s="159" t="s">
        <v>34</v>
      </c>
      <c r="AB134" t="s">
        <v>34</v>
      </c>
    </row>
    <row r="135" spans="1:36" x14ac:dyDescent="0.35">
      <c r="A135">
        <f t="shared" si="81"/>
        <v>127</v>
      </c>
      <c r="B135" s="493" t="s">
        <v>588</v>
      </c>
      <c r="C135" s="494" t="s">
        <v>782</v>
      </c>
      <c r="D135" s="496">
        <v>1100000000</v>
      </c>
      <c r="E135" s="495">
        <f>D135*E$7/F$3</f>
        <v>110000</v>
      </c>
      <c r="F135" s="496" t="s">
        <v>34</v>
      </c>
      <c r="G135" s="496" t="s">
        <v>34</v>
      </c>
      <c r="H135" s="496" t="s">
        <v>34</v>
      </c>
      <c r="I135" s="496" t="s">
        <v>34</v>
      </c>
      <c r="J135" s="497" t="s">
        <v>34</v>
      </c>
      <c r="K135" s="506" t="s">
        <v>34</v>
      </c>
      <c r="L135" s="506" t="s">
        <v>34</v>
      </c>
      <c r="M135" s="506" t="s">
        <v>34</v>
      </c>
      <c r="N135" s="506" t="s">
        <v>34</v>
      </c>
      <c r="O135" s="501" t="s">
        <v>423</v>
      </c>
      <c r="P135" s="501"/>
      <c r="Q135" s="501"/>
      <c r="R135">
        <f t="shared" si="38"/>
        <v>127</v>
      </c>
      <c r="S135" s="42" t="s">
        <v>587</v>
      </c>
      <c r="T135" s="42"/>
      <c r="U135" t="s">
        <v>34</v>
      </c>
      <c r="V135" s="159" t="s">
        <v>34</v>
      </c>
      <c r="AB135" t="s">
        <v>34</v>
      </c>
    </row>
    <row r="136" spans="1:36" x14ac:dyDescent="0.35">
      <c r="A136">
        <f t="shared" si="81"/>
        <v>128</v>
      </c>
      <c r="B136" s="493" t="s">
        <v>589</v>
      </c>
      <c r="C136" s="494" t="s">
        <v>782</v>
      </c>
      <c r="D136" s="495">
        <v>2000000</v>
      </c>
      <c r="E136" s="495">
        <f>D136*E$7/F$3</f>
        <v>200</v>
      </c>
      <c r="F136" s="495">
        <f>D136*F$7/F$3</f>
        <v>2000</v>
      </c>
      <c r="G136" s="495">
        <f>D136*G$7/F$3</f>
        <v>20000</v>
      </c>
      <c r="H136" s="496" t="s">
        <v>34</v>
      </c>
      <c r="I136" s="496" t="s">
        <v>34</v>
      </c>
      <c r="J136" s="497" t="s">
        <v>34</v>
      </c>
      <c r="K136" s="506">
        <v>380</v>
      </c>
      <c r="L136" s="501">
        <v>17280</v>
      </c>
      <c r="M136" s="506" t="s">
        <v>590</v>
      </c>
      <c r="N136" s="506">
        <v>180</v>
      </c>
      <c r="O136" s="501" t="s">
        <v>372</v>
      </c>
      <c r="P136" s="501"/>
      <c r="Q136" s="501"/>
      <c r="R136">
        <f t="shared" si="38"/>
        <v>128</v>
      </c>
      <c r="S136" s="570" t="s">
        <v>587</v>
      </c>
      <c r="T136" s="570"/>
      <c r="U136" t="s">
        <v>34</v>
      </c>
      <c r="V136" s="159" t="s">
        <v>34</v>
      </c>
      <c r="AB136" t="s">
        <v>34</v>
      </c>
      <c r="AH136" s="306">
        <f>(K136/L136)*60</f>
        <v>1.3194444444444444</v>
      </c>
      <c r="AI136" s="306">
        <f>60*AH136</f>
        <v>79.166666666666671</v>
      </c>
      <c r="AJ136" s="306">
        <f>AH136/60</f>
        <v>2.1990740740740741E-2</v>
      </c>
    </row>
    <row r="137" spans="1:36" x14ac:dyDescent="0.35">
      <c r="A137">
        <f t="shared" si="81"/>
        <v>129</v>
      </c>
      <c r="B137" s="493" t="s">
        <v>880</v>
      </c>
      <c r="C137" s="494" t="s">
        <v>825</v>
      </c>
      <c r="D137" s="495">
        <v>2500000000</v>
      </c>
      <c r="E137" s="496" t="s">
        <v>34</v>
      </c>
      <c r="F137" s="496" t="s">
        <v>34</v>
      </c>
      <c r="G137" s="496" t="s">
        <v>34</v>
      </c>
      <c r="H137" s="496" t="s">
        <v>34</v>
      </c>
      <c r="I137" s="496" t="s">
        <v>34</v>
      </c>
      <c r="J137" s="497" t="s">
        <v>34</v>
      </c>
      <c r="K137" s="506">
        <v>600</v>
      </c>
      <c r="L137" s="501"/>
      <c r="M137" s="506"/>
      <c r="N137" s="506"/>
      <c r="O137" s="501">
        <v>1</v>
      </c>
      <c r="P137" s="501">
        <v>1</v>
      </c>
      <c r="Q137" s="501"/>
      <c r="R137">
        <f t="shared" si="38"/>
        <v>129</v>
      </c>
      <c r="S137" s="570" t="s">
        <v>881</v>
      </c>
      <c r="T137" s="570"/>
      <c r="U137" t="s">
        <v>882</v>
      </c>
      <c r="V137" s="159" t="s">
        <v>34</v>
      </c>
      <c r="AB137" t="s">
        <v>34</v>
      </c>
    </row>
    <row r="138" spans="1:36" x14ac:dyDescent="0.35">
      <c r="A138">
        <f t="shared" si="81"/>
        <v>130</v>
      </c>
      <c r="B138" s="123"/>
      <c r="C138" s="42"/>
      <c r="D138" s="159"/>
      <c r="E138" s="159"/>
      <c r="F138" s="159"/>
      <c r="G138" s="159"/>
      <c r="H138" s="159"/>
      <c r="I138" s="159"/>
      <c r="J138" s="171"/>
      <c r="K138" s="105"/>
      <c r="L138" s="394"/>
      <c r="M138" s="180"/>
      <c r="N138" s="180"/>
      <c r="O138" s="394"/>
      <c r="P138" s="394"/>
      <c r="Q138" s="394"/>
      <c r="R138">
        <f t="shared" si="38"/>
        <v>130</v>
      </c>
      <c r="U138" t="s">
        <v>34</v>
      </c>
      <c r="V138" s="159" t="s">
        <v>34</v>
      </c>
      <c r="AB138" t="s">
        <v>34</v>
      </c>
    </row>
    <row r="139" spans="1:36" x14ac:dyDescent="0.35">
      <c r="A139">
        <f t="shared" si="81"/>
        <v>131</v>
      </c>
      <c r="B139" s="191" t="s">
        <v>679</v>
      </c>
      <c r="C139" s="467"/>
      <c r="D139" s="185"/>
      <c r="E139" s="185"/>
      <c r="F139" s="185"/>
      <c r="G139" s="185"/>
      <c r="H139" s="185"/>
      <c r="I139" s="185"/>
      <c r="J139" s="186"/>
      <c r="K139" s="393"/>
      <c r="L139" s="395"/>
      <c r="M139" s="386"/>
      <c r="N139" s="386"/>
      <c r="O139" s="395"/>
      <c r="P139" s="395"/>
      <c r="Q139" s="395"/>
      <c r="R139">
        <f t="shared" si="38"/>
        <v>131</v>
      </c>
      <c r="U139" t="s">
        <v>34</v>
      </c>
      <c r="V139" s="159" t="s">
        <v>34</v>
      </c>
      <c r="AB139" t="s">
        <v>34</v>
      </c>
    </row>
    <row r="140" spans="1:36" x14ac:dyDescent="0.35">
      <c r="A140">
        <f t="shared" si="81"/>
        <v>132</v>
      </c>
      <c r="B140" s="493" t="s">
        <v>680</v>
      </c>
      <c r="C140" s="494" t="s">
        <v>921</v>
      </c>
      <c r="D140" s="495">
        <v>30000000</v>
      </c>
      <c r="E140" s="495"/>
      <c r="F140" s="495"/>
      <c r="G140" s="495"/>
      <c r="H140" s="495"/>
      <c r="I140" s="495"/>
      <c r="J140" s="530"/>
      <c r="K140" s="498">
        <v>300</v>
      </c>
      <c r="L140" s="501" t="s">
        <v>34</v>
      </c>
      <c r="M140" s="499" t="s">
        <v>34</v>
      </c>
      <c r="N140" s="499" t="s">
        <v>34</v>
      </c>
      <c r="O140" s="501" t="s">
        <v>355</v>
      </c>
      <c r="P140" s="501"/>
      <c r="Q140" s="501"/>
      <c r="R140">
        <f t="shared" si="38"/>
        <v>132</v>
      </c>
      <c r="S140" s="20" t="s">
        <v>681</v>
      </c>
      <c r="T140" s="20"/>
      <c r="U140" t="s">
        <v>34</v>
      </c>
      <c r="V140" s="159" t="s">
        <v>34</v>
      </c>
      <c r="AB140" t="s">
        <v>34</v>
      </c>
    </row>
    <row r="141" spans="1:36" x14ac:dyDescent="0.35">
      <c r="A141">
        <f t="shared" si="81"/>
        <v>133</v>
      </c>
      <c r="B141" s="123"/>
      <c r="C141" s="42"/>
      <c r="D141" s="159"/>
      <c r="E141" s="159"/>
      <c r="F141" s="159"/>
      <c r="G141" s="159"/>
      <c r="H141" s="159"/>
      <c r="I141" s="159"/>
      <c r="J141" s="171"/>
      <c r="K141" s="105"/>
      <c r="L141" s="394"/>
      <c r="M141" s="180"/>
      <c r="N141" s="180"/>
      <c r="O141" s="394"/>
      <c r="P141" s="394"/>
      <c r="Q141" s="394"/>
      <c r="R141">
        <f t="shared" si="38"/>
        <v>133</v>
      </c>
      <c r="U141" t="s">
        <v>34</v>
      </c>
      <c r="V141" s="159" t="s">
        <v>34</v>
      </c>
      <c r="AB141" t="s">
        <v>34</v>
      </c>
    </row>
    <row r="142" spans="1:36" x14ac:dyDescent="0.35">
      <c r="A142">
        <f t="shared" si="81"/>
        <v>134</v>
      </c>
      <c r="B142" s="123"/>
      <c r="C142" s="42"/>
      <c r="D142" s="159"/>
      <c r="E142" s="159"/>
      <c r="F142" s="159"/>
      <c r="G142" s="159"/>
      <c r="H142" s="159"/>
      <c r="I142" s="159"/>
      <c r="J142" s="171"/>
      <c r="K142" s="105"/>
      <c r="L142" s="394"/>
      <c r="M142" s="180"/>
      <c r="N142" s="180"/>
      <c r="O142" s="394"/>
      <c r="P142" s="394"/>
      <c r="Q142" s="394"/>
      <c r="R142">
        <f t="shared" si="38"/>
        <v>134</v>
      </c>
      <c r="U142" t="s">
        <v>34</v>
      </c>
      <c r="V142" s="159" t="s">
        <v>34</v>
      </c>
      <c r="AB142" t="s">
        <v>34</v>
      </c>
    </row>
    <row r="143" spans="1:36" x14ac:dyDescent="0.35">
      <c r="A143">
        <f t="shared" ref="A143:A147" si="85">A142+1</f>
        <v>135</v>
      </c>
      <c r="B143" s="123"/>
      <c r="C143" s="42"/>
      <c r="D143" s="159"/>
      <c r="E143" s="159"/>
      <c r="F143" s="159"/>
      <c r="G143" s="174"/>
      <c r="H143" s="174"/>
      <c r="I143" s="174"/>
      <c r="J143" s="178"/>
      <c r="K143" s="105"/>
      <c r="L143" s="394"/>
      <c r="M143" s="383"/>
      <c r="N143" s="181"/>
      <c r="O143" s="394"/>
      <c r="P143" s="394"/>
      <c r="Q143" s="394"/>
      <c r="R143">
        <f t="shared" ref="R143:R206" si="86">R142+1</f>
        <v>135</v>
      </c>
      <c r="V143" s="159" t="s">
        <v>34</v>
      </c>
      <c r="AB143" t="s">
        <v>34</v>
      </c>
    </row>
    <row r="144" spans="1:36" x14ac:dyDescent="0.35">
      <c r="A144">
        <f t="shared" si="85"/>
        <v>136</v>
      </c>
      <c r="B144" s="123"/>
      <c r="C144" s="42"/>
      <c r="D144" s="159"/>
      <c r="E144" s="159"/>
      <c r="F144" s="159"/>
      <c r="G144" s="174"/>
      <c r="H144" s="174"/>
      <c r="I144" s="174"/>
      <c r="J144" s="178"/>
      <c r="K144" s="105"/>
      <c r="L144" s="394"/>
      <c r="M144" s="383"/>
      <c r="N144" s="181"/>
      <c r="O144" s="394"/>
      <c r="P144" s="394"/>
      <c r="Q144" s="394"/>
      <c r="R144">
        <f t="shared" si="86"/>
        <v>136</v>
      </c>
      <c r="V144" s="159" t="s">
        <v>34</v>
      </c>
      <c r="AB144" t="s">
        <v>34</v>
      </c>
    </row>
    <row r="145" spans="1:36" x14ac:dyDescent="0.35">
      <c r="A145">
        <f t="shared" si="85"/>
        <v>137</v>
      </c>
      <c r="B145" s="123"/>
      <c r="C145" s="42"/>
      <c r="D145" s="159"/>
      <c r="E145" s="159"/>
      <c r="F145" s="159"/>
      <c r="G145" s="174"/>
      <c r="H145" s="174"/>
      <c r="I145" s="174"/>
      <c r="J145" s="178"/>
      <c r="K145" s="105"/>
      <c r="L145" s="394"/>
      <c r="M145" s="383"/>
      <c r="N145" s="181"/>
      <c r="O145" s="394"/>
      <c r="P145" s="394"/>
      <c r="Q145" s="394"/>
      <c r="R145">
        <f t="shared" si="86"/>
        <v>137</v>
      </c>
      <c r="U145" t="s">
        <v>34</v>
      </c>
      <c r="V145" s="159" t="s">
        <v>34</v>
      </c>
      <c r="AB145" t="s">
        <v>34</v>
      </c>
    </row>
    <row r="146" spans="1:36" x14ac:dyDescent="0.35">
      <c r="A146">
        <f t="shared" si="85"/>
        <v>138</v>
      </c>
      <c r="B146" s="191" t="s">
        <v>164</v>
      </c>
      <c r="C146" s="467"/>
      <c r="D146" s="185"/>
      <c r="E146" s="185"/>
      <c r="F146" s="185"/>
      <c r="G146" s="185"/>
      <c r="H146" s="185"/>
      <c r="I146" s="185"/>
      <c r="J146" s="186"/>
      <c r="K146" s="393"/>
      <c r="L146" s="393"/>
      <c r="M146" s="390"/>
      <c r="N146" s="192"/>
      <c r="O146" s="395"/>
      <c r="P146" s="395"/>
      <c r="Q146" s="395"/>
      <c r="R146">
        <f t="shared" si="86"/>
        <v>138</v>
      </c>
      <c r="U146" s="430" t="s">
        <v>34</v>
      </c>
      <c r="V146" s="159" t="s">
        <v>34</v>
      </c>
      <c r="W146" s="430"/>
      <c r="X146" s="430"/>
      <c r="Y146" s="430"/>
      <c r="Z146" s="430"/>
      <c r="AA146" s="430"/>
      <c r="AB146" t="s">
        <v>34</v>
      </c>
      <c r="AH146" s="306"/>
      <c r="AI146" s="306"/>
      <c r="AJ146" s="306"/>
    </row>
    <row r="147" spans="1:36" x14ac:dyDescent="0.35">
      <c r="A147">
        <f t="shared" si="85"/>
        <v>139</v>
      </c>
      <c r="B147" s="489" t="s">
        <v>523</v>
      </c>
      <c r="C147" s="491" t="s">
        <v>854</v>
      </c>
      <c r="D147" s="484">
        <v>47000000</v>
      </c>
      <c r="E147" s="484">
        <f>D147*E$7/F$3</f>
        <v>4700</v>
      </c>
      <c r="F147" s="484">
        <f>D147*F$7/F$3</f>
        <v>47000</v>
      </c>
      <c r="G147" s="485" t="s">
        <v>34</v>
      </c>
      <c r="H147" s="485" t="s">
        <v>34</v>
      </c>
      <c r="I147" s="516" t="s">
        <v>34</v>
      </c>
      <c r="J147" s="516" t="s">
        <v>34</v>
      </c>
      <c r="K147" s="487">
        <v>1430</v>
      </c>
      <c r="L147" s="487">
        <v>2450</v>
      </c>
      <c r="M147" s="522" t="s">
        <v>34</v>
      </c>
      <c r="N147" s="490">
        <v>4000</v>
      </c>
      <c r="O147" s="490" t="s">
        <v>371</v>
      </c>
      <c r="P147" s="490"/>
      <c r="Q147" s="490"/>
      <c r="R147">
        <f t="shared" si="86"/>
        <v>139</v>
      </c>
      <c r="S147" s="454" t="s">
        <v>370</v>
      </c>
      <c r="T147" s="454"/>
      <c r="U147" t="s">
        <v>34</v>
      </c>
      <c r="V147" s="159" t="s">
        <v>34</v>
      </c>
      <c r="AB147" t="s">
        <v>34</v>
      </c>
      <c r="AH147" s="306">
        <f t="shared" si="23"/>
        <v>35.020408163265309</v>
      </c>
      <c r="AI147" s="306">
        <f t="shared" si="24"/>
        <v>2101.2244897959185</v>
      </c>
      <c r="AJ147" s="306">
        <f t="shared" si="25"/>
        <v>0.58367346938775511</v>
      </c>
    </row>
    <row r="148" spans="1:36" x14ac:dyDescent="0.35">
      <c r="A148">
        <f t="shared" si="20"/>
        <v>140</v>
      </c>
      <c r="B148" s="489" t="s">
        <v>561</v>
      </c>
      <c r="C148" s="491" t="s">
        <v>791</v>
      </c>
      <c r="D148" s="484">
        <v>30</v>
      </c>
      <c r="E148" s="485" t="s">
        <v>34</v>
      </c>
      <c r="F148" s="485" t="s">
        <v>34</v>
      </c>
      <c r="G148" s="485" t="s">
        <v>34</v>
      </c>
      <c r="H148" s="484">
        <f>D148*H$7/F$3</f>
        <v>3</v>
      </c>
      <c r="I148" s="511">
        <f>D148*I$7/I$3</f>
        <v>0.03</v>
      </c>
      <c r="J148" s="512">
        <f>D148*J$7/I$3</f>
        <v>0.3</v>
      </c>
      <c r="K148" s="527">
        <v>1.8</v>
      </c>
      <c r="L148" s="490">
        <v>3240</v>
      </c>
      <c r="M148" s="522" t="s">
        <v>564</v>
      </c>
      <c r="N148" s="528" t="s">
        <v>34</v>
      </c>
      <c r="O148" s="490" t="s">
        <v>360</v>
      </c>
      <c r="P148" s="490"/>
      <c r="Q148" s="490"/>
      <c r="R148">
        <f t="shared" si="86"/>
        <v>140</v>
      </c>
      <c r="S148" s="97" t="s">
        <v>562</v>
      </c>
      <c r="T148" s="97"/>
      <c r="U148" t="s">
        <v>34</v>
      </c>
      <c r="V148" s="159" t="s">
        <v>34</v>
      </c>
      <c r="AB148" t="s">
        <v>34</v>
      </c>
      <c r="AH148" s="306">
        <f t="shared" si="23"/>
        <v>3.3333333333333333E-2</v>
      </c>
      <c r="AI148" s="306">
        <f t="shared" si="24"/>
        <v>2</v>
      </c>
      <c r="AJ148" s="306">
        <f t="shared" si="25"/>
        <v>5.5555555555555556E-4</v>
      </c>
    </row>
    <row r="149" spans="1:36" x14ac:dyDescent="0.35">
      <c r="A149">
        <f t="shared" si="20"/>
        <v>141</v>
      </c>
      <c r="B149" s="123" t="s">
        <v>1027</v>
      </c>
      <c r="C149" s="42" t="s">
        <v>782</v>
      </c>
      <c r="D149" s="159">
        <v>323770</v>
      </c>
      <c r="E149" s="159">
        <f>D149*E$7/F$3</f>
        <v>32.377000000000002</v>
      </c>
      <c r="F149" s="159">
        <f>D149*F$7/F$3</f>
        <v>323.77</v>
      </c>
      <c r="G149" s="174" t="s">
        <v>34</v>
      </c>
      <c r="H149" s="174" t="s">
        <v>34</v>
      </c>
      <c r="I149" s="58" t="s">
        <v>34</v>
      </c>
      <c r="J149" s="58" t="s">
        <v>34</v>
      </c>
      <c r="K149" s="105">
        <v>70</v>
      </c>
      <c r="L149" s="394" t="s">
        <v>34</v>
      </c>
      <c r="M149" s="383" t="s">
        <v>34</v>
      </c>
      <c r="N149" s="181" t="s">
        <v>518</v>
      </c>
      <c r="O149" s="394"/>
      <c r="P149" s="394"/>
      <c r="Q149" s="394"/>
      <c r="R149">
        <f t="shared" si="86"/>
        <v>141</v>
      </c>
      <c r="S149" s="20" t="s">
        <v>517</v>
      </c>
      <c r="T149" s="20"/>
      <c r="U149" t="s">
        <v>34</v>
      </c>
      <c r="V149" s="159" t="s">
        <v>34</v>
      </c>
      <c r="AB149" t="s">
        <v>34</v>
      </c>
      <c r="AH149" s="306"/>
      <c r="AI149" s="306"/>
      <c r="AJ149" s="306"/>
    </row>
    <row r="150" spans="1:36" x14ac:dyDescent="0.35">
      <c r="A150">
        <f t="shared" si="20"/>
        <v>142</v>
      </c>
      <c r="B150" s="123" t="s">
        <v>1305</v>
      </c>
      <c r="C150" s="42" t="s">
        <v>924</v>
      </c>
      <c r="D150" s="159">
        <v>870000</v>
      </c>
      <c r="E150" s="159">
        <f>D150*E$7/F$3</f>
        <v>87</v>
      </c>
      <c r="F150" s="159">
        <f>D150*F$7/F$3</f>
        <v>870</v>
      </c>
      <c r="G150" s="174" t="s">
        <v>34</v>
      </c>
      <c r="H150" s="174" t="s">
        <v>34</v>
      </c>
      <c r="I150" s="58" t="s">
        <v>34</v>
      </c>
      <c r="J150" s="58" t="s">
        <v>34</v>
      </c>
      <c r="K150" s="105">
        <v>300</v>
      </c>
      <c r="L150" s="105">
        <v>3552</v>
      </c>
      <c r="M150" s="383" t="s">
        <v>513</v>
      </c>
      <c r="N150" s="181" t="s">
        <v>512</v>
      </c>
      <c r="O150" s="394" t="s">
        <v>514</v>
      </c>
      <c r="P150" s="394"/>
      <c r="Q150" s="394"/>
      <c r="R150">
        <f t="shared" si="86"/>
        <v>142</v>
      </c>
      <c r="S150" s="20" t="s">
        <v>511</v>
      </c>
      <c r="T150" s="20"/>
      <c r="U150" t="s">
        <v>34</v>
      </c>
      <c r="V150" s="159" t="s">
        <v>34</v>
      </c>
      <c r="AB150" t="s">
        <v>34</v>
      </c>
      <c r="AH150" s="306">
        <f t="shared" si="23"/>
        <v>5.0675675675675675</v>
      </c>
      <c r="AI150" s="306">
        <f t="shared" si="24"/>
        <v>304.05405405405406</v>
      </c>
      <c r="AJ150" s="306">
        <f t="shared" si="25"/>
        <v>8.4459459459459457E-2</v>
      </c>
    </row>
    <row r="151" spans="1:36" x14ac:dyDescent="0.35">
      <c r="A151">
        <f t="shared" si="20"/>
        <v>143</v>
      </c>
      <c r="B151" s="123" t="s">
        <v>544</v>
      </c>
      <c r="C151" s="42" t="s">
        <v>783</v>
      </c>
      <c r="D151" s="159">
        <v>109000000</v>
      </c>
      <c r="E151" s="159">
        <f>D151*E$7/F$3</f>
        <v>10900</v>
      </c>
      <c r="F151" s="159">
        <f>D151*F$7/F$3</f>
        <v>109000</v>
      </c>
      <c r="G151" s="174" t="s">
        <v>34</v>
      </c>
      <c r="H151" s="174" t="s">
        <v>34</v>
      </c>
      <c r="I151" s="58" t="s">
        <v>34</v>
      </c>
      <c r="J151" s="58" t="s">
        <v>34</v>
      </c>
      <c r="K151" s="105">
        <f>1239/2</f>
        <v>619.5</v>
      </c>
      <c r="L151" s="394">
        <v>1908</v>
      </c>
      <c r="M151" s="383" t="s">
        <v>34</v>
      </c>
      <c r="N151" s="394">
        <v>8200</v>
      </c>
      <c r="O151" s="394" t="s">
        <v>540</v>
      </c>
      <c r="P151" s="394"/>
      <c r="Q151" s="394"/>
      <c r="R151">
        <f t="shared" si="86"/>
        <v>143</v>
      </c>
      <c r="S151" s="20" t="s">
        <v>542</v>
      </c>
      <c r="T151" s="20"/>
      <c r="U151" t="s">
        <v>34</v>
      </c>
      <c r="V151" s="159" t="s">
        <v>34</v>
      </c>
      <c r="AB151" t="s">
        <v>34</v>
      </c>
      <c r="AH151" s="306">
        <f t="shared" si="23"/>
        <v>19.481132075471699</v>
      </c>
      <c r="AI151" s="306">
        <f t="shared" si="24"/>
        <v>1168.867924528302</v>
      </c>
      <c r="AJ151" s="306">
        <f t="shared" si="25"/>
        <v>0.32468553459119498</v>
      </c>
    </row>
    <row r="152" spans="1:36" x14ac:dyDescent="0.35">
      <c r="A152">
        <f t="shared" si="20"/>
        <v>144</v>
      </c>
      <c r="B152" s="123" t="s">
        <v>567</v>
      </c>
      <c r="C152" s="42" t="s">
        <v>936</v>
      </c>
      <c r="D152" s="159">
        <v>20</v>
      </c>
      <c r="E152" s="174" t="s">
        <v>34</v>
      </c>
      <c r="F152" s="174" t="s">
        <v>34</v>
      </c>
      <c r="G152" s="174" t="s">
        <v>34</v>
      </c>
      <c r="H152" s="159">
        <f>D152*H$7/F$3</f>
        <v>2</v>
      </c>
      <c r="I152" s="8">
        <f>D152*I$7/I$3</f>
        <v>0.02</v>
      </c>
      <c r="J152" s="142">
        <f>D152*J$7/I$3</f>
        <v>0.2</v>
      </c>
      <c r="K152" s="427">
        <v>3.66</v>
      </c>
      <c r="L152" s="394">
        <v>3744</v>
      </c>
      <c r="M152" s="383" t="s">
        <v>568</v>
      </c>
      <c r="N152" s="394" t="s">
        <v>34</v>
      </c>
      <c r="O152" s="394" t="s">
        <v>360</v>
      </c>
      <c r="P152" s="394"/>
      <c r="Q152" s="394"/>
      <c r="R152">
        <f t="shared" si="86"/>
        <v>144</v>
      </c>
      <c r="S152" s="20" t="s">
        <v>569</v>
      </c>
      <c r="T152" s="20"/>
      <c r="U152" t="s">
        <v>34</v>
      </c>
      <c r="V152" s="159" t="s">
        <v>34</v>
      </c>
      <c r="AB152" t="s">
        <v>34</v>
      </c>
      <c r="AH152" s="306">
        <f t="shared" si="23"/>
        <v>5.8653846153846154E-2</v>
      </c>
      <c r="AI152" s="306">
        <f t="shared" si="24"/>
        <v>3.5192307692307692</v>
      </c>
      <c r="AJ152" s="306">
        <f t="shared" si="25"/>
        <v>9.775641025641026E-4</v>
      </c>
    </row>
    <row r="153" spans="1:36" x14ac:dyDescent="0.35">
      <c r="A153">
        <f t="shared" si="20"/>
        <v>145</v>
      </c>
      <c r="B153" s="123" t="s">
        <v>1217</v>
      </c>
      <c r="C153" s="42" t="s">
        <v>825</v>
      </c>
      <c r="D153" s="159">
        <f>161000000/48</f>
        <v>3354166.6666666665</v>
      </c>
      <c r="E153" s="159">
        <f>D153*E$7/F$3</f>
        <v>335.41666666666663</v>
      </c>
      <c r="F153" s="159">
        <f>D153*F$7/F$3</f>
        <v>3354.1666666666665</v>
      </c>
      <c r="G153" s="159">
        <f>D153*G$7/F$3</f>
        <v>33541.666666666664</v>
      </c>
      <c r="H153" s="174" t="s">
        <v>34</v>
      </c>
      <c r="I153" s="58" t="s">
        <v>34</v>
      </c>
      <c r="J153" s="58" t="s">
        <v>34</v>
      </c>
      <c r="K153" s="105">
        <v>555</v>
      </c>
      <c r="L153" s="394">
        <v>1073</v>
      </c>
      <c r="M153" s="383" t="s">
        <v>500</v>
      </c>
      <c r="N153" s="181" t="s">
        <v>501</v>
      </c>
      <c r="O153" s="394" t="s">
        <v>502</v>
      </c>
      <c r="P153" s="394"/>
      <c r="Q153" s="394"/>
      <c r="R153">
        <f t="shared" si="86"/>
        <v>145</v>
      </c>
      <c r="S153" s="97" t="s">
        <v>499</v>
      </c>
      <c r="T153" s="97"/>
      <c r="U153" t="s">
        <v>34</v>
      </c>
      <c r="V153" s="159" t="s">
        <v>34</v>
      </c>
      <c r="AB153" t="s">
        <v>34</v>
      </c>
      <c r="AH153" s="306">
        <f t="shared" si="23"/>
        <v>31.03448275862069</v>
      </c>
      <c r="AI153" s="306">
        <f t="shared" si="24"/>
        <v>1862.0689655172414</v>
      </c>
      <c r="AJ153" s="306">
        <f t="shared" si="25"/>
        <v>0.51724137931034486</v>
      </c>
    </row>
    <row r="154" spans="1:36" x14ac:dyDescent="0.35">
      <c r="A154">
        <f t="shared" si="20"/>
        <v>146</v>
      </c>
      <c r="B154" s="123" t="s">
        <v>430</v>
      </c>
      <c r="C154" s="42" t="s">
        <v>915</v>
      </c>
      <c r="D154" s="159">
        <v>100000000</v>
      </c>
      <c r="E154" s="159">
        <f>D154*E$7/F$3</f>
        <v>10000</v>
      </c>
      <c r="F154" s="159">
        <f>D154*F$7/F$3</f>
        <v>100000</v>
      </c>
      <c r="G154" s="174" t="s">
        <v>34</v>
      </c>
      <c r="H154" s="174" t="s">
        <v>34</v>
      </c>
      <c r="I154" s="58" t="s">
        <v>34</v>
      </c>
      <c r="J154" s="58" t="s">
        <v>34</v>
      </c>
      <c r="K154" s="105">
        <v>546</v>
      </c>
      <c r="L154" s="105">
        <v>2000</v>
      </c>
      <c r="M154" s="383" t="s">
        <v>705</v>
      </c>
      <c r="N154" s="394">
        <v>7700</v>
      </c>
      <c r="O154" s="394" t="s">
        <v>427</v>
      </c>
      <c r="P154" s="394"/>
      <c r="Q154" s="394"/>
      <c r="R154">
        <f t="shared" si="86"/>
        <v>146</v>
      </c>
      <c r="S154" s="20" t="s">
        <v>431</v>
      </c>
      <c r="T154" s="20"/>
      <c r="U154" t="s">
        <v>34</v>
      </c>
      <c r="V154" s="159" t="s">
        <v>34</v>
      </c>
      <c r="AB154" t="s">
        <v>34</v>
      </c>
      <c r="AH154" s="306">
        <f t="shared" si="23"/>
        <v>16.380000000000003</v>
      </c>
      <c r="AI154" s="306">
        <f t="shared" si="24"/>
        <v>982.80000000000018</v>
      </c>
      <c r="AJ154" s="306">
        <f t="shared" si="25"/>
        <v>0.27300000000000002</v>
      </c>
    </row>
    <row r="155" spans="1:36" x14ac:dyDescent="0.35">
      <c r="A155">
        <f t="shared" si="20"/>
        <v>147</v>
      </c>
      <c r="B155" s="123" t="s">
        <v>1368</v>
      </c>
      <c r="C155" s="42" t="s">
        <v>937</v>
      </c>
      <c r="D155" s="159">
        <v>30000</v>
      </c>
      <c r="E155" s="174" t="s">
        <v>34</v>
      </c>
      <c r="F155" s="174" t="s">
        <v>34</v>
      </c>
      <c r="G155" s="159">
        <f>D155*G$7/F$3</f>
        <v>300</v>
      </c>
      <c r="H155" s="159">
        <f>D155*H$7/F$3</f>
        <v>3000</v>
      </c>
      <c r="I155" s="8">
        <f>D155*I$7/I$3</f>
        <v>30</v>
      </c>
      <c r="J155" s="58" t="s">
        <v>34</v>
      </c>
      <c r="K155" s="105">
        <v>28</v>
      </c>
      <c r="L155" s="394" t="s">
        <v>34</v>
      </c>
      <c r="M155" s="383" t="s">
        <v>34</v>
      </c>
      <c r="N155" s="181" t="s">
        <v>461</v>
      </c>
      <c r="O155" s="394" t="s">
        <v>495</v>
      </c>
      <c r="P155" s="394"/>
      <c r="Q155" s="394"/>
      <c r="R155">
        <f t="shared" si="86"/>
        <v>147</v>
      </c>
      <c r="S155" s="97" t="s">
        <v>460</v>
      </c>
      <c r="T155" s="97"/>
      <c r="U155" t="s">
        <v>34</v>
      </c>
      <c r="V155" s="159" t="s">
        <v>34</v>
      </c>
      <c r="AB155" t="s">
        <v>34</v>
      </c>
    </row>
    <row r="156" spans="1:36" x14ac:dyDescent="0.35">
      <c r="A156">
        <f t="shared" si="20"/>
        <v>148</v>
      </c>
      <c r="B156" s="123" t="s">
        <v>675</v>
      </c>
      <c r="C156" s="42" t="s">
        <v>783</v>
      </c>
      <c r="D156" s="159">
        <v>40000</v>
      </c>
      <c r="E156" s="174"/>
      <c r="F156" s="174"/>
      <c r="G156" s="159"/>
      <c r="H156" s="159"/>
      <c r="I156" s="8"/>
      <c r="J156" s="58"/>
      <c r="K156" s="105">
        <v>111</v>
      </c>
      <c r="L156" s="394" t="s">
        <v>34</v>
      </c>
      <c r="M156" s="383" t="s">
        <v>34</v>
      </c>
      <c r="N156" s="181" t="s">
        <v>674</v>
      </c>
      <c r="O156" s="394" t="s">
        <v>673</v>
      </c>
      <c r="P156" s="394"/>
      <c r="Q156" s="394"/>
      <c r="R156">
        <f t="shared" si="86"/>
        <v>148</v>
      </c>
      <c r="S156" s="97" t="s">
        <v>677</v>
      </c>
      <c r="T156" s="97"/>
      <c r="U156" t="s">
        <v>678</v>
      </c>
      <c r="V156" s="159" t="s">
        <v>34</v>
      </c>
      <c r="AB156" t="s">
        <v>34</v>
      </c>
    </row>
    <row r="157" spans="1:36" x14ac:dyDescent="0.35">
      <c r="A157">
        <f t="shared" si="20"/>
        <v>149</v>
      </c>
      <c r="B157" s="123" t="s">
        <v>524</v>
      </c>
      <c r="C157" s="42" t="s">
        <v>939</v>
      </c>
      <c r="D157" s="159">
        <v>50000</v>
      </c>
      <c r="E157" s="174" t="s">
        <v>34</v>
      </c>
      <c r="F157" s="174" t="s">
        <v>34</v>
      </c>
      <c r="G157" s="159">
        <f t="shared" ref="G157:G161" si="87">D157*G$7/F$3</f>
        <v>500</v>
      </c>
      <c r="H157" s="159">
        <f>D157*H$7/F$3</f>
        <v>5000</v>
      </c>
      <c r="I157" s="58" t="s">
        <v>34</v>
      </c>
      <c r="J157" s="58" t="s">
        <v>34</v>
      </c>
      <c r="K157" s="105">
        <v>22</v>
      </c>
      <c r="L157" s="394">
        <v>1150</v>
      </c>
      <c r="M157" s="383" t="s">
        <v>487</v>
      </c>
      <c r="N157" s="181" t="s">
        <v>497</v>
      </c>
      <c r="O157" s="394" t="s">
        <v>496</v>
      </c>
      <c r="P157" s="394"/>
      <c r="Q157" s="394"/>
      <c r="R157">
        <f t="shared" si="86"/>
        <v>149</v>
      </c>
      <c r="S157" s="97" t="s">
        <v>494</v>
      </c>
      <c r="T157" s="97"/>
      <c r="U157" t="s">
        <v>34</v>
      </c>
      <c r="V157" s="159" t="s">
        <v>34</v>
      </c>
      <c r="AB157" t="s">
        <v>34</v>
      </c>
      <c r="AH157">
        <f t="shared" ref="AH157:AH164" si="88">(K157/L157)*60</f>
        <v>1.1478260869565218</v>
      </c>
    </row>
    <row r="158" spans="1:36" x14ac:dyDescent="0.35">
      <c r="A158">
        <f t="shared" si="20"/>
        <v>150</v>
      </c>
      <c r="B158" s="123" t="s">
        <v>525</v>
      </c>
      <c r="C158" s="42" t="s">
        <v>938</v>
      </c>
      <c r="D158" s="159">
        <v>1090000</v>
      </c>
      <c r="E158" s="159">
        <f>D158*E$7/F$3</f>
        <v>109</v>
      </c>
      <c r="F158" s="159">
        <f>D158*F$7/F$3</f>
        <v>1090</v>
      </c>
      <c r="G158" s="159">
        <f t="shared" si="87"/>
        <v>10900</v>
      </c>
      <c r="H158" s="174" t="s">
        <v>34</v>
      </c>
      <c r="I158" s="58" t="s">
        <v>34</v>
      </c>
      <c r="J158" s="58" t="s">
        <v>34</v>
      </c>
      <c r="K158" s="105">
        <v>105</v>
      </c>
      <c r="L158" s="105">
        <v>4939</v>
      </c>
      <c r="M158" s="383" t="s">
        <v>487</v>
      </c>
      <c r="N158" s="181" t="s">
        <v>486</v>
      </c>
      <c r="O158" s="394" t="s">
        <v>485</v>
      </c>
      <c r="P158" s="394"/>
      <c r="Q158" s="394"/>
      <c r="R158">
        <f t="shared" si="86"/>
        <v>150</v>
      </c>
      <c r="S158" s="20" t="s">
        <v>443</v>
      </c>
      <c r="T158" s="20"/>
      <c r="U158" t="s">
        <v>34</v>
      </c>
      <c r="V158" s="159" t="s">
        <v>34</v>
      </c>
      <c r="AB158" t="s">
        <v>34</v>
      </c>
      <c r="AH158">
        <f t="shared" si="88"/>
        <v>1.2755618546264424</v>
      </c>
    </row>
    <row r="159" spans="1:36" x14ac:dyDescent="0.35">
      <c r="A159">
        <f t="shared" si="20"/>
        <v>151</v>
      </c>
      <c r="B159" s="123" t="s">
        <v>526</v>
      </c>
      <c r="C159" s="42" t="s">
        <v>940</v>
      </c>
      <c r="D159" s="159">
        <v>399500</v>
      </c>
      <c r="E159" s="159">
        <f>D159*E$7/F$3</f>
        <v>39.950000000000003</v>
      </c>
      <c r="F159" s="159">
        <f>D159*F$7/F$3</f>
        <v>399.5</v>
      </c>
      <c r="G159" s="159">
        <f t="shared" si="87"/>
        <v>3995</v>
      </c>
      <c r="H159" s="174" t="s">
        <v>34</v>
      </c>
      <c r="I159" s="58" t="s">
        <v>34</v>
      </c>
      <c r="J159" s="58" t="s">
        <v>34</v>
      </c>
      <c r="K159" s="105">
        <v>35</v>
      </c>
      <c r="L159" s="105">
        <v>2980</v>
      </c>
      <c r="M159" s="383" t="s">
        <v>361</v>
      </c>
      <c r="N159" s="181" t="s">
        <v>492</v>
      </c>
      <c r="O159" s="394" t="s">
        <v>493</v>
      </c>
      <c r="P159" s="394"/>
      <c r="Q159" s="394"/>
      <c r="R159">
        <f t="shared" si="86"/>
        <v>151</v>
      </c>
      <c r="S159" s="20" t="s">
        <v>491</v>
      </c>
      <c r="T159" s="20"/>
      <c r="U159" t="s">
        <v>34</v>
      </c>
      <c r="V159" s="159" t="s">
        <v>34</v>
      </c>
      <c r="AB159" t="s">
        <v>34</v>
      </c>
      <c r="AH159" s="306">
        <f t="shared" si="88"/>
        <v>0.70469798657718119</v>
      </c>
      <c r="AI159" s="306">
        <f>60*AH159</f>
        <v>42.281879194630875</v>
      </c>
      <c r="AJ159" s="306">
        <f>AH159/60</f>
        <v>1.1744966442953021E-2</v>
      </c>
    </row>
    <row r="160" spans="1:36" x14ac:dyDescent="0.35">
      <c r="A160">
        <f t="shared" si="20"/>
        <v>152</v>
      </c>
      <c r="B160" s="123" t="s">
        <v>646</v>
      </c>
      <c r="C160" s="42" t="s">
        <v>795</v>
      </c>
      <c r="D160" s="159">
        <v>150000</v>
      </c>
      <c r="E160" s="159">
        <f>D160*E$7/F$3</f>
        <v>15</v>
      </c>
      <c r="F160" s="159">
        <f>D160*F$7/F$3</f>
        <v>150</v>
      </c>
      <c r="G160" s="159">
        <f t="shared" si="87"/>
        <v>1500</v>
      </c>
      <c r="H160" s="174" t="s">
        <v>34</v>
      </c>
      <c r="I160" s="58" t="s">
        <v>34</v>
      </c>
      <c r="J160" s="58" t="s">
        <v>34</v>
      </c>
      <c r="K160" s="427">
        <v>11</v>
      </c>
      <c r="L160" s="105">
        <v>1600</v>
      </c>
      <c r="M160" s="383" t="s">
        <v>615</v>
      </c>
      <c r="N160" s="181" t="s">
        <v>648</v>
      </c>
      <c r="O160" s="394" t="s">
        <v>649</v>
      </c>
      <c r="P160" s="394"/>
      <c r="Q160" s="394"/>
      <c r="R160">
        <f t="shared" si="86"/>
        <v>152</v>
      </c>
      <c r="S160" s="20" t="s">
        <v>647</v>
      </c>
      <c r="T160" s="20"/>
      <c r="U160" t="s">
        <v>654</v>
      </c>
      <c r="V160" s="159" t="s">
        <v>34</v>
      </c>
      <c r="AB160" t="s">
        <v>34</v>
      </c>
      <c r="AH160" s="306">
        <f t="shared" ref="AH160" si="89">(K160/L160)*60</f>
        <v>0.41249999999999998</v>
      </c>
      <c r="AI160" s="306">
        <f>60*AH160</f>
        <v>24.75</v>
      </c>
      <c r="AJ160" s="306">
        <f>AH160/60</f>
        <v>6.875E-3</v>
      </c>
    </row>
    <row r="161" spans="1:36" x14ac:dyDescent="0.35">
      <c r="A161">
        <f t="shared" si="20"/>
        <v>153</v>
      </c>
      <c r="B161" s="123" t="s">
        <v>941</v>
      </c>
      <c r="C161" s="42" t="s">
        <v>884</v>
      </c>
      <c r="D161" s="159">
        <v>319000</v>
      </c>
      <c r="E161" s="159">
        <f>D161*E$7/F$3</f>
        <v>31.9</v>
      </c>
      <c r="F161" s="159">
        <f>D161*F$7/F$3</f>
        <v>319</v>
      </c>
      <c r="G161" s="159">
        <f t="shared" si="87"/>
        <v>3190</v>
      </c>
      <c r="H161" s="174" t="s">
        <v>34</v>
      </c>
      <c r="I161" s="58" t="s">
        <v>34</v>
      </c>
      <c r="J161" s="58" t="s">
        <v>34</v>
      </c>
      <c r="K161" s="427">
        <v>8</v>
      </c>
      <c r="L161" s="105">
        <f>L160</f>
        <v>1600</v>
      </c>
      <c r="M161" s="383" t="s">
        <v>653</v>
      </c>
      <c r="N161" s="383" t="str">
        <f>N160</f>
        <v>9</v>
      </c>
      <c r="O161" s="394" t="s">
        <v>514</v>
      </c>
      <c r="P161" s="394"/>
      <c r="Q161" s="394"/>
      <c r="R161">
        <f t="shared" si="86"/>
        <v>153</v>
      </c>
      <c r="S161" s="20" t="s">
        <v>651</v>
      </c>
      <c r="T161" s="20"/>
      <c r="U161" t="s">
        <v>912</v>
      </c>
      <c r="V161" s="159" t="s">
        <v>34</v>
      </c>
      <c r="AB161" t="s">
        <v>34</v>
      </c>
      <c r="AH161" s="306">
        <f t="shared" ref="AH161" si="90">(K161/L161)*60</f>
        <v>0.3</v>
      </c>
      <c r="AI161" s="306">
        <f>60*AH161</f>
        <v>18</v>
      </c>
      <c r="AJ161" s="306">
        <f>AH161/60</f>
        <v>5.0000000000000001E-3</v>
      </c>
    </row>
    <row r="162" spans="1:36" x14ac:dyDescent="0.35">
      <c r="A162">
        <f t="shared" si="20"/>
        <v>154</v>
      </c>
      <c r="B162" s="123" t="s">
        <v>913</v>
      </c>
      <c r="C162" s="42" t="s">
        <v>914</v>
      </c>
      <c r="D162" s="159">
        <v>15</v>
      </c>
      <c r="E162" s="174" t="s">
        <v>34</v>
      </c>
      <c r="F162" s="174" t="s">
        <v>34</v>
      </c>
      <c r="G162" s="174" t="s">
        <v>34</v>
      </c>
      <c r="H162" s="159">
        <f>D162*H$7/F$3</f>
        <v>1.5</v>
      </c>
      <c r="I162" s="8">
        <f>D162*I$7/I$3</f>
        <v>1.4999999999999999E-2</v>
      </c>
      <c r="J162" s="142">
        <f>D162*J$7/I$3</f>
        <v>0.15</v>
      </c>
      <c r="K162" s="427">
        <v>3</v>
      </c>
      <c r="L162" s="105">
        <v>3780</v>
      </c>
      <c r="M162" s="383" t="s">
        <v>563</v>
      </c>
      <c r="N162" s="181" t="s">
        <v>34</v>
      </c>
      <c r="O162" s="394" t="s">
        <v>360</v>
      </c>
      <c r="P162" s="394"/>
      <c r="Q162" s="394"/>
      <c r="R162">
        <f t="shared" si="86"/>
        <v>154</v>
      </c>
      <c r="S162" s="20" t="s">
        <v>489</v>
      </c>
      <c r="T162" s="20"/>
      <c r="U162" s="4" t="s">
        <v>490</v>
      </c>
      <c r="V162" s="159" t="s">
        <v>34</v>
      </c>
      <c r="W162" s="397"/>
      <c r="X162" s="397"/>
      <c r="Y162" s="397"/>
      <c r="Z162" s="397"/>
      <c r="AA162" s="397"/>
      <c r="AB162" t="s">
        <v>34</v>
      </c>
      <c r="AH162">
        <f t="shared" si="88"/>
        <v>4.7619047619047616E-2</v>
      </c>
      <c r="AI162" s="8">
        <f>60*AH162</f>
        <v>2.8571428571428568</v>
      </c>
    </row>
    <row r="163" spans="1:36" x14ac:dyDescent="0.35">
      <c r="A163">
        <f t="shared" si="20"/>
        <v>155</v>
      </c>
      <c r="B163" s="123" t="s">
        <v>602</v>
      </c>
      <c r="C163" s="42" t="s">
        <v>787</v>
      </c>
      <c r="D163" s="174" t="s">
        <v>34</v>
      </c>
      <c r="E163" s="174" t="s">
        <v>34</v>
      </c>
      <c r="F163" s="174" t="s">
        <v>34</v>
      </c>
      <c r="G163" s="174" t="s">
        <v>34</v>
      </c>
      <c r="H163" s="174" t="s">
        <v>34</v>
      </c>
      <c r="I163" s="58" t="s">
        <v>34</v>
      </c>
      <c r="J163" s="58" t="s">
        <v>34</v>
      </c>
      <c r="K163" s="105">
        <f>14200/2</f>
        <v>7100</v>
      </c>
      <c r="L163" s="105">
        <v>1050</v>
      </c>
      <c r="M163" s="383" t="s">
        <v>722</v>
      </c>
      <c r="N163" s="394">
        <v>32000</v>
      </c>
      <c r="O163" s="394">
        <v>744</v>
      </c>
      <c r="P163" s="394"/>
      <c r="Q163" s="394">
        <v>0</v>
      </c>
      <c r="R163">
        <f t="shared" si="86"/>
        <v>155</v>
      </c>
      <c r="S163" s="20" t="s">
        <v>601</v>
      </c>
      <c r="T163" s="20"/>
      <c r="U163" t="s">
        <v>34</v>
      </c>
      <c r="V163" s="159" t="s">
        <v>34</v>
      </c>
      <c r="AB163" t="s">
        <v>34</v>
      </c>
      <c r="AH163" s="306">
        <f t="shared" si="88"/>
        <v>405.71428571428572</v>
      </c>
      <c r="AI163" s="306">
        <f t="shared" ref="AI163:AI164" si="91">60*AH163</f>
        <v>24342.857142857145</v>
      </c>
      <c r="AJ163" s="306">
        <f t="shared" ref="AJ163:AJ164" si="92">AH163/60</f>
        <v>6.7619047619047619</v>
      </c>
    </row>
    <row r="164" spans="1:36" x14ac:dyDescent="0.35">
      <c r="A164">
        <f t="shared" si="20"/>
        <v>156</v>
      </c>
      <c r="B164" s="123" t="s">
        <v>843</v>
      </c>
      <c r="C164" s="42" t="s">
        <v>867</v>
      </c>
      <c r="D164" s="174" t="s">
        <v>34</v>
      </c>
      <c r="E164" s="174" t="s">
        <v>34</v>
      </c>
      <c r="F164" s="174" t="s">
        <v>34</v>
      </c>
      <c r="G164" s="174" t="s">
        <v>34</v>
      </c>
      <c r="H164" s="174" t="s">
        <v>34</v>
      </c>
      <c r="I164" s="58" t="s">
        <v>34</v>
      </c>
      <c r="J164" s="58" t="s">
        <v>34</v>
      </c>
      <c r="K164" s="105">
        <f>9400/2</f>
        <v>4700</v>
      </c>
      <c r="L164" s="105">
        <v>1335</v>
      </c>
      <c r="M164" s="383" t="s">
        <v>868</v>
      </c>
      <c r="N164" s="394">
        <v>16000</v>
      </c>
      <c r="O164" s="394">
        <v>104</v>
      </c>
      <c r="P164" s="394"/>
      <c r="Q164" s="394">
        <v>0</v>
      </c>
      <c r="R164">
        <f t="shared" si="86"/>
        <v>156</v>
      </c>
      <c r="S164" s="20" t="s">
        <v>866</v>
      </c>
      <c r="T164" s="20"/>
      <c r="U164" t="s">
        <v>34</v>
      </c>
      <c r="V164" s="159" t="s">
        <v>34</v>
      </c>
      <c r="AB164" t="s">
        <v>34</v>
      </c>
      <c r="AH164" s="306">
        <f t="shared" si="88"/>
        <v>211.23595505617979</v>
      </c>
      <c r="AI164" s="306">
        <f t="shared" si="91"/>
        <v>12674.157303370788</v>
      </c>
      <c r="AJ164" s="306">
        <f t="shared" si="92"/>
        <v>3.5205992509363297</v>
      </c>
    </row>
    <row r="165" spans="1:36" x14ac:dyDescent="0.35">
      <c r="A165">
        <f t="shared" si="20"/>
        <v>157</v>
      </c>
      <c r="B165" s="123" t="s">
        <v>869</v>
      </c>
      <c r="C165" s="42" t="s">
        <v>788</v>
      </c>
      <c r="D165" s="159">
        <v>4000000000</v>
      </c>
      <c r="E165" s="159">
        <f>D165*E$7/F$3</f>
        <v>400000</v>
      </c>
      <c r="F165" s="174" t="s">
        <v>34</v>
      </c>
      <c r="G165" s="174" t="s">
        <v>34</v>
      </c>
      <c r="H165" s="174" t="s">
        <v>34</v>
      </c>
      <c r="I165" s="58" t="s">
        <v>34</v>
      </c>
      <c r="J165" s="58" t="s">
        <v>34</v>
      </c>
      <c r="K165" s="105">
        <f>11000/2</f>
        <v>5500</v>
      </c>
      <c r="L165" s="105">
        <v>900</v>
      </c>
      <c r="M165" s="383" t="s">
        <v>876</v>
      </c>
      <c r="N165" s="394">
        <v>20000</v>
      </c>
      <c r="O165" s="394">
        <v>21</v>
      </c>
      <c r="P165" s="394"/>
      <c r="Q165" s="394">
        <v>0</v>
      </c>
      <c r="R165">
        <f t="shared" si="86"/>
        <v>157</v>
      </c>
      <c r="S165" s="20" t="s">
        <v>624</v>
      </c>
      <c r="T165" s="20"/>
      <c r="U165" t="s">
        <v>34</v>
      </c>
      <c r="V165" s="159" t="s">
        <v>34</v>
      </c>
      <c r="AB165" t="s">
        <v>34</v>
      </c>
      <c r="AH165" s="306">
        <f>(K165/L165)*60</f>
        <v>366.66666666666663</v>
      </c>
      <c r="AI165" s="306">
        <f>60*AH165</f>
        <v>21999.999999999996</v>
      </c>
      <c r="AJ165" s="306">
        <f>AH165/60</f>
        <v>6.1111111111111107</v>
      </c>
    </row>
    <row r="166" spans="1:36" x14ac:dyDescent="0.35">
      <c r="A166">
        <f t="shared" si="20"/>
        <v>158</v>
      </c>
      <c r="B166" s="123" t="s">
        <v>870</v>
      </c>
      <c r="C166" s="42" t="s">
        <v>871</v>
      </c>
      <c r="D166" s="159" t="s">
        <v>872</v>
      </c>
      <c r="E166" s="159"/>
      <c r="F166" s="174"/>
      <c r="G166" s="174"/>
      <c r="H166" s="174"/>
      <c r="I166" s="58"/>
      <c r="J166" s="58"/>
      <c r="K166" s="394" t="s">
        <v>875</v>
      </c>
      <c r="L166" s="105">
        <v>900</v>
      </c>
      <c r="M166" s="383" t="s">
        <v>876</v>
      </c>
      <c r="N166" s="394">
        <v>9100</v>
      </c>
      <c r="O166" s="394">
        <v>1</v>
      </c>
      <c r="P166" s="394"/>
      <c r="Q166" s="394">
        <v>0</v>
      </c>
      <c r="R166">
        <f t="shared" si="86"/>
        <v>158</v>
      </c>
      <c r="S166" s="20" t="s">
        <v>874</v>
      </c>
      <c r="T166" s="20"/>
      <c r="U166" t="s">
        <v>1030</v>
      </c>
      <c r="V166" s="159" t="s">
        <v>34</v>
      </c>
      <c r="AB166" t="s">
        <v>34</v>
      </c>
      <c r="AH166" s="306"/>
      <c r="AI166" s="306"/>
      <c r="AJ166" s="306"/>
    </row>
    <row r="167" spans="1:36" x14ac:dyDescent="0.35">
      <c r="A167">
        <f t="shared" si="20"/>
        <v>159</v>
      </c>
      <c r="B167" s="493" t="s">
        <v>873</v>
      </c>
      <c r="C167" s="496" t="s">
        <v>732</v>
      </c>
      <c r="D167" s="496" t="s">
        <v>34</v>
      </c>
      <c r="E167" s="496" t="s">
        <v>34</v>
      </c>
      <c r="F167" s="496" t="s">
        <v>34</v>
      </c>
      <c r="G167" s="496" t="s">
        <v>34</v>
      </c>
      <c r="H167" s="496" t="s">
        <v>34</v>
      </c>
      <c r="I167" s="520" t="s">
        <v>34</v>
      </c>
      <c r="J167" s="520" t="s">
        <v>34</v>
      </c>
      <c r="K167" s="498">
        <f>2500/2</f>
        <v>1250</v>
      </c>
      <c r="L167" s="498">
        <v>1997</v>
      </c>
      <c r="M167" s="521" t="s">
        <v>877</v>
      </c>
      <c r="N167" s="501">
        <v>24000</v>
      </c>
      <c r="O167" s="501">
        <v>497</v>
      </c>
      <c r="P167" s="501">
        <v>58</v>
      </c>
      <c r="Q167" s="501">
        <v>0</v>
      </c>
      <c r="R167">
        <f t="shared" si="86"/>
        <v>159</v>
      </c>
      <c r="S167" t="s">
        <v>600</v>
      </c>
      <c r="U167" t="s">
        <v>749</v>
      </c>
      <c r="V167" s="159" t="s">
        <v>34</v>
      </c>
      <c r="AB167" t="s">
        <v>34</v>
      </c>
      <c r="AH167" s="306">
        <f t="shared" ref="AH167:AH174" si="93">(K167/L167)*60</f>
        <v>37.55633450175263</v>
      </c>
      <c r="AI167" s="306">
        <f t="shared" ref="AI167:AI174" si="94">60*AH167</f>
        <v>2253.3800701051578</v>
      </c>
      <c r="AJ167" s="306">
        <f t="shared" ref="AJ167:AJ174" si="95">AH167/60</f>
        <v>0.62593890836254384</v>
      </c>
    </row>
    <row r="168" spans="1:36" x14ac:dyDescent="0.35">
      <c r="A168">
        <f t="shared" si="20"/>
        <v>160</v>
      </c>
      <c r="B168" s="493" t="s">
        <v>743</v>
      </c>
      <c r="C168" s="496" t="s">
        <v>778</v>
      </c>
      <c r="D168" s="496" t="s">
        <v>34</v>
      </c>
      <c r="E168" s="496" t="s">
        <v>34</v>
      </c>
      <c r="F168" s="496" t="s">
        <v>34</v>
      </c>
      <c r="G168" s="496" t="s">
        <v>34</v>
      </c>
      <c r="H168" s="496" t="s">
        <v>34</v>
      </c>
      <c r="I168" s="520" t="s">
        <v>34</v>
      </c>
      <c r="J168" s="520" t="s">
        <v>34</v>
      </c>
      <c r="K168" s="498">
        <f>7300/2</f>
        <v>3650</v>
      </c>
      <c r="L168" s="498">
        <v>2220</v>
      </c>
      <c r="M168" s="521" t="s">
        <v>748</v>
      </c>
      <c r="N168" s="501">
        <v>45000</v>
      </c>
      <c r="O168" s="501">
        <v>41</v>
      </c>
      <c r="P168" s="501">
        <v>15</v>
      </c>
      <c r="Q168" s="501"/>
      <c r="R168">
        <f t="shared" si="86"/>
        <v>160</v>
      </c>
      <c r="S168" s="97" t="s">
        <v>744</v>
      </c>
      <c r="T168" s="97"/>
      <c r="U168" t="s">
        <v>895</v>
      </c>
      <c r="V168" s="159" t="s">
        <v>34</v>
      </c>
      <c r="AB168" t="s">
        <v>34</v>
      </c>
      <c r="AH168" s="306">
        <f t="shared" ref="AH168" si="96">(K168/L168)*60</f>
        <v>98.64864864864866</v>
      </c>
      <c r="AI168" s="306">
        <f t="shared" ref="AI168" si="97">60*AH168</f>
        <v>5918.9189189189192</v>
      </c>
      <c r="AJ168" s="306">
        <f t="shared" ref="AJ168" si="98">AH168/60</f>
        <v>1.6441441441441442</v>
      </c>
    </row>
    <row r="169" spans="1:36" x14ac:dyDescent="0.35">
      <c r="A169">
        <f t="shared" si="20"/>
        <v>161</v>
      </c>
      <c r="B169" s="493" t="s">
        <v>726</v>
      </c>
      <c r="C169" s="496" t="s">
        <v>727</v>
      </c>
      <c r="D169" s="496" t="s">
        <v>34</v>
      </c>
      <c r="E169" s="496" t="s">
        <v>34</v>
      </c>
      <c r="F169" s="496" t="s">
        <v>34</v>
      </c>
      <c r="G169" s="496" t="s">
        <v>34</v>
      </c>
      <c r="H169" s="496" t="s">
        <v>34</v>
      </c>
      <c r="I169" s="520" t="s">
        <v>34</v>
      </c>
      <c r="J169" s="520" t="s">
        <v>34</v>
      </c>
      <c r="K169" s="498">
        <f>15000/2</f>
        <v>7500</v>
      </c>
      <c r="L169" s="498">
        <v>710</v>
      </c>
      <c r="M169" s="521" t="s">
        <v>376</v>
      </c>
      <c r="N169" s="501">
        <v>15000</v>
      </c>
      <c r="O169" s="501" t="s">
        <v>367</v>
      </c>
      <c r="P169" s="501">
        <v>47</v>
      </c>
      <c r="Q169" s="501">
        <v>0</v>
      </c>
      <c r="R169">
        <f t="shared" si="86"/>
        <v>161</v>
      </c>
      <c r="S169" t="s">
        <v>728</v>
      </c>
      <c r="U169" t="s">
        <v>34</v>
      </c>
      <c r="V169" s="159" t="s">
        <v>34</v>
      </c>
      <c r="AB169" t="s">
        <v>34</v>
      </c>
      <c r="AH169" s="306">
        <f t="shared" ref="AH169" si="99">(K169/L169)*60</f>
        <v>633.80281690140839</v>
      </c>
      <c r="AI169" s="306">
        <f t="shared" ref="AI169" si="100">60*AH169</f>
        <v>38028.169014084502</v>
      </c>
      <c r="AJ169" s="306">
        <f t="shared" ref="AJ169" si="101">AH169/60</f>
        <v>10.56338028169014</v>
      </c>
    </row>
    <row r="170" spans="1:36" x14ac:dyDescent="0.35">
      <c r="A170">
        <f t="shared" si="20"/>
        <v>162</v>
      </c>
      <c r="B170" s="493" t="s">
        <v>714</v>
      </c>
      <c r="C170" s="496" t="s">
        <v>701</v>
      </c>
      <c r="D170" s="496" t="s">
        <v>34</v>
      </c>
      <c r="E170" s="496" t="s">
        <v>34</v>
      </c>
      <c r="F170" s="496" t="s">
        <v>34</v>
      </c>
      <c r="G170" s="496" t="s">
        <v>34</v>
      </c>
      <c r="H170" s="496" t="s">
        <v>34</v>
      </c>
      <c r="I170" s="520" t="s">
        <v>34</v>
      </c>
      <c r="J170" s="520" t="s">
        <v>34</v>
      </c>
      <c r="K170" s="498">
        <f>1450/2</f>
        <v>725</v>
      </c>
      <c r="L170" s="498">
        <v>3000</v>
      </c>
      <c r="M170" s="521" t="s">
        <v>704</v>
      </c>
      <c r="N170" s="501">
        <v>9000</v>
      </c>
      <c r="O170" s="501">
        <v>519</v>
      </c>
      <c r="P170" s="501">
        <v>130</v>
      </c>
      <c r="Q170" s="501">
        <v>0</v>
      </c>
      <c r="R170">
        <f t="shared" si="86"/>
        <v>162</v>
      </c>
      <c r="S170" t="s">
        <v>703</v>
      </c>
      <c r="U170" s="174">
        <v>20</v>
      </c>
      <c r="V170" s="159" t="s">
        <v>34</v>
      </c>
      <c r="W170" s="174"/>
      <c r="X170" s="174"/>
      <c r="Y170" s="174"/>
      <c r="Z170" s="174"/>
      <c r="AA170" s="174"/>
      <c r="AB170" t="s">
        <v>34</v>
      </c>
      <c r="AC170" t="s">
        <v>766</v>
      </c>
      <c r="AH170" s="306">
        <f t="shared" ref="AH170" si="102">(K170/L170)*60</f>
        <v>14.5</v>
      </c>
      <c r="AI170" s="306">
        <f t="shared" ref="AI170" si="103">60*AH170</f>
        <v>870</v>
      </c>
      <c r="AJ170" s="306">
        <f t="shared" ref="AJ170" si="104">AH170/60</f>
        <v>0.24166666666666667</v>
      </c>
    </row>
    <row r="171" spans="1:36" x14ac:dyDescent="0.35">
      <c r="A171">
        <f t="shared" si="20"/>
        <v>163</v>
      </c>
      <c r="B171" s="493" t="s">
        <v>733</v>
      </c>
      <c r="C171" s="496" t="s">
        <v>732</v>
      </c>
      <c r="D171" s="496" t="s">
        <v>34</v>
      </c>
      <c r="E171" s="496" t="s">
        <v>34</v>
      </c>
      <c r="F171" s="496" t="s">
        <v>34</v>
      </c>
      <c r="G171" s="496" t="s">
        <v>34</v>
      </c>
      <c r="H171" s="496" t="s">
        <v>34</v>
      </c>
      <c r="I171" s="520" t="s">
        <v>34</v>
      </c>
      <c r="J171" s="520" t="s">
        <v>34</v>
      </c>
      <c r="K171" s="498">
        <f>615/2</f>
        <v>307.5</v>
      </c>
      <c r="L171" s="498">
        <v>1654</v>
      </c>
      <c r="M171" s="521" t="s">
        <v>578</v>
      </c>
      <c r="N171" s="501">
        <v>3000</v>
      </c>
      <c r="O171" s="501">
        <v>1400</v>
      </c>
      <c r="P171" s="501">
        <v>273</v>
      </c>
      <c r="Q171" s="501">
        <v>0</v>
      </c>
      <c r="R171">
        <f t="shared" si="86"/>
        <v>163</v>
      </c>
      <c r="S171" t="s">
        <v>734</v>
      </c>
      <c r="U171" t="s">
        <v>34</v>
      </c>
      <c r="V171" s="159" t="s">
        <v>34</v>
      </c>
      <c r="AB171" t="s">
        <v>34</v>
      </c>
      <c r="AH171" s="306">
        <f t="shared" ref="AH171" si="105">(K171/L171)*60</f>
        <v>11.154776299879082</v>
      </c>
      <c r="AI171" s="306">
        <f t="shared" ref="AI171" si="106">60*AH171</f>
        <v>669.28657799274492</v>
      </c>
      <c r="AJ171" s="306">
        <f t="shared" ref="AJ171" si="107">AH171/60</f>
        <v>0.18591293833131803</v>
      </c>
    </row>
    <row r="172" spans="1:36" x14ac:dyDescent="0.35">
      <c r="A172">
        <f t="shared" si="20"/>
        <v>164</v>
      </c>
      <c r="B172" s="493" t="s">
        <v>693</v>
      </c>
      <c r="C172" s="494" t="s">
        <v>781</v>
      </c>
      <c r="D172" s="496" t="s">
        <v>34</v>
      </c>
      <c r="E172" s="496" t="s">
        <v>34</v>
      </c>
      <c r="F172" s="496" t="s">
        <v>34</v>
      </c>
      <c r="G172" s="496" t="s">
        <v>34</v>
      </c>
      <c r="H172" s="496" t="s">
        <v>34</v>
      </c>
      <c r="I172" s="520" t="s">
        <v>34</v>
      </c>
      <c r="J172" s="520" t="s">
        <v>34</v>
      </c>
      <c r="K172" s="498">
        <f>1000/2</f>
        <v>500</v>
      </c>
      <c r="L172" s="498">
        <v>975</v>
      </c>
      <c r="M172" s="521" t="s">
        <v>697</v>
      </c>
      <c r="N172" s="501">
        <v>4400</v>
      </c>
      <c r="O172" s="501" t="s">
        <v>540</v>
      </c>
      <c r="P172" s="501">
        <v>192</v>
      </c>
      <c r="Q172" s="501">
        <v>0</v>
      </c>
      <c r="R172">
        <f t="shared" si="86"/>
        <v>164</v>
      </c>
      <c r="S172" t="s">
        <v>695</v>
      </c>
      <c r="U172" t="s">
        <v>34</v>
      </c>
      <c r="V172" s="159" t="s">
        <v>34</v>
      </c>
      <c r="AB172" t="s">
        <v>34</v>
      </c>
      <c r="AH172" s="306">
        <f t="shared" si="93"/>
        <v>30.769230769230766</v>
      </c>
      <c r="AI172" s="306">
        <f t="shared" si="94"/>
        <v>1846.153846153846</v>
      </c>
      <c r="AJ172" s="306">
        <f t="shared" si="95"/>
        <v>0.51282051282051277</v>
      </c>
    </row>
    <row r="173" spans="1:36" x14ac:dyDescent="0.35">
      <c r="A173">
        <f t="shared" si="20"/>
        <v>165</v>
      </c>
      <c r="B173" s="493" t="s">
        <v>527</v>
      </c>
      <c r="C173" s="494" t="s">
        <v>782</v>
      </c>
      <c r="D173" s="495">
        <v>85000000</v>
      </c>
      <c r="E173" s="495">
        <f>D173*E$7/F$3</f>
        <v>8500</v>
      </c>
      <c r="F173" s="495">
        <f>D173*F$7/F$3</f>
        <v>85000</v>
      </c>
      <c r="G173" s="496" t="s">
        <v>34</v>
      </c>
      <c r="H173" s="496" t="s">
        <v>34</v>
      </c>
      <c r="I173" s="520" t="s">
        <v>34</v>
      </c>
      <c r="J173" s="520" t="s">
        <v>34</v>
      </c>
      <c r="K173" s="498">
        <f>1600/2</f>
        <v>800</v>
      </c>
      <c r="L173" s="498">
        <v>2400</v>
      </c>
      <c r="M173" s="521" t="s">
        <v>358</v>
      </c>
      <c r="N173" s="501">
        <v>8000</v>
      </c>
      <c r="O173" s="501" t="s">
        <v>528</v>
      </c>
      <c r="P173" s="501">
        <v>114</v>
      </c>
      <c r="Q173" s="501"/>
      <c r="R173">
        <f t="shared" si="86"/>
        <v>165</v>
      </c>
      <c r="S173" s="20" t="s">
        <v>529</v>
      </c>
      <c r="T173" s="20"/>
      <c r="U173" t="s">
        <v>739</v>
      </c>
      <c r="V173" s="159" t="s">
        <v>34</v>
      </c>
      <c r="AB173" t="s">
        <v>34</v>
      </c>
      <c r="AH173" s="306">
        <f t="shared" si="93"/>
        <v>20</v>
      </c>
      <c r="AI173" s="306">
        <f t="shared" si="94"/>
        <v>1200</v>
      </c>
      <c r="AJ173" s="306">
        <f t="shared" si="95"/>
        <v>0.33333333333333331</v>
      </c>
    </row>
    <row r="174" spans="1:36" x14ac:dyDescent="0.35">
      <c r="A174">
        <f t="shared" si="20"/>
        <v>166</v>
      </c>
      <c r="B174" s="493" t="s">
        <v>531</v>
      </c>
      <c r="C174" s="494" t="s">
        <v>783</v>
      </c>
      <c r="D174" s="495">
        <v>36000000</v>
      </c>
      <c r="E174" s="495">
        <f>D174*E$7/F$3</f>
        <v>3600</v>
      </c>
      <c r="F174" s="495">
        <f>D174*F$7/F$3</f>
        <v>36000</v>
      </c>
      <c r="G174" s="496" t="s">
        <v>34</v>
      </c>
      <c r="H174" s="496" t="s">
        <v>34</v>
      </c>
      <c r="I174" s="520" t="s">
        <v>34</v>
      </c>
      <c r="J174" s="520" t="s">
        <v>34</v>
      </c>
      <c r="K174" s="498">
        <f>1100/2</f>
        <v>550</v>
      </c>
      <c r="L174" s="498">
        <v>1900</v>
      </c>
      <c r="M174" s="521" t="s">
        <v>599</v>
      </c>
      <c r="N174" s="501">
        <v>13000</v>
      </c>
      <c r="O174" s="501">
        <v>163</v>
      </c>
      <c r="P174" s="501">
        <v>163</v>
      </c>
      <c r="Q174" s="501"/>
      <c r="R174">
        <f t="shared" si="86"/>
        <v>166</v>
      </c>
      <c r="S174" s="20" t="s">
        <v>532</v>
      </c>
      <c r="T174" s="20"/>
      <c r="U174" t="s">
        <v>34</v>
      </c>
      <c r="V174" s="159" t="s">
        <v>34</v>
      </c>
      <c r="AB174" t="s">
        <v>34</v>
      </c>
      <c r="AC174" s="133">
        <f>P169+P170+P171+P172+P179+P182+P190</f>
        <v>796</v>
      </c>
      <c r="AD174" t="s">
        <v>767</v>
      </c>
      <c r="AH174" s="306">
        <f t="shared" si="93"/>
        <v>17.368421052631579</v>
      </c>
      <c r="AI174" s="306">
        <f t="shared" si="94"/>
        <v>1042.1052631578948</v>
      </c>
      <c r="AJ174" s="306">
        <f t="shared" si="95"/>
        <v>0.28947368421052633</v>
      </c>
    </row>
    <row r="175" spans="1:36" x14ac:dyDescent="0.35">
      <c r="A175">
        <f t="shared" si="20"/>
        <v>167</v>
      </c>
      <c r="B175" s="493" t="s">
        <v>534</v>
      </c>
      <c r="C175" s="494" t="s">
        <v>789</v>
      </c>
      <c r="D175" s="495">
        <f>D155</f>
        <v>30000</v>
      </c>
      <c r="E175" s="496" t="s">
        <v>34</v>
      </c>
      <c r="F175" s="496" t="s">
        <v>34</v>
      </c>
      <c r="G175" s="495">
        <f>D175*G$7/F$3</f>
        <v>300</v>
      </c>
      <c r="H175" s="495">
        <f>D175*H$7/F$3</f>
        <v>3000</v>
      </c>
      <c r="I175" s="502">
        <f>D175*I$7/I$3</f>
        <v>30</v>
      </c>
      <c r="J175" s="520" t="s">
        <v>34</v>
      </c>
      <c r="K175" s="498">
        <v>69</v>
      </c>
      <c r="L175" s="501" t="s">
        <v>34</v>
      </c>
      <c r="M175" s="521" t="s">
        <v>34</v>
      </c>
      <c r="N175" s="507" t="s">
        <v>537</v>
      </c>
      <c r="O175" s="501" t="s">
        <v>1384</v>
      </c>
      <c r="P175" s="501"/>
      <c r="Q175" s="501">
        <f>12*3000</f>
        <v>36000</v>
      </c>
      <c r="R175">
        <f t="shared" si="86"/>
        <v>167</v>
      </c>
      <c r="S175" s="4" t="s">
        <v>535</v>
      </c>
      <c r="T175" s="4" t="s">
        <v>1382</v>
      </c>
      <c r="U175" t="s">
        <v>34</v>
      </c>
      <c r="V175" s="159" t="s">
        <v>34</v>
      </c>
      <c r="AB175" t="s">
        <v>34</v>
      </c>
      <c r="AC175" s="133">
        <f>P167+P168+P173+P174+U170</f>
        <v>370</v>
      </c>
      <c r="AD175" t="s">
        <v>768</v>
      </c>
      <c r="AI175" s="8"/>
    </row>
    <row r="176" spans="1:36" x14ac:dyDescent="0.35">
      <c r="A176">
        <f t="shared" si="20"/>
        <v>168</v>
      </c>
      <c r="B176" s="493" t="s">
        <v>560</v>
      </c>
      <c r="C176" s="494" t="s">
        <v>797</v>
      </c>
      <c r="D176" s="495">
        <v>2000000</v>
      </c>
      <c r="E176" s="495">
        <f>D176*E$7/F$3</f>
        <v>200</v>
      </c>
      <c r="F176" s="495">
        <f>D176*F$7/F$3</f>
        <v>2000</v>
      </c>
      <c r="G176" s="496"/>
      <c r="H176" s="496"/>
      <c r="I176" s="496"/>
      <c r="J176" s="497"/>
      <c r="K176" s="498">
        <v>400</v>
      </c>
      <c r="L176" s="501">
        <f>970</f>
        <v>970</v>
      </c>
      <c r="M176" s="521" t="s">
        <v>557</v>
      </c>
      <c r="N176" s="507" t="s">
        <v>556</v>
      </c>
      <c r="O176" s="501" t="s">
        <v>423</v>
      </c>
      <c r="P176" s="501"/>
      <c r="Q176" s="501"/>
      <c r="R176">
        <f t="shared" si="86"/>
        <v>168</v>
      </c>
      <c r="S176" s="397" t="s">
        <v>790</v>
      </c>
      <c r="T176" s="397"/>
      <c r="U176" t="s">
        <v>34</v>
      </c>
      <c r="V176" s="159" t="s">
        <v>34</v>
      </c>
      <c r="AB176" t="s">
        <v>34</v>
      </c>
      <c r="AC176" s="133">
        <f>AC174+AC175</f>
        <v>1166</v>
      </c>
      <c r="AD176" t="s">
        <v>764</v>
      </c>
      <c r="AH176" s="306">
        <f t="shared" ref="AH176:AH183" si="108">(K176/L176)*60</f>
        <v>24.742268041237111</v>
      </c>
      <c r="AI176" s="306">
        <f>60*AH176</f>
        <v>1484.5360824742265</v>
      </c>
      <c r="AJ176" s="306">
        <f>AH176/60</f>
        <v>0.41237113402061853</v>
      </c>
    </row>
    <row r="177" spans="1:36" x14ac:dyDescent="0.35">
      <c r="A177">
        <f t="shared" si="20"/>
        <v>169</v>
      </c>
      <c r="B177" s="493" t="s">
        <v>561</v>
      </c>
      <c r="C177" s="494" t="s">
        <v>791</v>
      </c>
      <c r="D177" s="495">
        <v>30</v>
      </c>
      <c r="E177" s="496" t="s">
        <v>34</v>
      </c>
      <c r="F177" s="496" t="s">
        <v>34</v>
      </c>
      <c r="G177" s="496" t="s">
        <v>34</v>
      </c>
      <c r="H177" s="495">
        <f>D177*H$7/F$3</f>
        <v>3</v>
      </c>
      <c r="I177" s="502">
        <f>D177*I$7/I$3</f>
        <v>0.03</v>
      </c>
      <c r="J177" s="504">
        <f>D177*J$7/I$3</f>
        <v>0.3</v>
      </c>
      <c r="K177" s="529">
        <v>1.8</v>
      </c>
      <c r="L177" s="501">
        <v>3240</v>
      </c>
      <c r="M177" s="521" t="s">
        <v>564</v>
      </c>
      <c r="N177" s="507" t="s">
        <v>34</v>
      </c>
      <c r="O177" s="501" t="s">
        <v>360</v>
      </c>
      <c r="P177" s="501"/>
      <c r="Q177" s="501"/>
      <c r="R177">
        <f t="shared" si="86"/>
        <v>169</v>
      </c>
      <c r="S177" s="20" t="s">
        <v>562</v>
      </c>
      <c r="T177" s="20"/>
      <c r="U177" t="s">
        <v>793</v>
      </c>
      <c r="V177" s="159" t="s">
        <v>34</v>
      </c>
      <c r="AB177" t="s">
        <v>34</v>
      </c>
      <c r="AH177" s="306">
        <f t="shared" si="108"/>
        <v>3.3333333333333333E-2</v>
      </c>
      <c r="AI177" s="306">
        <f>60*AH177</f>
        <v>2</v>
      </c>
      <c r="AJ177" s="306">
        <f>AH177/60</f>
        <v>5.5555555555555556E-4</v>
      </c>
    </row>
    <row r="178" spans="1:36" x14ac:dyDescent="0.35">
      <c r="A178">
        <f t="shared" si="20"/>
        <v>170</v>
      </c>
      <c r="B178" s="493" t="s">
        <v>598</v>
      </c>
      <c r="C178" s="494" t="s">
        <v>792</v>
      </c>
      <c r="D178" s="495">
        <v>700000</v>
      </c>
      <c r="E178" s="495">
        <f t="shared" ref="E178:E187" si="109">D178*E$7/F$3</f>
        <v>70</v>
      </c>
      <c r="F178" s="495">
        <f>D178*F$7/F$3</f>
        <v>700</v>
      </c>
      <c r="G178" s="496" t="s">
        <v>34</v>
      </c>
      <c r="H178" s="496" t="s">
        <v>34</v>
      </c>
      <c r="I178" s="496" t="s">
        <v>34</v>
      </c>
      <c r="J178" s="497" t="s">
        <v>34</v>
      </c>
      <c r="K178" s="498">
        <v>300</v>
      </c>
      <c r="L178" s="501">
        <v>1041</v>
      </c>
      <c r="M178" s="521" t="s">
        <v>599</v>
      </c>
      <c r="N178" s="507" t="s">
        <v>592</v>
      </c>
      <c r="O178" s="501" t="s">
        <v>597</v>
      </c>
      <c r="P178" s="501"/>
      <c r="Q178" s="501"/>
      <c r="R178">
        <f t="shared" si="86"/>
        <v>170</v>
      </c>
      <c r="S178" s="20" t="s">
        <v>593</v>
      </c>
      <c r="T178" s="20"/>
      <c r="U178" t="s">
        <v>34</v>
      </c>
      <c r="V178" s="159" t="s">
        <v>34</v>
      </c>
      <c r="AB178" t="s">
        <v>34</v>
      </c>
      <c r="AH178" s="306">
        <f t="shared" si="108"/>
        <v>17.291066282420751</v>
      </c>
      <c r="AI178" s="306">
        <f>60*AH178</f>
        <v>1037.4639769452451</v>
      </c>
      <c r="AJ178" s="306">
        <f>AH178/60</f>
        <v>0.28818443804034583</v>
      </c>
    </row>
    <row r="179" spans="1:36" x14ac:dyDescent="0.35">
      <c r="A179">
        <f t="shared" si="20"/>
        <v>171</v>
      </c>
      <c r="B179" s="493" t="s">
        <v>706</v>
      </c>
      <c r="C179" s="494" t="s">
        <v>800</v>
      </c>
      <c r="D179" s="495">
        <v>50000000</v>
      </c>
      <c r="E179" s="495">
        <f t="shared" si="109"/>
        <v>5000</v>
      </c>
      <c r="F179" s="496" t="s">
        <v>34</v>
      </c>
      <c r="G179" s="496" t="s">
        <v>34</v>
      </c>
      <c r="H179" s="496" t="s">
        <v>34</v>
      </c>
      <c r="I179" s="520" t="s">
        <v>34</v>
      </c>
      <c r="J179" s="520" t="s">
        <v>34</v>
      </c>
      <c r="K179" s="498">
        <v>4400</v>
      </c>
      <c r="L179" s="501">
        <v>900</v>
      </c>
      <c r="M179" s="521" t="s">
        <v>716</v>
      </c>
      <c r="N179" s="501">
        <v>52000</v>
      </c>
      <c r="O179" s="501" t="s">
        <v>715</v>
      </c>
      <c r="P179" s="501">
        <v>120</v>
      </c>
      <c r="Q179" s="501"/>
      <c r="R179">
        <f t="shared" si="86"/>
        <v>171</v>
      </c>
      <c r="S179" s="20" t="s">
        <v>707</v>
      </c>
      <c r="T179" s="20"/>
      <c r="U179" t="s">
        <v>750</v>
      </c>
      <c r="V179" s="159" t="s">
        <v>34</v>
      </c>
      <c r="AB179" t="s">
        <v>34</v>
      </c>
      <c r="AH179" s="306">
        <f t="shared" ref="AH179" si="110">(K179/L179)*60</f>
        <v>293.33333333333337</v>
      </c>
      <c r="AI179" s="306">
        <f>60*AH179</f>
        <v>17600.000000000004</v>
      </c>
      <c r="AJ179" s="306">
        <f>AH179/60</f>
        <v>4.8888888888888893</v>
      </c>
    </row>
    <row r="180" spans="1:36" x14ac:dyDescent="0.35">
      <c r="A180">
        <f t="shared" si="20"/>
        <v>172</v>
      </c>
      <c r="B180" s="123" t="s">
        <v>724</v>
      </c>
      <c r="C180" s="42" t="s">
        <v>794</v>
      </c>
      <c r="D180" s="159">
        <f>780000000/4</f>
        <v>195000000</v>
      </c>
      <c r="E180" s="159">
        <f t="shared" si="109"/>
        <v>19500</v>
      </c>
      <c r="F180" s="174" t="s">
        <v>34</v>
      </c>
      <c r="G180" s="174" t="s">
        <v>34</v>
      </c>
      <c r="H180" s="174" t="s">
        <v>34</v>
      </c>
      <c r="I180" s="58" t="s">
        <v>34</v>
      </c>
      <c r="J180" s="58" t="s">
        <v>34</v>
      </c>
      <c r="K180" s="105">
        <v>4480</v>
      </c>
      <c r="L180" s="394">
        <v>830</v>
      </c>
      <c r="M180" s="383" t="s">
        <v>716</v>
      </c>
      <c r="N180" s="394">
        <v>77000</v>
      </c>
      <c r="O180" s="394">
        <v>279</v>
      </c>
      <c r="P180" s="394"/>
      <c r="Q180" s="394">
        <v>0</v>
      </c>
      <c r="R180">
        <f t="shared" si="86"/>
        <v>172</v>
      </c>
      <c r="S180" s="20" t="s">
        <v>719</v>
      </c>
      <c r="T180" s="20"/>
      <c r="U180" t="s">
        <v>34</v>
      </c>
      <c r="V180" s="159" t="s">
        <v>34</v>
      </c>
      <c r="AB180" t="s">
        <v>34</v>
      </c>
      <c r="AH180" s="306">
        <f t="shared" ref="AH180:AH181" si="111">(K180/L180)*60</f>
        <v>323.85542168674698</v>
      </c>
      <c r="AI180" s="306">
        <f t="shared" ref="AI180:AI181" si="112">60*AH180</f>
        <v>19431.325301204819</v>
      </c>
      <c r="AJ180" s="306">
        <f t="shared" ref="AJ180:AJ181" si="113">AH180/60</f>
        <v>5.3975903614457827</v>
      </c>
    </row>
    <row r="181" spans="1:36" x14ac:dyDescent="0.35">
      <c r="A181">
        <f t="shared" si="20"/>
        <v>173</v>
      </c>
      <c r="B181" s="123" t="s">
        <v>725</v>
      </c>
      <c r="C181" s="42" t="s">
        <v>789</v>
      </c>
      <c r="D181" s="159">
        <v>75000000</v>
      </c>
      <c r="E181" s="159">
        <f t="shared" si="109"/>
        <v>7500</v>
      </c>
      <c r="F181" s="174" t="s">
        <v>34</v>
      </c>
      <c r="G181" s="174" t="s">
        <v>34</v>
      </c>
      <c r="H181" s="174" t="s">
        <v>34</v>
      </c>
      <c r="I181" s="58" t="s">
        <v>34</v>
      </c>
      <c r="J181" s="58" t="s">
        <v>34</v>
      </c>
      <c r="K181" s="105">
        <v>3800</v>
      </c>
      <c r="L181" s="394">
        <v>541</v>
      </c>
      <c r="M181" s="383" t="s">
        <v>722</v>
      </c>
      <c r="N181" s="394">
        <v>19000</v>
      </c>
      <c r="O181" s="394" t="s">
        <v>721</v>
      </c>
      <c r="P181" s="394"/>
      <c r="Q181" s="394"/>
      <c r="R181">
        <f t="shared" si="86"/>
        <v>173</v>
      </c>
      <c r="S181" s="20" t="s">
        <v>720</v>
      </c>
      <c r="T181" s="20"/>
      <c r="U181" t="s">
        <v>34</v>
      </c>
      <c r="V181" s="159" t="s">
        <v>34</v>
      </c>
      <c r="AB181" t="s">
        <v>34</v>
      </c>
      <c r="AH181" s="306">
        <f t="shared" si="111"/>
        <v>421.44177449168205</v>
      </c>
      <c r="AI181" s="306">
        <f t="shared" si="112"/>
        <v>25286.506469500924</v>
      </c>
      <c r="AJ181" s="306">
        <f t="shared" si="113"/>
        <v>7.0240295748613679</v>
      </c>
    </row>
    <row r="182" spans="1:36" x14ac:dyDescent="0.35">
      <c r="A182">
        <f t="shared" si="20"/>
        <v>174</v>
      </c>
      <c r="B182" s="493" t="s">
        <v>682</v>
      </c>
      <c r="C182" s="494" t="s">
        <v>795</v>
      </c>
      <c r="D182" s="495">
        <v>100000000</v>
      </c>
      <c r="E182" s="495">
        <f t="shared" si="109"/>
        <v>10000</v>
      </c>
      <c r="F182" s="496" t="s">
        <v>34</v>
      </c>
      <c r="G182" s="496" t="s">
        <v>34</v>
      </c>
      <c r="H182" s="496" t="s">
        <v>34</v>
      </c>
      <c r="I182" s="520" t="s">
        <v>34</v>
      </c>
      <c r="J182" s="520" t="s">
        <v>34</v>
      </c>
      <c r="K182" s="498">
        <v>7300</v>
      </c>
      <c r="L182" s="501">
        <v>850</v>
      </c>
      <c r="M182" s="521" t="s">
        <v>686</v>
      </c>
      <c r="N182" s="501">
        <v>100000</v>
      </c>
      <c r="O182" s="501">
        <v>53</v>
      </c>
      <c r="P182" s="501">
        <v>20</v>
      </c>
      <c r="Q182" s="501"/>
      <c r="R182">
        <f t="shared" si="86"/>
        <v>174</v>
      </c>
      <c r="S182" s="20" t="s">
        <v>685</v>
      </c>
      <c r="T182" s="20"/>
      <c r="U182" t="s">
        <v>717</v>
      </c>
      <c r="V182" s="159" t="s">
        <v>34</v>
      </c>
      <c r="AB182" t="s">
        <v>34</v>
      </c>
      <c r="AH182" s="306">
        <f t="shared" si="108"/>
        <v>515.29411764705878</v>
      </c>
      <c r="AI182" s="306">
        <f>60*AH182</f>
        <v>30917.647058823528</v>
      </c>
      <c r="AJ182" s="306">
        <f>AH182/60</f>
        <v>8.5882352941176467</v>
      </c>
    </row>
    <row r="183" spans="1:36" x14ac:dyDescent="0.35">
      <c r="A183">
        <f t="shared" si="20"/>
        <v>175</v>
      </c>
      <c r="B183" s="123" t="s">
        <v>692</v>
      </c>
      <c r="C183" s="42" t="s">
        <v>798</v>
      </c>
      <c r="D183" s="159">
        <f>54200000000/179</f>
        <v>302793296.08938545</v>
      </c>
      <c r="E183" s="159">
        <f t="shared" si="109"/>
        <v>30279.329608938544</v>
      </c>
      <c r="F183" s="174" t="s">
        <v>34</v>
      </c>
      <c r="G183" s="174" t="s">
        <v>34</v>
      </c>
      <c r="H183" s="174" t="s">
        <v>34</v>
      </c>
      <c r="I183" s="58" t="s">
        <v>34</v>
      </c>
      <c r="J183" s="58" t="s">
        <v>34</v>
      </c>
      <c r="K183" s="105">
        <v>11830</v>
      </c>
      <c r="L183" s="394">
        <v>914</v>
      </c>
      <c r="M183" s="383" t="s">
        <v>691</v>
      </c>
      <c r="N183" s="394">
        <v>94000</v>
      </c>
      <c r="O183" s="394" t="s">
        <v>688</v>
      </c>
      <c r="P183" s="394"/>
      <c r="Q183" s="394"/>
      <c r="R183">
        <f t="shared" si="86"/>
        <v>175</v>
      </c>
      <c r="S183" s="20" t="s">
        <v>690</v>
      </c>
      <c r="T183" s="20"/>
      <c r="U183" t="s">
        <v>689</v>
      </c>
      <c r="V183" s="159" t="s">
        <v>34</v>
      </c>
      <c r="AB183" t="s">
        <v>34</v>
      </c>
      <c r="AH183" s="306">
        <f t="shared" si="108"/>
        <v>776.58643326039396</v>
      </c>
      <c r="AI183" s="306">
        <f>60*AH183</f>
        <v>46595.185995623637</v>
      </c>
      <c r="AJ183" s="306">
        <f>AH183/60</f>
        <v>12.943107221006565</v>
      </c>
    </row>
    <row r="184" spans="1:36" x14ac:dyDescent="0.35">
      <c r="A184">
        <f t="shared" si="20"/>
        <v>176</v>
      </c>
      <c r="B184" s="582" t="s">
        <v>1379</v>
      </c>
      <c r="C184" s="591" t="s">
        <v>1378</v>
      </c>
      <c r="D184" s="585" t="s">
        <v>34</v>
      </c>
      <c r="E184" s="584"/>
      <c r="F184" s="585"/>
      <c r="G184" s="585"/>
      <c r="H184" s="585"/>
      <c r="I184" s="592"/>
      <c r="J184" s="592"/>
      <c r="K184" s="587"/>
      <c r="L184" s="588"/>
      <c r="M184" s="589"/>
      <c r="N184" s="588"/>
      <c r="O184" s="588"/>
      <c r="P184" s="588"/>
      <c r="Q184" s="588"/>
      <c r="R184">
        <f t="shared" si="86"/>
        <v>176</v>
      </c>
      <c r="S184" s="20" t="s">
        <v>1377</v>
      </c>
      <c r="T184" s="20" t="s">
        <v>1376</v>
      </c>
      <c r="U184" t="s">
        <v>1380</v>
      </c>
      <c r="AH184" s="306"/>
      <c r="AI184" s="306"/>
      <c r="AJ184" s="306"/>
    </row>
    <row r="185" spans="1:36" x14ac:dyDescent="0.35">
      <c r="A185">
        <f t="shared" si="20"/>
        <v>177</v>
      </c>
      <c r="B185" s="123" t="s">
        <v>758</v>
      </c>
      <c r="C185" s="42" t="s">
        <v>796</v>
      </c>
      <c r="D185" s="159">
        <v>270000000</v>
      </c>
      <c r="E185" s="159">
        <f t="shared" si="109"/>
        <v>27000</v>
      </c>
      <c r="F185" s="174" t="s">
        <v>34</v>
      </c>
      <c r="G185" s="174" t="s">
        <v>34</v>
      </c>
      <c r="H185" s="174" t="s">
        <v>34</v>
      </c>
      <c r="I185" s="58" t="s">
        <v>34</v>
      </c>
      <c r="J185" s="58" t="s">
        <v>34</v>
      </c>
      <c r="K185" s="105">
        <v>7400</v>
      </c>
      <c r="L185" s="394">
        <v>854</v>
      </c>
      <c r="M185" s="383" t="s">
        <v>1085</v>
      </c>
      <c r="N185" s="394" t="s">
        <v>759</v>
      </c>
      <c r="O185" s="394">
        <v>68</v>
      </c>
      <c r="P185" s="394"/>
      <c r="Q185" s="394">
        <v>0</v>
      </c>
      <c r="R185">
        <f t="shared" si="86"/>
        <v>177</v>
      </c>
      <c r="S185" s="20" t="s">
        <v>607</v>
      </c>
      <c r="T185" s="20"/>
      <c r="U185" t="s">
        <v>34</v>
      </c>
      <c r="V185" s="159" t="s">
        <v>34</v>
      </c>
      <c r="AB185" t="s">
        <v>34</v>
      </c>
      <c r="AH185" s="306">
        <f t="shared" ref="AH185:AH190" si="114">(K185/L185)*60</f>
        <v>519.90632318501173</v>
      </c>
      <c r="AI185" s="306">
        <f t="shared" ref="AI185:AI190" si="115">60*AH185</f>
        <v>31194.379391100705</v>
      </c>
      <c r="AJ185" s="306">
        <f t="shared" ref="AJ185:AJ190" si="116">AH185/60</f>
        <v>8.6651053864168617</v>
      </c>
    </row>
    <row r="186" spans="1:36" x14ac:dyDescent="0.35">
      <c r="A186">
        <f t="shared" si="20"/>
        <v>178</v>
      </c>
      <c r="B186" s="123" t="s">
        <v>1083</v>
      </c>
      <c r="C186" s="42" t="s">
        <v>779</v>
      </c>
      <c r="D186" s="174">
        <f>D185</f>
        <v>270000000</v>
      </c>
      <c r="E186" s="159">
        <f t="shared" si="109"/>
        <v>27000</v>
      </c>
      <c r="F186" s="174" t="s">
        <v>34</v>
      </c>
      <c r="G186" s="174" t="s">
        <v>34</v>
      </c>
      <c r="H186" s="174" t="s">
        <v>34</v>
      </c>
      <c r="I186" s="58" t="s">
        <v>34</v>
      </c>
      <c r="J186" s="58" t="s">
        <v>34</v>
      </c>
      <c r="K186" s="105">
        <v>6500</v>
      </c>
      <c r="L186" s="394">
        <v>853</v>
      </c>
      <c r="M186" s="383" t="s">
        <v>1084</v>
      </c>
      <c r="N186" s="394" t="s">
        <v>757</v>
      </c>
      <c r="O186" s="394">
        <v>14</v>
      </c>
      <c r="P186" s="394"/>
      <c r="Q186" s="394"/>
      <c r="R186">
        <f t="shared" si="86"/>
        <v>178</v>
      </c>
      <c r="S186" s="20" t="s">
        <v>755</v>
      </c>
      <c r="T186" s="20"/>
      <c r="U186" t="s">
        <v>785</v>
      </c>
      <c r="V186" s="159" t="s">
        <v>34</v>
      </c>
      <c r="AB186" t="s">
        <v>34</v>
      </c>
      <c r="AH186" s="306">
        <f t="shared" ref="AH186:AH189" si="117">(K186/L186)*60</f>
        <v>457.20984759671751</v>
      </c>
      <c r="AI186" s="306">
        <f t="shared" ref="AI186:AI189" si="118">60*AH186</f>
        <v>27432.59085580305</v>
      </c>
      <c r="AJ186" s="306">
        <f t="shared" ref="AJ186:AJ189" si="119">AH186/60</f>
        <v>7.6201641266119582</v>
      </c>
    </row>
    <row r="187" spans="1:36" x14ac:dyDescent="0.35">
      <c r="A187">
        <f t="shared" si="20"/>
        <v>179</v>
      </c>
      <c r="B187" s="123" t="s">
        <v>1296</v>
      </c>
      <c r="C187" s="458" t="s">
        <v>1294</v>
      </c>
      <c r="D187" s="174">
        <f>3600000000/25</f>
        <v>144000000</v>
      </c>
      <c r="E187" s="159">
        <f t="shared" si="109"/>
        <v>14400</v>
      </c>
      <c r="F187" s="174" t="s">
        <v>34</v>
      </c>
      <c r="G187" s="174" t="s">
        <v>34</v>
      </c>
      <c r="H187" s="174" t="s">
        <v>34</v>
      </c>
      <c r="I187" s="58" t="s">
        <v>34</v>
      </c>
      <c r="J187" s="58" t="s">
        <v>34</v>
      </c>
      <c r="K187" s="105">
        <v>2850</v>
      </c>
      <c r="L187" s="394">
        <v>474</v>
      </c>
      <c r="M187" s="383" t="s">
        <v>876</v>
      </c>
      <c r="N187" s="394" t="s">
        <v>1285</v>
      </c>
      <c r="O187" s="569" t="s">
        <v>1291</v>
      </c>
      <c r="P187" s="469" t="s">
        <v>1289</v>
      </c>
      <c r="Q187" s="469" t="s">
        <v>1290</v>
      </c>
      <c r="R187">
        <f t="shared" si="86"/>
        <v>179</v>
      </c>
      <c r="S187" s="20" t="s">
        <v>1287</v>
      </c>
      <c r="T187" s="20"/>
      <c r="U187" t="s">
        <v>1286</v>
      </c>
      <c r="V187" s="159" t="s">
        <v>34</v>
      </c>
      <c r="AB187" t="s">
        <v>34</v>
      </c>
      <c r="AC187" t="s">
        <v>1295</v>
      </c>
      <c r="AD187" s="4" t="s">
        <v>1292</v>
      </c>
      <c r="AH187" s="306">
        <f t="shared" si="117"/>
        <v>360.75949367088606</v>
      </c>
      <c r="AI187" s="306">
        <f t="shared" si="118"/>
        <v>21645.569620253162</v>
      </c>
      <c r="AJ187" s="306">
        <f t="shared" si="119"/>
        <v>6.0126582278481013</v>
      </c>
    </row>
    <row r="188" spans="1:36" x14ac:dyDescent="0.35">
      <c r="A188">
        <f t="shared" si="20"/>
        <v>180</v>
      </c>
      <c r="B188" s="582" t="s">
        <v>1297</v>
      </c>
      <c r="C188" s="591"/>
      <c r="D188" s="585">
        <f>3600000000/25</f>
        <v>144000000</v>
      </c>
      <c r="E188" s="584">
        <f t="shared" ref="E188" si="120">D188*E$7/F$3</f>
        <v>14400</v>
      </c>
      <c r="F188" s="585" t="s">
        <v>34</v>
      </c>
      <c r="G188" s="585" t="s">
        <v>34</v>
      </c>
      <c r="H188" s="585" t="s">
        <v>34</v>
      </c>
      <c r="I188" s="592" t="s">
        <v>34</v>
      </c>
      <c r="J188" s="592" t="s">
        <v>34</v>
      </c>
      <c r="K188" s="587">
        <v>3800</v>
      </c>
      <c r="L188" s="588">
        <v>474</v>
      </c>
      <c r="M188" s="589" t="s">
        <v>698</v>
      </c>
      <c r="N188" s="588" t="s">
        <v>1285</v>
      </c>
      <c r="O188" s="593"/>
      <c r="P188" s="588"/>
      <c r="Q188" s="588"/>
      <c r="R188">
        <f t="shared" si="86"/>
        <v>180</v>
      </c>
      <c r="S188" s="20" t="s">
        <v>1287</v>
      </c>
      <c r="T188" s="20"/>
      <c r="V188" s="159" t="s">
        <v>34</v>
      </c>
      <c r="AB188" t="s">
        <v>34</v>
      </c>
      <c r="AC188" t="s">
        <v>1295</v>
      </c>
      <c r="AD188" s="4"/>
      <c r="AH188" s="306">
        <f t="shared" ref="AH188" si="121">(K188/L188)*60</f>
        <v>481.01265822784814</v>
      </c>
      <c r="AI188" s="306">
        <f t="shared" ref="AI188" si="122">60*AH188</f>
        <v>28860.759493670888</v>
      </c>
      <c r="AJ188" s="306">
        <f t="shared" ref="AJ188" si="123">AH188/60</f>
        <v>8.0168776371308024</v>
      </c>
    </row>
    <row r="189" spans="1:36" x14ac:dyDescent="0.35">
      <c r="A189">
        <f t="shared" si="20"/>
        <v>181</v>
      </c>
      <c r="B189" s="489" t="s">
        <v>1253</v>
      </c>
      <c r="C189" s="491" t="s">
        <v>752</v>
      </c>
      <c r="D189" s="485" t="s">
        <v>34</v>
      </c>
      <c r="E189" s="485" t="s">
        <v>34</v>
      </c>
      <c r="F189" s="485" t="s">
        <v>34</v>
      </c>
      <c r="G189" s="485" t="s">
        <v>34</v>
      </c>
      <c r="H189" s="485" t="s">
        <v>34</v>
      </c>
      <c r="I189" s="516" t="s">
        <v>34</v>
      </c>
      <c r="J189" s="516" t="s">
        <v>34</v>
      </c>
      <c r="K189" s="487">
        <v>2500</v>
      </c>
      <c r="L189" s="490">
        <v>450</v>
      </c>
      <c r="M189" s="522" t="s">
        <v>1293</v>
      </c>
      <c r="N189" s="490" t="s">
        <v>753</v>
      </c>
      <c r="O189" s="490">
        <v>12</v>
      </c>
      <c r="P189" s="490">
        <v>2</v>
      </c>
      <c r="Q189" s="490"/>
      <c r="R189">
        <f t="shared" si="86"/>
        <v>181</v>
      </c>
      <c r="S189" s="20" t="s">
        <v>751</v>
      </c>
      <c r="T189" s="20"/>
      <c r="U189" t="s">
        <v>34</v>
      </c>
      <c r="V189" s="159" t="s">
        <v>34</v>
      </c>
      <c r="AB189" t="s">
        <v>34</v>
      </c>
      <c r="AH189" s="306">
        <f t="shared" si="117"/>
        <v>333.33333333333331</v>
      </c>
      <c r="AI189" s="306">
        <f t="shared" si="118"/>
        <v>20000</v>
      </c>
      <c r="AJ189" s="306">
        <f t="shared" si="119"/>
        <v>5.5555555555555554</v>
      </c>
    </row>
    <row r="190" spans="1:36" x14ac:dyDescent="0.35">
      <c r="A190">
        <f t="shared" si="20"/>
        <v>182</v>
      </c>
      <c r="B190" s="493" t="s">
        <v>609</v>
      </c>
      <c r="C190" s="494" t="s">
        <v>801</v>
      </c>
      <c r="D190" s="495">
        <v>350000000</v>
      </c>
      <c r="E190" s="495">
        <f t="shared" ref="E190:E201" si="124">D190*E$7/F$3</f>
        <v>35000</v>
      </c>
      <c r="F190" s="496" t="s">
        <v>34</v>
      </c>
      <c r="G190" s="496" t="s">
        <v>34</v>
      </c>
      <c r="H190" s="496" t="s">
        <v>34</v>
      </c>
      <c r="I190" s="520" t="s">
        <v>34</v>
      </c>
      <c r="J190" s="520" t="s">
        <v>34</v>
      </c>
      <c r="K190" s="498">
        <f>7500</f>
        <v>7500</v>
      </c>
      <c r="L190" s="501">
        <v>900</v>
      </c>
      <c r="M190" s="521" t="s">
        <v>698</v>
      </c>
      <c r="N190" s="507" t="s">
        <v>754</v>
      </c>
      <c r="O190" s="501">
        <v>40</v>
      </c>
      <c r="P190" s="501">
        <v>14</v>
      </c>
      <c r="Q190" s="501">
        <v>0</v>
      </c>
      <c r="R190">
        <f t="shared" si="86"/>
        <v>182</v>
      </c>
      <c r="S190" s="20" t="s">
        <v>604</v>
      </c>
      <c r="T190" s="20"/>
      <c r="U190" t="s">
        <v>786</v>
      </c>
      <c r="V190" s="159" t="s">
        <v>34</v>
      </c>
      <c r="AB190" t="s">
        <v>34</v>
      </c>
      <c r="AH190" s="306">
        <f t="shared" si="114"/>
        <v>500.00000000000006</v>
      </c>
      <c r="AI190" s="306">
        <f t="shared" si="115"/>
        <v>30000.000000000004</v>
      </c>
      <c r="AJ190" s="306">
        <f t="shared" si="116"/>
        <v>8.3333333333333339</v>
      </c>
    </row>
    <row r="191" spans="1:36" x14ac:dyDescent="0.35">
      <c r="A191">
        <f t="shared" si="20"/>
        <v>183</v>
      </c>
      <c r="B191" s="493" t="s">
        <v>738</v>
      </c>
      <c r="C191" s="494" t="s">
        <v>802</v>
      </c>
      <c r="D191" s="495">
        <v>16000000</v>
      </c>
      <c r="E191" s="495">
        <f t="shared" si="124"/>
        <v>1600</v>
      </c>
      <c r="F191" s="496" t="s">
        <v>34</v>
      </c>
      <c r="G191" s="496" t="s">
        <v>34</v>
      </c>
      <c r="H191" s="496" t="s">
        <v>34</v>
      </c>
      <c r="I191" s="496" t="s">
        <v>34</v>
      </c>
      <c r="J191" s="497" t="s">
        <v>34</v>
      </c>
      <c r="K191" s="498">
        <v>470</v>
      </c>
      <c r="L191" s="501">
        <v>315</v>
      </c>
      <c r="M191" s="521" t="s">
        <v>34</v>
      </c>
      <c r="N191" s="501">
        <v>1000</v>
      </c>
      <c r="O191" s="501" t="s">
        <v>458</v>
      </c>
      <c r="P191" s="501">
        <v>137</v>
      </c>
      <c r="Q191" s="501"/>
      <c r="R191">
        <f t="shared" si="86"/>
        <v>183</v>
      </c>
      <c r="S191" s="20" t="s">
        <v>619</v>
      </c>
      <c r="T191" s="20"/>
      <c r="U191" t="s">
        <v>34</v>
      </c>
      <c r="V191" s="159" t="s">
        <v>34</v>
      </c>
      <c r="AB191" t="s">
        <v>34</v>
      </c>
      <c r="AH191" s="306"/>
      <c r="AI191" s="306"/>
      <c r="AJ191" s="306"/>
    </row>
    <row r="192" spans="1:36" x14ac:dyDescent="0.35">
      <c r="A192">
        <f t="shared" si="20"/>
        <v>184</v>
      </c>
      <c r="B192" s="493" t="s">
        <v>612</v>
      </c>
      <c r="C192" s="494" t="s">
        <v>803</v>
      </c>
      <c r="D192" s="495">
        <v>50000</v>
      </c>
      <c r="E192" s="495">
        <f t="shared" si="124"/>
        <v>5</v>
      </c>
      <c r="F192" s="495">
        <f>D192*F$7/F$3</f>
        <v>50</v>
      </c>
      <c r="G192" s="495">
        <f>D192*G$7/F$3</f>
        <v>500</v>
      </c>
      <c r="H192" s="496" t="s">
        <v>34</v>
      </c>
      <c r="I192" s="520" t="s">
        <v>34</v>
      </c>
      <c r="J192" s="520" t="s">
        <v>34</v>
      </c>
      <c r="K192" s="498">
        <v>10</v>
      </c>
      <c r="L192" s="501">
        <v>1440</v>
      </c>
      <c r="M192" s="521" t="s">
        <v>909</v>
      </c>
      <c r="N192" s="507" t="s">
        <v>614</v>
      </c>
      <c r="O192" s="501" t="s">
        <v>373</v>
      </c>
      <c r="P192" s="501"/>
      <c r="Q192" s="501"/>
      <c r="R192">
        <f t="shared" si="86"/>
        <v>184</v>
      </c>
      <c r="S192" s="20" t="s">
        <v>613</v>
      </c>
      <c r="T192" s="20"/>
      <c r="U192" t="s">
        <v>34</v>
      </c>
      <c r="V192" s="159" t="s">
        <v>34</v>
      </c>
      <c r="AB192" t="s">
        <v>34</v>
      </c>
      <c r="AC192" s="133">
        <f>P191+P194</f>
        <v>249</v>
      </c>
      <c r="AD192" t="s">
        <v>820</v>
      </c>
      <c r="AH192" s="306">
        <f>(K192/L192)*60</f>
        <v>0.41666666666666663</v>
      </c>
      <c r="AI192" s="306">
        <f>60*AH192</f>
        <v>24.999999999999996</v>
      </c>
      <c r="AJ192" s="306">
        <f>AH192/60</f>
        <v>6.9444444444444441E-3</v>
      </c>
    </row>
    <row r="193" spans="1:36" x14ac:dyDescent="0.35">
      <c r="A193">
        <f t="shared" si="20"/>
        <v>185</v>
      </c>
      <c r="B193" s="493" t="s">
        <v>610</v>
      </c>
      <c r="C193" s="494" t="s">
        <v>804</v>
      </c>
      <c r="D193" s="495">
        <v>159750</v>
      </c>
      <c r="E193" s="495">
        <f t="shared" si="124"/>
        <v>15.975</v>
      </c>
      <c r="F193" s="495">
        <f>D193*F$7/F$3</f>
        <v>159.75</v>
      </c>
      <c r="G193" s="495">
        <f>D193*G$7/F$3</f>
        <v>1597.5</v>
      </c>
      <c r="H193" s="496" t="s">
        <v>34</v>
      </c>
      <c r="I193" s="520" t="s">
        <v>34</v>
      </c>
      <c r="J193" s="520" t="s">
        <v>34</v>
      </c>
      <c r="K193" s="498">
        <v>15</v>
      </c>
      <c r="L193" s="501">
        <v>828</v>
      </c>
      <c r="M193" s="521" t="s">
        <v>908</v>
      </c>
      <c r="N193" s="507" t="s">
        <v>618</v>
      </c>
      <c r="O193" s="501" t="s">
        <v>540</v>
      </c>
      <c r="P193" s="501"/>
      <c r="Q193" s="501"/>
      <c r="R193">
        <f t="shared" si="86"/>
        <v>185</v>
      </c>
      <c r="S193" s="397" t="s">
        <v>616</v>
      </c>
      <c r="T193" s="397"/>
      <c r="U193" t="s">
        <v>34</v>
      </c>
      <c r="V193" s="159" t="s">
        <v>34</v>
      </c>
      <c r="AB193" t="s">
        <v>34</v>
      </c>
      <c r="AC193" s="133">
        <f>P200+P201</f>
        <v>832</v>
      </c>
      <c r="AD193" t="s">
        <v>821</v>
      </c>
      <c r="AH193" s="306">
        <f>(K193/L193)*60</f>
        <v>1.0869565217391304</v>
      </c>
      <c r="AI193" s="306">
        <f>60*AH193</f>
        <v>65.217391304347828</v>
      </c>
      <c r="AJ193" s="306">
        <f>AH193/60</f>
        <v>1.8115942028985508E-2</v>
      </c>
    </row>
    <row r="194" spans="1:36" x14ac:dyDescent="0.35">
      <c r="A194">
        <f t="shared" si="20"/>
        <v>186</v>
      </c>
      <c r="B194" s="493" t="s">
        <v>737</v>
      </c>
      <c r="C194" s="494" t="s">
        <v>805</v>
      </c>
      <c r="D194" s="495">
        <v>16000000</v>
      </c>
      <c r="E194" s="495">
        <f t="shared" si="124"/>
        <v>1600</v>
      </c>
      <c r="F194" s="496" t="s">
        <v>34</v>
      </c>
      <c r="G194" s="496" t="s">
        <v>34</v>
      </c>
      <c r="H194" s="496" t="s">
        <v>34</v>
      </c>
      <c r="I194" s="496" t="s">
        <v>34</v>
      </c>
      <c r="J194" s="497" t="s">
        <v>34</v>
      </c>
      <c r="K194" s="498">
        <v>400</v>
      </c>
      <c r="L194" s="501">
        <v>320</v>
      </c>
      <c r="M194" s="521" t="s">
        <v>34</v>
      </c>
      <c r="N194" s="501">
        <v>1000</v>
      </c>
      <c r="O194" s="501" t="s">
        <v>621</v>
      </c>
      <c r="P194" s="501">
        <v>112</v>
      </c>
      <c r="Q194" s="501"/>
      <c r="R194">
        <f t="shared" si="86"/>
        <v>186</v>
      </c>
      <c r="S194" s="20" t="s">
        <v>622</v>
      </c>
      <c r="T194" s="20"/>
      <c r="U194" t="s">
        <v>34</v>
      </c>
      <c r="V194" s="159" t="s">
        <v>34</v>
      </c>
      <c r="AB194" t="s">
        <v>34</v>
      </c>
      <c r="AC194" s="133">
        <f>SUM(AC192:AC193)</f>
        <v>1081</v>
      </c>
      <c r="AD194" t="s">
        <v>822</v>
      </c>
      <c r="AH194" s="306">
        <f t="shared" ref="AH194:AH195" si="125">(K194/L194)*60</f>
        <v>75</v>
      </c>
      <c r="AI194" s="306">
        <f t="shared" ref="AI194:AI201" si="126">60*AH194</f>
        <v>4500</v>
      </c>
      <c r="AJ194" s="306">
        <f t="shared" ref="AJ194:AJ201" si="127">AH194/60</f>
        <v>1.25</v>
      </c>
    </row>
    <row r="195" spans="1:36" x14ac:dyDescent="0.35">
      <c r="A195">
        <f t="shared" si="20"/>
        <v>187</v>
      </c>
      <c r="B195" s="123" t="s">
        <v>903</v>
      </c>
      <c r="C195" s="42" t="s">
        <v>905</v>
      </c>
      <c r="D195" s="159">
        <v>61000000</v>
      </c>
      <c r="E195" s="159">
        <f t="shared" si="124"/>
        <v>6100</v>
      </c>
      <c r="F195" s="174" t="s">
        <v>34</v>
      </c>
      <c r="G195" s="174" t="s">
        <v>34</v>
      </c>
      <c r="H195" s="174" t="s">
        <v>34</v>
      </c>
      <c r="I195" s="58" t="s">
        <v>34</v>
      </c>
      <c r="J195" s="58" t="s">
        <v>34</v>
      </c>
      <c r="K195" s="105">
        <v>480</v>
      </c>
      <c r="L195" s="394">
        <v>293</v>
      </c>
      <c r="M195" s="383" t="s">
        <v>748</v>
      </c>
      <c r="N195" s="394">
        <v>2000</v>
      </c>
      <c r="O195" s="394" t="s">
        <v>372</v>
      </c>
      <c r="P195" s="394"/>
      <c r="Q195" s="394"/>
      <c r="R195">
        <f t="shared" si="86"/>
        <v>187</v>
      </c>
      <c r="S195" s="20" t="s">
        <v>904</v>
      </c>
      <c r="T195" s="20"/>
      <c r="U195" t="s">
        <v>34</v>
      </c>
      <c r="V195" s="159" t="s">
        <v>34</v>
      </c>
      <c r="AB195" t="s">
        <v>34</v>
      </c>
      <c r="AC195" s="133"/>
      <c r="AH195" s="306">
        <f t="shared" si="125"/>
        <v>98.293515358361773</v>
      </c>
      <c r="AI195" s="306">
        <f t="shared" si="126"/>
        <v>5897.6109215017068</v>
      </c>
      <c r="AJ195" s="306">
        <f t="shared" si="127"/>
        <v>1.6382252559726962</v>
      </c>
    </row>
    <row r="196" spans="1:36" x14ac:dyDescent="0.35">
      <c r="A196">
        <f t="shared" si="20"/>
        <v>188</v>
      </c>
      <c r="B196" s="123" t="s">
        <v>906</v>
      </c>
      <c r="C196" s="42" t="s">
        <v>854</v>
      </c>
      <c r="D196" s="159">
        <v>50</v>
      </c>
      <c r="E196" s="159"/>
      <c r="F196" s="174" t="s">
        <v>34</v>
      </c>
      <c r="G196" s="174" t="s">
        <v>34</v>
      </c>
      <c r="H196" s="159">
        <f>D196*H$7/F$3</f>
        <v>5</v>
      </c>
      <c r="I196" s="8">
        <f>D196*I$7/I$3</f>
        <v>0.05</v>
      </c>
      <c r="J196" s="142">
        <f>D196*J$7/I$3</f>
        <v>0.5</v>
      </c>
      <c r="K196" s="105">
        <v>4</v>
      </c>
      <c r="L196" s="394">
        <v>2898</v>
      </c>
      <c r="M196" s="383" t="s">
        <v>907</v>
      </c>
      <c r="N196" s="394" t="s">
        <v>34</v>
      </c>
      <c r="O196" s="394" t="s">
        <v>418</v>
      </c>
      <c r="P196" s="394"/>
      <c r="Q196" s="394"/>
      <c r="R196">
        <f t="shared" si="86"/>
        <v>188</v>
      </c>
      <c r="S196" s="20" t="s">
        <v>451</v>
      </c>
      <c r="T196" s="20"/>
      <c r="U196" t="s">
        <v>34</v>
      </c>
      <c r="V196" s="159" t="s">
        <v>34</v>
      </c>
      <c r="AB196" t="s">
        <v>34</v>
      </c>
      <c r="AC196" s="133"/>
      <c r="AH196" s="306">
        <f t="shared" ref="AH196" si="128">(K196/L196)*60</f>
        <v>8.2815734989648032E-2</v>
      </c>
      <c r="AI196" s="306">
        <f t="shared" ref="AI196" si="129">60*AH196</f>
        <v>4.9689440993788816</v>
      </c>
      <c r="AJ196" s="306">
        <f t="shared" ref="AJ196" si="130">AH196/60</f>
        <v>1.3802622498274672E-3</v>
      </c>
    </row>
    <row r="197" spans="1:36" x14ac:dyDescent="0.35">
      <c r="A197">
        <f t="shared" si="20"/>
        <v>189</v>
      </c>
      <c r="B197" s="123" t="s">
        <v>646</v>
      </c>
      <c r="C197" s="42" t="s">
        <v>911</v>
      </c>
      <c r="D197" s="174" t="s">
        <v>34</v>
      </c>
      <c r="E197" s="174" t="s">
        <v>34</v>
      </c>
      <c r="F197" s="174" t="s">
        <v>34</v>
      </c>
      <c r="G197" s="174" t="s">
        <v>34</v>
      </c>
      <c r="H197" s="174" t="s">
        <v>34</v>
      </c>
      <c r="I197" s="58" t="s">
        <v>34</v>
      </c>
      <c r="J197" s="58" t="s">
        <v>34</v>
      </c>
      <c r="K197" s="105"/>
      <c r="L197" s="394"/>
      <c r="M197" s="383"/>
      <c r="N197" s="394"/>
      <c r="O197" s="394"/>
      <c r="P197" s="394"/>
      <c r="Q197" s="394"/>
      <c r="R197">
        <f t="shared" si="86"/>
        <v>189</v>
      </c>
      <c r="S197" s="20" t="s">
        <v>647</v>
      </c>
      <c r="T197" s="20"/>
      <c r="U197" t="s">
        <v>34</v>
      </c>
      <c r="V197" s="159" t="s">
        <v>34</v>
      </c>
      <c r="AB197" t="s">
        <v>34</v>
      </c>
      <c r="AC197" s="133"/>
      <c r="AH197" s="306"/>
      <c r="AI197" s="306"/>
      <c r="AJ197" s="306"/>
    </row>
    <row r="198" spans="1:36" x14ac:dyDescent="0.35">
      <c r="A198">
        <f t="shared" si="20"/>
        <v>190</v>
      </c>
      <c r="B198" s="123" t="s">
        <v>650</v>
      </c>
      <c r="C198" s="42" t="s">
        <v>911</v>
      </c>
      <c r="D198" s="174" t="s">
        <v>34</v>
      </c>
      <c r="E198" s="174" t="s">
        <v>34</v>
      </c>
      <c r="F198" s="174" t="s">
        <v>34</v>
      </c>
      <c r="G198" s="174" t="s">
        <v>34</v>
      </c>
      <c r="H198" s="174" t="s">
        <v>34</v>
      </c>
      <c r="I198" s="58" t="s">
        <v>34</v>
      </c>
      <c r="J198" s="58" t="s">
        <v>34</v>
      </c>
      <c r="K198" s="105"/>
      <c r="L198" s="394"/>
      <c r="M198" s="383"/>
      <c r="N198" s="394"/>
      <c r="O198" s="394"/>
      <c r="P198" s="394"/>
      <c r="Q198" s="394"/>
      <c r="R198">
        <f t="shared" si="86"/>
        <v>190</v>
      </c>
      <c r="S198" s="20" t="s">
        <v>651</v>
      </c>
      <c r="T198" s="20"/>
      <c r="U198" t="s">
        <v>34</v>
      </c>
      <c r="V198" s="159" t="s">
        <v>34</v>
      </c>
      <c r="AB198" t="s">
        <v>34</v>
      </c>
      <c r="AC198" s="133"/>
      <c r="AH198" s="306"/>
      <c r="AI198" s="306"/>
      <c r="AJ198" s="306"/>
    </row>
    <row r="199" spans="1:36" x14ac:dyDescent="0.35">
      <c r="A199">
        <f t="shared" si="20"/>
        <v>191</v>
      </c>
      <c r="B199" s="123" t="s">
        <v>1219</v>
      </c>
      <c r="C199" s="42" t="s">
        <v>1220</v>
      </c>
      <c r="D199" s="159">
        <f>25000000000/200</f>
        <v>125000000</v>
      </c>
      <c r="E199" s="159">
        <f t="shared" ref="E199" si="131">D199*E$7/F$3</f>
        <v>12500</v>
      </c>
      <c r="F199" s="174" t="s">
        <v>34</v>
      </c>
      <c r="G199" s="174" t="s">
        <v>34</v>
      </c>
      <c r="H199" s="174" t="s">
        <v>34</v>
      </c>
      <c r="I199" s="58" t="s">
        <v>34</v>
      </c>
      <c r="J199" s="58" t="s">
        <v>34</v>
      </c>
      <c r="K199" s="105">
        <f>660/2</f>
        <v>330</v>
      </c>
      <c r="L199" s="394">
        <v>280</v>
      </c>
      <c r="M199" s="383"/>
      <c r="N199" s="394">
        <v>16300</v>
      </c>
      <c r="O199" s="394" t="s">
        <v>1221</v>
      </c>
      <c r="P199" s="394"/>
      <c r="Q199" s="394"/>
      <c r="R199">
        <f t="shared" si="86"/>
        <v>191</v>
      </c>
      <c r="S199" s="20" t="s">
        <v>1218</v>
      </c>
      <c r="T199" s="20"/>
      <c r="U199" t="s">
        <v>1222</v>
      </c>
      <c r="V199" s="159" t="s">
        <v>34</v>
      </c>
      <c r="AB199" t="s">
        <v>34</v>
      </c>
      <c r="AC199" s="159" t="s">
        <v>1223</v>
      </c>
      <c r="AH199" s="306"/>
      <c r="AI199" s="306"/>
      <c r="AJ199" s="306"/>
    </row>
    <row r="200" spans="1:36" x14ac:dyDescent="0.35">
      <c r="A200">
        <f t="shared" si="20"/>
        <v>192</v>
      </c>
      <c r="B200" s="493" t="s">
        <v>806</v>
      </c>
      <c r="C200" s="494" t="s">
        <v>791</v>
      </c>
      <c r="D200" s="495">
        <v>25000000</v>
      </c>
      <c r="E200" s="495">
        <f t="shared" si="124"/>
        <v>2500</v>
      </c>
      <c r="F200" s="496" t="s">
        <v>34</v>
      </c>
      <c r="G200" s="496" t="s">
        <v>34</v>
      </c>
      <c r="H200" s="496" t="s">
        <v>34</v>
      </c>
      <c r="I200" s="496" t="s">
        <v>34</v>
      </c>
      <c r="J200" s="497" t="s">
        <v>34</v>
      </c>
      <c r="K200" s="498">
        <f>500/2</f>
        <v>250</v>
      </c>
      <c r="L200" s="501">
        <v>295</v>
      </c>
      <c r="M200" s="521" t="s">
        <v>808</v>
      </c>
      <c r="N200" s="501">
        <v>20000</v>
      </c>
      <c r="O200" s="501" t="s">
        <v>424</v>
      </c>
      <c r="P200" s="501">
        <v>44</v>
      </c>
      <c r="Q200" s="501"/>
      <c r="R200">
        <f t="shared" si="86"/>
        <v>192</v>
      </c>
      <c r="S200" s="20" t="s">
        <v>807</v>
      </c>
      <c r="T200" s="20"/>
      <c r="U200" t="s">
        <v>34</v>
      </c>
      <c r="V200" s="159" t="s">
        <v>34</v>
      </c>
      <c r="AB200" t="s">
        <v>34</v>
      </c>
      <c r="AH200" s="306">
        <f>(K200/L200)*60</f>
        <v>50.847457627118644</v>
      </c>
      <c r="AI200" s="306">
        <f t="shared" si="126"/>
        <v>3050.8474576271187</v>
      </c>
      <c r="AJ200" s="306">
        <f t="shared" si="127"/>
        <v>0.84745762711864403</v>
      </c>
    </row>
    <row r="201" spans="1:36" x14ac:dyDescent="0.35">
      <c r="A201">
        <f t="shared" si="20"/>
        <v>193</v>
      </c>
      <c r="B201" s="493" t="s">
        <v>819</v>
      </c>
      <c r="C201" s="494" t="s">
        <v>811</v>
      </c>
      <c r="D201" s="495">
        <v>18000000</v>
      </c>
      <c r="E201" s="495">
        <f t="shared" si="124"/>
        <v>1800</v>
      </c>
      <c r="F201" s="496" t="s">
        <v>34</v>
      </c>
      <c r="G201" s="496" t="s">
        <v>34</v>
      </c>
      <c r="H201" s="496" t="s">
        <v>34</v>
      </c>
      <c r="I201" s="496" t="s">
        <v>34</v>
      </c>
      <c r="J201" s="497" t="s">
        <v>34</v>
      </c>
      <c r="K201" s="498">
        <f>495/2</f>
        <v>247.5</v>
      </c>
      <c r="L201" s="501">
        <v>250</v>
      </c>
      <c r="M201" s="521" t="s">
        <v>629</v>
      </c>
      <c r="N201" s="501">
        <v>4000</v>
      </c>
      <c r="O201" s="501" t="s">
        <v>812</v>
      </c>
      <c r="P201" s="501">
        <v>788</v>
      </c>
      <c r="Q201" s="501"/>
      <c r="R201">
        <f t="shared" si="86"/>
        <v>193</v>
      </c>
      <c r="S201" t="s">
        <v>815</v>
      </c>
      <c r="U201" t="s">
        <v>813</v>
      </c>
      <c r="V201" s="159" t="s">
        <v>34</v>
      </c>
      <c r="AB201" t="s">
        <v>34</v>
      </c>
      <c r="AH201" s="306">
        <f>(K201/L201)*60</f>
        <v>59.4</v>
      </c>
      <c r="AI201" s="306">
        <f t="shared" si="126"/>
        <v>3564</v>
      </c>
      <c r="AJ201" s="306">
        <f t="shared" si="127"/>
        <v>0.99</v>
      </c>
    </row>
    <row r="202" spans="1:36" x14ac:dyDescent="0.35">
      <c r="A202">
        <f t="shared" si="20"/>
        <v>194</v>
      </c>
      <c r="B202" s="123"/>
      <c r="C202" s="42"/>
      <c r="D202" s="159"/>
      <c r="E202" s="159"/>
      <c r="F202" s="174"/>
      <c r="G202" s="174"/>
      <c r="H202" s="174"/>
      <c r="I202" s="174"/>
      <c r="J202" s="178"/>
      <c r="K202" s="105"/>
      <c r="L202" s="394"/>
      <c r="M202" s="383"/>
      <c r="N202" s="394"/>
      <c r="O202" s="394"/>
      <c r="P202" s="394"/>
      <c r="Q202" s="394"/>
      <c r="R202">
        <f t="shared" si="86"/>
        <v>194</v>
      </c>
      <c r="V202" s="159" t="s">
        <v>34</v>
      </c>
      <c r="AB202" t="s">
        <v>34</v>
      </c>
      <c r="AH202" s="306"/>
      <c r="AI202" s="306"/>
      <c r="AJ202" s="306"/>
    </row>
    <row r="203" spans="1:36" x14ac:dyDescent="0.35">
      <c r="A203">
        <f t="shared" si="20"/>
        <v>195</v>
      </c>
      <c r="B203" s="123"/>
      <c r="C203" s="42"/>
      <c r="D203" s="159"/>
      <c r="E203" s="159"/>
      <c r="F203" s="174"/>
      <c r="G203" s="174"/>
      <c r="H203" s="174"/>
      <c r="I203" s="174"/>
      <c r="J203" s="178"/>
      <c r="K203" s="105"/>
      <c r="L203" s="394"/>
      <c r="M203" s="383"/>
      <c r="N203" s="394"/>
      <c r="O203" s="394"/>
      <c r="P203" s="394"/>
      <c r="Q203" s="394"/>
      <c r="R203">
        <f t="shared" si="86"/>
        <v>195</v>
      </c>
      <c r="V203" s="159" t="s">
        <v>34</v>
      </c>
      <c r="AB203" t="s">
        <v>34</v>
      </c>
      <c r="AH203" s="306"/>
      <c r="AI203" s="306"/>
      <c r="AJ203" s="306"/>
    </row>
    <row r="204" spans="1:36" x14ac:dyDescent="0.35">
      <c r="A204">
        <f t="shared" si="20"/>
        <v>196</v>
      </c>
      <c r="B204" s="104"/>
      <c r="C204" s="119"/>
      <c r="D204" s="159"/>
      <c r="E204" s="159"/>
      <c r="F204" s="159"/>
      <c r="G204" s="159"/>
      <c r="H204" s="159"/>
      <c r="I204" s="159"/>
      <c r="J204" s="171"/>
      <c r="K204" s="105"/>
      <c r="L204" s="105"/>
      <c r="M204" s="383"/>
      <c r="N204" s="394"/>
      <c r="O204" s="394"/>
      <c r="P204" s="394"/>
      <c r="Q204" s="394"/>
      <c r="R204">
        <f t="shared" si="86"/>
        <v>196</v>
      </c>
      <c r="U204" t="s">
        <v>34</v>
      </c>
      <c r="V204" s="159" t="s">
        <v>34</v>
      </c>
      <c r="AB204" t="s">
        <v>34</v>
      </c>
    </row>
    <row r="205" spans="1:36" x14ac:dyDescent="0.35">
      <c r="A205">
        <f t="shared" si="20"/>
        <v>197</v>
      </c>
      <c r="B205" s="123"/>
      <c r="C205" s="42"/>
      <c r="D205" s="159"/>
      <c r="E205" s="159"/>
      <c r="F205" s="159"/>
      <c r="G205" s="159"/>
      <c r="H205" s="159"/>
      <c r="I205" s="159"/>
      <c r="J205" s="171"/>
      <c r="K205" s="105"/>
      <c r="L205" s="394"/>
      <c r="M205" s="180"/>
      <c r="N205" s="180"/>
      <c r="O205" s="394"/>
      <c r="P205" s="394"/>
      <c r="Q205" s="394"/>
      <c r="R205">
        <f t="shared" si="86"/>
        <v>197</v>
      </c>
      <c r="U205" t="s">
        <v>34</v>
      </c>
      <c r="V205" s="159" t="s">
        <v>34</v>
      </c>
      <c r="AB205" t="s">
        <v>34</v>
      </c>
    </row>
    <row r="206" spans="1:36" ht="15" thickBot="1" x14ac:dyDescent="0.4">
      <c r="A206">
        <f t="shared" ref="A206" si="132">A205+1</f>
        <v>198</v>
      </c>
      <c r="B206" s="112"/>
      <c r="C206" s="108"/>
      <c r="D206" s="172"/>
      <c r="E206" s="160"/>
      <c r="F206" s="160"/>
      <c r="G206" s="160"/>
      <c r="H206" s="160"/>
      <c r="I206" s="172"/>
      <c r="J206" s="173"/>
      <c r="K206" s="392"/>
      <c r="L206" s="396"/>
      <c r="M206" s="384"/>
      <c r="N206" s="384"/>
      <c r="O206" s="396"/>
      <c r="P206" s="396"/>
      <c r="Q206" s="396"/>
      <c r="R206">
        <f t="shared" si="86"/>
        <v>198</v>
      </c>
      <c r="U206" t="s">
        <v>34</v>
      </c>
      <c r="V206" s="159" t="s">
        <v>34</v>
      </c>
      <c r="AB206" t="s">
        <v>34</v>
      </c>
    </row>
    <row r="207" spans="1:36" ht="15" thickTop="1" x14ac:dyDescent="0.35"/>
    <row r="210" spans="1:31" ht="24" thickBot="1" x14ac:dyDescent="0.6">
      <c r="B210" s="598" t="s">
        <v>21</v>
      </c>
      <c r="C210" s="598"/>
      <c r="D210" s="598"/>
      <c r="E210" s="598"/>
      <c r="F210" s="594"/>
      <c r="G210" s="594"/>
      <c r="H210" s="594"/>
      <c r="I210" s="594"/>
      <c r="J210" s="594"/>
      <c r="K210" s="594"/>
      <c r="L210" s="594"/>
      <c r="M210" s="594"/>
      <c r="N210" s="594"/>
      <c r="O210" s="594"/>
      <c r="P210" s="594"/>
      <c r="Q210" s="594"/>
      <c r="R210" s="594"/>
      <c r="S210" s="594"/>
      <c r="T210" s="594"/>
      <c r="U210" s="594"/>
      <c r="V210" s="599"/>
      <c r="W210" s="594"/>
      <c r="X210" s="594"/>
      <c r="Y210" s="594"/>
      <c r="Z210" s="594"/>
      <c r="AA210" s="594"/>
      <c r="AB210" s="594"/>
    </row>
    <row r="211" spans="1:31" ht="15" thickTop="1" x14ac:dyDescent="0.35">
      <c r="B211" s="439"/>
      <c r="C211" s="439"/>
      <c r="D211" s="441" t="s">
        <v>160</v>
      </c>
      <c r="E211" s="441" t="s">
        <v>169</v>
      </c>
      <c r="F211" s="441" t="s">
        <v>162</v>
      </c>
      <c r="G211" s="441" t="s">
        <v>162</v>
      </c>
      <c r="H211" s="441" t="s">
        <v>162</v>
      </c>
      <c r="I211" s="441" t="s">
        <v>162</v>
      </c>
      <c r="J211" s="441" t="s">
        <v>169</v>
      </c>
      <c r="K211" s="442" t="str">
        <f t="shared" ref="K211:Q211" si="133">K6</f>
        <v xml:space="preserve">Range </v>
      </c>
      <c r="L211" s="442" t="str">
        <f t="shared" si="133"/>
        <v>Speed</v>
      </c>
      <c r="M211" s="442" t="str">
        <f t="shared" si="133"/>
        <v>Time</v>
      </c>
      <c r="N211" s="442" t="str">
        <f t="shared" si="133"/>
        <v>Warhead</v>
      </c>
      <c r="O211" s="442" t="str">
        <f t="shared" si="133"/>
        <v># build</v>
      </c>
      <c r="P211" s="440" t="str">
        <f t="shared" si="133"/>
        <v># in active</v>
      </c>
      <c r="Q211" s="442" t="str">
        <f t="shared" si="133"/>
        <v xml:space="preserve"># made </v>
      </c>
      <c r="R211" s="444"/>
      <c r="S211" s="444" t="str">
        <f>S6</f>
        <v>Main</v>
      </c>
      <c r="T211" s="444" t="str">
        <f>T6</f>
        <v xml:space="preserve">Main </v>
      </c>
      <c r="U211" s="444" t="str">
        <f t="shared" ref="U211:AA212" si="134">U6</f>
        <v>Main</v>
      </c>
      <c r="V211" s="295" t="str">
        <f t="shared" si="134"/>
        <v xml:space="preserve">Total </v>
      </c>
      <c r="W211" s="444" t="str">
        <f t="shared" si="134"/>
        <v>Launch</v>
      </c>
      <c r="X211" s="444" t="str">
        <f t="shared" si="134"/>
        <v>Navigation</v>
      </c>
      <c r="Y211" s="444" t="str">
        <f t="shared" si="134"/>
        <v>Data-</v>
      </c>
      <c r="Z211" s="444" t="str">
        <f t="shared" si="134"/>
        <v xml:space="preserve">Terminal </v>
      </c>
      <c r="AA211" s="444" t="str">
        <f t="shared" si="134"/>
        <v>Target</v>
      </c>
      <c r="AB211" s="451"/>
    </row>
    <row r="212" spans="1:31" x14ac:dyDescent="0.35">
      <c r="B212" s="443"/>
      <c r="C212" s="443"/>
      <c r="D212" s="444"/>
      <c r="E212" s="444">
        <v>100</v>
      </c>
      <c r="F212" s="295">
        <v>1000</v>
      </c>
      <c r="G212" s="295">
        <v>10000</v>
      </c>
      <c r="H212" s="295">
        <v>100000</v>
      </c>
      <c r="I212" s="295">
        <v>1000000</v>
      </c>
      <c r="J212" s="295">
        <v>10000000</v>
      </c>
      <c r="K212" s="595" t="str">
        <f>K7</f>
        <v>in km</v>
      </c>
      <c r="L212" s="446" t="str">
        <f>L7</f>
        <v>in km/h</v>
      </c>
      <c r="M212" s="595" t="str">
        <f>M7</f>
        <v>Minutes</v>
      </c>
      <c r="N212" s="595" t="str">
        <f>N7</f>
        <v>kilograms</v>
      </c>
      <c r="O212" s="446"/>
      <c r="P212" s="578" t="str">
        <f>P7</f>
        <v>service</v>
      </c>
      <c r="Q212" s="446" t="str">
        <f>Q7</f>
        <v>per year</v>
      </c>
      <c r="R212" s="444"/>
      <c r="S212" s="444" t="str">
        <f>S7</f>
        <v>text</v>
      </c>
      <c r="T212" s="444" t="str">
        <f>T7</f>
        <v>video</v>
      </c>
      <c r="U212" s="444" t="str">
        <f t="shared" si="134"/>
        <v>notes</v>
      </c>
      <c r="V212" s="295" t="str">
        <f t="shared" ref="V212:AA212" si="135">V7</f>
        <v>weight</v>
      </c>
      <c r="W212" s="444" t="str">
        <f t="shared" si="135"/>
        <v>platforms</v>
      </c>
      <c r="X212" s="444" t="str">
        <f t="shared" si="135"/>
        <v>systems</v>
      </c>
      <c r="Y212" s="444" t="str">
        <f t="shared" si="135"/>
        <v xml:space="preserve">link </v>
      </c>
      <c r="Z212" s="444" t="str">
        <f t="shared" si="135"/>
        <v>homing</v>
      </c>
      <c r="AA212" s="444" t="str">
        <f t="shared" si="135"/>
        <v>acquisition</v>
      </c>
      <c r="AB212" s="451"/>
    </row>
    <row r="213" spans="1:31" ht="15" thickBot="1" x14ac:dyDescent="0.4">
      <c r="B213" s="447"/>
      <c r="C213" s="447"/>
      <c r="D213" s="448"/>
      <c r="E213" s="448" t="s">
        <v>166</v>
      </c>
      <c r="F213" s="448" t="s">
        <v>166</v>
      </c>
      <c r="G213" s="448" t="s">
        <v>166</v>
      </c>
      <c r="H213" s="448" t="s">
        <v>166</v>
      </c>
      <c r="I213" s="448" t="s">
        <v>158</v>
      </c>
      <c r="J213" s="448" t="s">
        <v>158</v>
      </c>
      <c r="K213" s="558"/>
      <c r="L213" s="558"/>
      <c r="M213" s="596" t="str">
        <f>M8</f>
        <v>Hour, Sec</v>
      </c>
      <c r="N213" s="596" t="str">
        <f>N8</f>
        <v>all/explos.</v>
      </c>
      <c r="O213" s="558"/>
      <c r="P213" s="597"/>
      <c r="Q213" s="558"/>
      <c r="R213" s="444"/>
      <c r="S213" s="444" t="str">
        <f>S8</f>
        <v>source</v>
      </c>
      <c r="T213" s="444" t="str">
        <f>T8</f>
        <v>source</v>
      </c>
      <c r="U213" s="451"/>
      <c r="V213" s="295" t="str">
        <f t="shared" ref="V213:Z213" si="136">V8</f>
        <v>kg</v>
      </c>
      <c r="W213" s="451"/>
      <c r="X213" s="451"/>
      <c r="Y213" s="444" t="str">
        <f t="shared" si="136"/>
        <v>systems</v>
      </c>
      <c r="Z213" s="444" t="str">
        <f t="shared" si="136"/>
        <v>systems</v>
      </c>
      <c r="AA213" s="451"/>
      <c r="AB213" s="451"/>
    </row>
    <row r="214" spans="1:31" ht="15" thickTop="1" x14ac:dyDescent="0.35">
      <c r="A214">
        <v>1</v>
      </c>
      <c r="B214" s="183" t="s">
        <v>161</v>
      </c>
      <c r="C214" s="387"/>
      <c r="D214" s="195"/>
      <c r="E214" s="195"/>
      <c r="F214" s="190"/>
      <c r="G214" s="190"/>
      <c r="H214" s="190"/>
      <c r="I214" s="194"/>
      <c r="J214" s="194"/>
      <c r="K214" s="187"/>
      <c r="L214" s="187"/>
      <c r="M214" s="187"/>
      <c r="N214" s="387"/>
      <c r="O214" s="387"/>
      <c r="P214" s="436"/>
      <c r="Q214" s="187"/>
      <c r="R214">
        <v>1</v>
      </c>
      <c r="U214" s="3" t="s">
        <v>34</v>
      </c>
      <c r="V214" s="159" t="s">
        <v>34</v>
      </c>
      <c r="AB214" t="s">
        <v>34</v>
      </c>
    </row>
    <row r="215" spans="1:31" x14ac:dyDescent="0.35">
      <c r="A215">
        <f>A214+1</f>
        <v>2</v>
      </c>
      <c r="B215" s="482" t="str">
        <f>B10</f>
        <v>MAGURA V5 UKR navy drone</v>
      </c>
      <c r="C215" s="482" t="s">
        <v>165</v>
      </c>
      <c r="D215" s="531" t="s">
        <v>165</v>
      </c>
      <c r="E215" s="492" t="s">
        <v>35</v>
      </c>
      <c r="F215" s="492" t="s">
        <v>35</v>
      </c>
      <c r="G215" s="516" t="s">
        <v>34</v>
      </c>
      <c r="H215" s="516" t="s">
        <v>34</v>
      </c>
      <c r="I215" s="485" t="s">
        <v>34</v>
      </c>
      <c r="J215" s="486" t="s">
        <v>34</v>
      </c>
      <c r="K215" s="489" t="s">
        <v>165</v>
      </c>
      <c r="L215" s="525" t="s">
        <v>165</v>
      </c>
      <c r="M215" s="489" t="s">
        <v>35</v>
      </c>
      <c r="N215" s="524" t="s">
        <v>165</v>
      </c>
      <c r="O215" s="482" t="s">
        <v>181</v>
      </c>
      <c r="P215" s="482"/>
      <c r="Q215" s="489"/>
      <c r="R215">
        <f>R214+1</f>
        <v>2</v>
      </c>
      <c r="U215" s="3" t="s">
        <v>34</v>
      </c>
      <c r="V215" s="159" t="s">
        <v>34</v>
      </c>
      <c r="AB215" t="s">
        <v>34</v>
      </c>
    </row>
    <row r="216" spans="1:31" x14ac:dyDescent="0.35">
      <c r="A216">
        <f t="shared" ref="A216:A409" si="137">A215+1</f>
        <v>3</v>
      </c>
      <c r="B216" s="482" t="str">
        <f>B11</f>
        <v>R-360 UKR Neptune anti-ship cruise missile</v>
      </c>
      <c r="C216" s="482" t="s">
        <v>1150</v>
      </c>
      <c r="D216" s="514"/>
      <c r="E216" s="492" t="s">
        <v>35</v>
      </c>
      <c r="F216" s="492" t="s">
        <v>35</v>
      </c>
      <c r="G216" s="516" t="s">
        <v>34</v>
      </c>
      <c r="H216" s="516" t="s">
        <v>34</v>
      </c>
      <c r="I216" s="485" t="s">
        <v>34</v>
      </c>
      <c r="J216" s="486" t="s">
        <v>34</v>
      </c>
      <c r="K216" s="489"/>
      <c r="L216" s="514"/>
      <c r="M216" s="489" t="s">
        <v>35</v>
      </c>
      <c r="N216" s="524"/>
      <c r="O216" s="532"/>
      <c r="P216" s="532"/>
      <c r="Q216" s="533"/>
      <c r="R216">
        <f t="shared" ref="R216:R280" si="138">R215+1</f>
        <v>3</v>
      </c>
      <c r="S216" s="454"/>
      <c r="T216" s="454"/>
      <c r="U216" s="3" t="s">
        <v>34</v>
      </c>
      <c r="V216" s="159" t="s">
        <v>34</v>
      </c>
      <c r="AB216" t="s">
        <v>34</v>
      </c>
    </row>
    <row r="217" spans="1:31" x14ac:dyDescent="0.35">
      <c r="A217">
        <f t="shared" si="137"/>
        <v>4</v>
      </c>
      <c r="B217" s="517" t="str">
        <f>B12</f>
        <v>Kh-22 anti-ship ballistic missile, can also hit ground targets</v>
      </c>
      <c r="C217" s="517" t="s">
        <v>1311</v>
      </c>
      <c r="D217" s="517" t="s">
        <v>1312</v>
      </c>
      <c r="E217" s="508" t="s">
        <v>35</v>
      </c>
      <c r="F217" s="508" t="s">
        <v>35</v>
      </c>
      <c r="G217" s="520" t="s">
        <v>34</v>
      </c>
      <c r="H217" s="520" t="s">
        <v>34</v>
      </c>
      <c r="I217" s="496" t="s">
        <v>34</v>
      </c>
      <c r="J217" s="497" t="s">
        <v>34</v>
      </c>
      <c r="K217" s="493" t="s">
        <v>1311</v>
      </c>
      <c r="L217" s="493" t="s">
        <v>1312</v>
      </c>
      <c r="M217" s="493" t="s">
        <v>35</v>
      </c>
      <c r="N217" s="493" t="s">
        <v>1313</v>
      </c>
      <c r="O217" s="493" t="s">
        <v>1314</v>
      </c>
      <c r="P217" s="580"/>
      <c r="Q217" s="581"/>
      <c r="R217">
        <f t="shared" si="138"/>
        <v>4</v>
      </c>
      <c r="S217" s="454"/>
      <c r="T217" s="454"/>
      <c r="U217" s="3"/>
      <c r="V217" s="159" t="s">
        <v>34</v>
      </c>
      <c r="AB217" t="s">
        <v>34</v>
      </c>
    </row>
    <row r="218" spans="1:31" x14ac:dyDescent="0.35">
      <c r="A218">
        <f t="shared" si="137"/>
        <v>5</v>
      </c>
      <c r="B218" s="51" t="str">
        <f>B13</f>
        <v>Harpoon US anti-ship missile</v>
      </c>
      <c r="C218" s="51" t="s">
        <v>171</v>
      </c>
      <c r="D218" s="122" t="s">
        <v>171</v>
      </c>
      <c r="E218" s="70" t="s">
        <v>35</v>
      </c>
      <c r="F218" s="70" t="s">
        <v>35</v>
      </c>
      <c r="G218" s="58" t="s">
        <v>34</v>
      </c>
      <c r="H218" s="58" t="s">
        <v>34</v>
      </c>
      <c r="I218" s="174" t="s">
        <v>34</v>
      </c>
      <c r="J218" s="178" t="s">
        <v>34</v>
      </c>
      <c r="K218" s="123" t="s">
        <v>171</v>
      </c>
      <c r="L218" s="123" t="s">
        <v>171</v>
      </c>
      <c r="M218" s="123" t="s">
        <v>35</v>
      </c>
      <c r="N218" t="s">
        <v>171</v>
      </c>
      <c r="O218" t="s">
        <v>171</v>
      </c>
      <c r="P218" s="51"/>
      <c r="Q218" s="123"/>
      <c r="R218">
        <f t="shared" si="138"/>
        <v>5</v>
      </c>
      <c r="U218" s="3" t="s">
        <v>34</v>
      </c>
      <c r="V218" s="159" t="s">
        <v>34</v>
      </c>
      <c r="AB218" t="s">
        <v>34</v>
      </c>
    </row>
    <row r="219" spans="1:31" x14ac:dyDescent="0.35">
      <c r="A219">
        <f t="shared" si="137"/>
        <v>6</v>
      </c>
      <c r="B219" s="123" t="str">
        <f>B14</f>
        <v xml:space="preserve">AGM-158c LRASM stealth navy cruise m. </v>
      </c>
      <c r="C219" s="51" t="s">
        <v>836</v>
      </c>
      <c r="D219" s="4"/>
      <c r="E219" s="70" t="s">
        <v>35</v>
      </c>
      <c r="F219" s="70" t="s">
        <v>35</v>
      </c>
      <c r="G219" s="70" t="s">
        <v>34</v>
      </c>
      <c r="H219" s="70" t="s">
        <v>34</v>
      </c>
      <c r="I219" s="70" t="s">
        <v>34</v>
      </c>
      <c r="J219" s="70" t="s">
        <v>34</v>
      </c>
      <c r="K219" s="123" t="s">
        <v>840</v>
      </c>
      <c r="L219" s="123" t="s">
        <v>837</v>
      </c>
      <c r="M219" s="123" t="s">
        <v>35</v>
      </c>
      <c r="N219" s="123" t="s">
        <v>850</v>
      </c>
      <c r="O219" s="123" t="s">
        <v>838</v>
      </c>
      <c r="P219" s="51"/>
      <c r="Q219" s="123" t="s">
        <v>841</v>
      </c>
      <c r="R219">
        <f t="shared" si="138"/>
        <v>6</v>
      </c>
      <c r="U219" t="s">
        <v>842</v>
      </c>
      <c r="V219" s="159" t="s">
        <v>34</v>
      </c>
      <c r="AB219" t="s">
        <v>34</v>
      </c>
      <c r="AC219" t="s">
        <v>845</v>
      </c>
      <c r="AD219">
        <v>230</v>
      </c>
      <c r="AE219" t="s">
        <v>839</v>
      </c>
    </row>
    <row r="220" spans="1:31" x14ac:dyDescent="0.35">
      <c r="A220">
        <f t="shared" si="137"/>
        <v>7</v>
      </c>
      <c r="B220" s="123" t="str">
        <f>B15</f>
        <v>Virginia-class US submarine, nuclear powered</v>
      </c>
      <c r="C220" s="51" t="s">
        <v>1235</v>
      </c>
      <c r="D220" s="51" t="s">
        <v>1235</v>
      </c>
      <c r="E220" s="70" t="s">
        <v>35</v>
      </c>
      <c r="F220" s="70" t="s">
        <v>34</v>
      </c>
      <c r="G220" s="70" t="s">
        <v>34</v>
      </c>
      <c r="H220" s="70" t="s">
        <v>34</v>
      </c>
      <c r="I220" s="70" t="s">
        <v>34</v>
      </c>
      <c r="J220" s="70" t="s">
        <v>34</v>
      </c>
      <c r="K220" s="123" t="s">
        <v>1235</v>
      </c>
      <c r="L220" s="123" t="s">
        <v>1235</v>
      </c>
      <c r="M220" s="123" t="s">
        <v>1235</v>
      </c>
      <c r="N220" s="123" t="s">
        <v>1235</v>
      </c>
      <c r="O220" s="123" t="s">
        <v>1235</v>
      </c>
      <c r="P220" s="51"/>
      <c r="Q220" s="123"/>
      <c r="R220">
        <f t="shared" si="138"/>
        <v>7</v>
      </c>
      <c r="V220" s="159" t="s">
        <v>34</v>
      </c>
      <c r="Y220" s="397" t="s">
        <v>1352</v>
      </c>
      <c r="AB220" t="s">
        <v>34</v>
      </c>
    </row>
    <row r="221" spans="1:31" x14ac:dyDescent="0.35">
      <c r="A221">
        <f t="shared" si="137"/>
        <v>8</v>
      </c>
      <c r="B221" s="51"/>
      <c r="C221" s="51"/>
      <c r="D221" s="4"/>
      <c r="E221" s="70"/>
      <c r="F221" s="70"/>
      <c r="G221" s="70"/>
      <c r="H221" s="70"/>
      <c r="I221" s="70"/>
      <c r="J221" s="70"/>
      <c r="K221" s="123"/>
      <c r="L221" s="123"/>
      <c r="M221" s="123"/>
      <c r="P221" s="51"/>
      <c r="Q221" s="123"/>
      <c r="R221">
        <f t="shared" si="138"/>
        <v>8</v>
      </c>
      <c r="V221" s="159" t="s">
        <v>34</v>
      </c>
      <c r="AB221" t="s">
        <v>34</v>
      </c>
    </row>
    <row r="222" spans="1:31" x14ac:dyDescent="0.35">
      <c r="A222">
        <f t="shared" si="137"/>
        <v>9</v>
      </c>
      <c r="B222" s="51"/>
      <c r="C222" s="51"/>
      <c r="D222" s="4"/>
      <c r="E222" s="70"/>
      <c r="F222" s="70"/>
      <c r="G222" s="70"/>
      <c r="H222" s="70"/>
      <c r="I222" s="70"/>
      <c r="J222" s="70"/>
      <c r="K222" s="123"/>
      <c r="L222" s="123"/>
      <c r="M222" s="123"/>
      <c r="P222" s="51"/>
      <c r="Q222" s="123"/>
      <c r="R222">
        <f t="shared" si="138"/>
        <v>9</v>
      </c>
      <c r="V222" s="159" t="s">
        <v>34</v>
      </c>
      <c r="AB222" t="s">
        <v>34</v>
      </c>
    </row>
    <row r="223" spans="1:31" x14ac:dyDescent="0.35">
      <c r="A223">
        <f t="shared" si="137"/>
        <v>10</v>
      </c>
      <c r="B223" s="51"/>
      <c r="C223" s="51"/>
      <c r="D223" s="122"/>
      <c r="E223" s="70"/>
      <c r="F223" s="70"/>
      <c r="G223" s="58"/>
      <c r="H223" s="58"/>
      <c r="I223" s="174"/>
      <c r="J223" s="426"/>
      <c r="K223" s="123"/>
      <c r="L223" s="123"/>
      <c r="M223" s="123"/>
      <c r="P223" s="51"/>
      <c r="Q223" s="123"/>
      <c r="R223">
        <f t="shared" si="138"/>
        <v>10</v>
      </c>
      <c r="U223" s="3"/>
      <c r="V223" s="159" t="s">
        <v>34</v>
      </c>
      <c r="AB223" t="s">
        <v>34</v>
      </c>
    </row>
    <row r="224" spans="1:31" x14ac:dyDescent="0.35">
      <c r="A224">
        <f t="shared" si="137"/>
        <v>11</v>
      </c>
      <c r="B224" s="183" t="s">
        <v>163</v>
      </c>
      <c r="C224" s="387"/>
      <c r="D224" s="190"/>
      <c r="E224" s="193"/>
      <c r="F224" s="193"/>
      <c r="G224" s="193"/>
      <c r="H224" s="193"/>
      <c r="I224" s="193"/>
      <c r="J224" s="193"/>
      <c r="K224" s="187"/>
      <c r="L224" s="187"/>
      <c r="M224" s="187"/>
      <c r="N224" s="387"/>
      <c r="O224" s="387"/>
      <c r="P224" s="387"/>
      <c r="Q224" s="187"/>
      <c r="R224">
        <f t="shared" si="138"/>
        <v>11</v>
      </c>
      <c r="U224" s="3" t="s">
        <v>34</v>
      </c>
      <c r="V224" s="159" t="s">
        <v>34</v>
      </c>
      <c r="AB224" t="s">
        <v>34</v>
      </c>
    </row>
    <row r="225" spans="1:29" x14ac:dyDescent="0.35">
      <c r="A225">
        <f t="shared" si="137"/>
        <v>12</v>
      </c>
      <c r="B225" s="123" t="str">
        <f>B20</f>
        <v>M15 anti-tank mine</v>
      </c>
      <c r="C225" s="51" t="s">
        <v>167</v>
      </c>
      <c r="D225" s="4" t="s">
        <v>167</v>
      </c>
      <c r="E225" s="176" t="s">
        <v>34</v>
      </c>
      <c r="F225" s="176" t="s">
        <v>34</v>
      </c>
      <c r="G225" s="176" t="s">
        <v>34</v>
      </c>
      <c r="H225" s="176" t="s">
        <v>34</v>
      </c>
      <c r="I225" s="70" t="s">
        <v>35</v>
      </c>
      <c r="J225" s="70" t="s">
        <v>35</v>
      </c>
      <c r="K225" s="123" t="s">
        <v>34</v>
      </c>
      <c r="L225" s="123" t="s">
        <v>34</v>
      </c>
      <c r="M225" s="123" t="s">
        <v>34</v>
      </c>
      <c r="N225" s="31" t="s">
        <v>167</v>
      </c>
      <c r="O225" s="51" t="s">
        <v>181</v>
      </c>
      <c r="P225" s="51"/>
      <c r="Q225" s="123"/>
      <c r="R225">
        <f t="shared" si="138"/>
        <v>12</v>
      </c>
      <c r="U225" s="3" t="s">
        <v>34</v>
      </c>
      <c r="V225" s="159" t="s">
        <v>34</v>
      </c>
      <c r="AB225" t="s">
        <v>34</v>
      </c>
    </row>
    <row r="226" spans="1:29" x14ac:dyDescent="0.35">
      <c r="A226">
        <f t="shared" si="137"/>
        <v>13</v>
      </c>
      <c r="B226" s="123" t="str">
        <f>B21</f>
        <v>Small anti-personel mine VS-50 mine</v>
      </c>
      <c r="C226" s="51" t="s">
        <v>34</v>
      </c>
      <c r="D226" s="4" t="s">
        <v>172</v>
      </c>
      <c r="E226" s="176" t="s">
        <v>34</v>
      </c>
      <c r="F226" s="176" t="s">
        <v>34</v>
      </c>
      <c r="G226" s="176" t="s">
        <v>34</v>
      </c>
      <c r="H226" s="176" t="s">
        <v>34</v>
      </c>
      <c r="I226" s="70" t="s">
        <v>35</v>
      </c>
      <c r="J226" s="70" t="s">
        <v>35</v>
      </c>
      <c r="K226" s="123" t="s">
        <v>34</v>
      </c>
      <c r="L226" s="123" t="s">
        <v>34</v>
      </c>
      <c r="M226" s="123" t="s">
        <v>34</v>
      </c>
      <c r="N226" s="51" t="s">
        <v>172</v>
      </c>
      <c r="O226" s="90" t="s">
        <v>181</v>
      </c>
      <c r="P226" s="90"/>
      <c r="Q226" s="391"/>
      <c r="R226">
        <f t="shared" si="138"/>
        <v>13</v>
      </c>
      <c r="S226" s="454"/>
      <c r="T226" s="454"/>
      <c r="U226" s="3" t="s">
        <v>34</v>
      </c>
      <c r="V226" s="159" t="s">
        <v>34</v>
      </c>
      <c r="AB226" t="s">
        <v>34</v>
      </c>
    </row>
    <row r="227" spans="1:29" x14ac:dyDescent="0.35">
      <c r="A227">
        <f t="shared" si="137"/>
        <v>14</v>
      </c>
      <c r="B227" s="123" t="str">
        <f>B22</f>
        <v>Artillery shells 155mm, M107</v>
      </c>
      <c r="C227" s="31" t="s">
        <v>189</v>
      </c>
      <c r="D227" s="4" t="s">
        <v>173</v>
      </c>
      <c r="E227" s="176" t="s">
        <v>34</v>
      </c>
      <c r="F227" s="176" t="s">
        <v>34</v>
      </c>
      <c r="G227" s="176" t="s">
        <v>34</v>
      </c>
      <c r="H227" s="176" t="s">
        <v>34</v>
      </c>
      <c r="I227" s="70" t="s">
        <v>35</v>
      </c>
      <c r="J227" s="70" t="s">
        <v>35</v>
      </c>
      <c r="K227" s="149" t="s">
        <v>177</v>
      </c>
      <c r="L227" s="391" t="s">
        <v>364</v>
      </c>
      <c r="M227" s="149"/>
      <c r="N227" s="31" t="s">
        <v>189</v>
      </c>
      <c r="O227" s="90" t="s">
        <v>181</v>
      </c>
      <c r="P227" s="90"/>
      <c r="Q227" s="391"/>
      <c r="R227">
        <f t="shared" si="138"/>
        <v>14</v>
      </c>
      <c r="S227" s="454"/>
      <c r="T227" s="454"/>
      <c r="U227" t="s">
        <v>197</v>
      </c>
      <c r="V227" s="159" t="s">
        <v>34</v>
      </c>
      <c r="AB227" t="s">
        <v>34</v>
      </c>
      <c r="AC227" t="s">
        <v>34</v>
      </c>
    </row>
    <row r="228" spans="1:29" x14ac:dyDescent="0.35">
      <c r="A228">
        <f t="shared" si="137"/>
        <v>15</v>
      </c>
      <c r="B228" s="123" t="str">
        <f>B23</f>
        <v>Art.shells 155mm, base bleed</v>
      </c>
      <c r="C228" s="31" t="s">
        <v>193</v>
      </c>
      <c r="D228" s="182" t="s">
        <v>207</v>
      </c>
      <c r="E228" s="176" t="s">
        <v>34</v>
      </c>
      <c r="F228" s="176" t="s">
        <v>34</v>
      </c>
      <c r="G228" s="176" t="s">
        <v>34</v>
      </c>
      <c r="H228" s="70"/>
      <c r="I228" s="70"/>
      <c r="J228" s="70"/>
      <c r="K228" s="149" t="s">
        <v>193</v>
      </c>
      <c r="L228" s="391" t="s">
        <v>364</v>
      </c>
      <c r="M228" s="149"/>
      <c r="N228" s="31"/>
      <c r="O228" s="90" t="s">
        <v>181</v>
      </c>
      <c r="P228" s="90"/>
      <c r="Q228" s="391"/>
      <c r="R228">
        <f t="shared" si="138"/>
        <v>15</v>
      </c>
      <c r="S228" s="454"/>
      <c r="T228" s="454"/>
      <c r="U228" t="s">
        <v>197</v>
      </c>
      <c r="V228" s="159" t="s">
        <v>34</v>
      </c>
      <c r="AB228" t="s">
        <v>34</v>
      </c>
      <c r="AC228" t="s">
        <v>34</v>
      </c>
    </row>
    <row r="229" spans="1:29" x14ac:dyDescent="0.35">
      <c r="A229">
        <f t="shared" si="137"/>
        <v>16</v>
      </c>
      <c r="B229" s="123" t="str">
        <f>B24</f>
        <v>Art.shells 155mm, rocket assist, M549</v>
      </c>
      <c r="C229" s="51" t="s">
        <v>193</v>
      </c>
      <c r="D229" s="182" t="s">
        <v>207</v>
      </c>
      <c r="E229" s="176" t="s">
        <v>34</v>
      </c>
      <c r="F229" s="176" t="s">
        <v>34</v>
      </c>
      <c r="G229" s="70"/>
      <c r="H229" s="70"/>
      <c r="I229" s="70"/>
      <c r="J229" s="70"/>
      <c r="K229" s="123" t="s">
        <v>193</v>
      </c>
      <c r="L229" s="391" t="s">
        <v>364</v>
      </c>
      <c r="M229" s="123"/>
      <c r="N229" s="31" t="s">
        <v>206</v>
      </c>
      <c r="O229" s="90" t="s">
        <v>181</v>
      </c>
      <c r="P229" s="90"/>
      <c r="Q229" s="391"/>
      <c r="R229">
        <f t="shared" si="138"/>
        <v>16</v>
      </c>
      <c r="S229" s="454"/>
      <c r="T229" s="454"/>
      <c r="U229" t="s">
        <v>197</v>
      </c>
      <c r="V229" s="159" t="s">
        <v>34</v>
      </c>
      <c r="AB229" t="s">
        <v>34</v>
      </c>
      <c r="AC229" t="s">
        <v>34</v>
      </c>
    </row>
    <row r="230" spans="1:29" x14ac:dyDescent="0.35">
      <c r="A230">
        <f t="shared" si="137"/>
        <v>17</v>
      </c>
      <c r="B230" s="123" t="str">
        <f>B25</f>
        <v>Art.shells 155mm, M982 GPS</v>
      </c>
      <c r="C230" s="51" t="s">
        <v>201</v>
      </c>
      <c r="D230" s="4" t="s">
        <v>201</v>
      </c>
      <c r="E230" s="70" t="s">
        <v>34</v>
      </c>
      <c r="F230" s="70" t="s">
        <v>35</v>
      </c>
      <c r="G230" s="70" t="s">
        <v>35</v>
      </c>
      <c r="H230" s="70"/>
      <c r="I230" s="70"/>
      <c r="J230" s="70"/>
      <c r="K230" s="123" t="s">
        <v>201</v>
      </c>
      <c r="L230" s="391" t="s">
        <v>364</v>
      </c>
      <c r="M230" s="123"/>
      <c r="N230" s="31" t="s">
        <v>201</v>
      </c>
      <c r="O230" s="90" t="s">
        <v>181</v>
      </c>
      <c r="P230" s="90"/>
      <c r="Q230" s="391"/>
      <c r="R230">
        <f t="shared" si="138"/>
        <v>17</v>
      </c>
      <c r="S230" s="454"/>
      <c r="T230" s="454"/>
      <c r="U230" s="3" t="s">
        <v>34</v>
      </c>
      <c r="V230" s="159" t="s">
        <v>34</v>
      </c>
      <c r="AB230" t="s">
        <v>34</v>
      </c>
    </row>
    <row r="231" spans="1:29" x14ac:dyDescent="0.35">
      <c r="A231">
        <f t="shared" si="137"/>
        <v>18</v>
      </c>
      <c r="B231" s="123" t="str">
        <f>B26</f>
        <v>Archer self-propelled howitzer, Swedish</v>
      </c>
      <c r="C231" s="51" t="s">
        <v>177</v>
      </c>
      <c r="D231" s="4" t="s">
        <v>177</v>
      </c>
      <c r="E231" s="70" t="s">
        <v>35</v>
      </c>
      <c r="F231" s="70" t="s">
        <v>35</v>
      </c>
      <c r="G231" s="174" t="s">
        <v>34</v>
      </c>
      <c r="H231" s="58" t="s">
        <v>34</v>
      </c>
      <c r="I231" s="58" t="s">
        <v>34</v>
      </c>
      <c r="J231" s="70" t="s">
        <v>34</v>
      </c>
      <c r="K231" s="123" t="s">
        <v>177</v>
      </c>
      <c r="L231" s="123" t="s">
        <v>177</v>
      </c>
      <c r="M231" s="123" t="s">
        <v>177</v>
      </c>
      <c r="N231" s="123" t="s">
        <v>177</v>
      </c>
      <c r="O231" s="51" t="s">
        <v>177</v>
      </c>
      <c r="P231" s="51"/>
      <c r="Q231" s="123"/>
      <c r="R231">
        <f t="shared" si="138"/>
        <v>18</v>
      </c>
      <c r="U231" s="3" t="s">
        <v>34</v>
      </c>
      <c r="V231" s="159" t="s">
        <v>34</v>
      </c>
      <c r="AB231" t="s">
        <v>34</v>
      </c>
    </row>
    <row r="232" spans="1:29" x14ac:dyDescent="0.35">
      <c r="A232">
        <f t="shared" si="137"/>
        <v>19</v>
      </c>
      <c r="B232" s="123" t="str">
        <f>B27</f>
        <v>Panzerhaubitze 2000, German</v>
      </c>
      <c r="C232" s="31" t="s">
        <v>178</v>
      </c>
      <c r="D232" s="4" t="s">
        <v>178</v>
      </c>
      <c r="E232" s="70" t="s">
        <v>35</v>
      </c>
      <c r="F232" s="70" t="s">
        <v>35</v>
      </c>
      <c r="G232" s="174" t="s">
        <v>34</v>
      </c>
      <c r="H232" s="58" t="s">
        <v>34</v>
      </c>
      <c r="I232" s="58" t="s">
        <v>34</v>
      </c>
      <c r="J232" s="70" t="s">
        <v>34</v>
      </c>
      <c r="K232" s="149" t="s">
        <v>178</v>
      </c>
      <c r="L232" s="149" t="s">
        <v>178</v>
      </c>
      <c r="M232" s="149" t="s">
        <v>178</v>
      </c>
      <c r="N232" s="149" t="s">
        <v>178</v>
      </c>
      <c r="O232" t="s">
        <v>181</v>
      </c>
      <c r="P232" s="51"/>
      <c r="Q232" s="123"/>
      <c r="R232">
        <f t="shared" si="138"/>
        <v>19</v>
      </c>
      <c r="U232" s="3" t="s">
        <v>34</v>
      </c>
      <c r="V232" s="159" t="s">
        <v>34</v>
      </c>
      <c r="AB232" t="s">
        <v>34</v>
      </c>
    </row>
    <row r="233" spans="1:29" x14ac:dyDescent="0.35">
      <c r="A233">
        <f t="shared" si="137"/>
        <v>20</v>
      </c>
      <c r="B233" s="123" t="str">
        <f>B28</f>
        <v>RCH155 Remote Controlled Howitzer155 mm German</v>
      </c>
      <c r="C233" s="31" t="s">
        <v>671</v>
      </c>
      <c r="D233" s="4" t="s">
        <v>671</v>
      </c>
      <c r="E233" s="70" t="s">
        <v>35</v>
      </c>
      <c r="F233" s="70" t="s">
        <v>35</v>
      </c>
      <c r="G233" s="174" t="s">
        <v>34</v>
      </c>
      <c r="H233" s="58" t="s">
        <v>34</v>
      </c>
      <c r="I233" s="58" t="s">
        <v>34</v>
      </c>
      <c r="J233" s="70" t="s">
        <v>34</v>
      </c>
      <c r="K233" s="149" t="s">
        <v>671</v>
      </c>
      <c r="L233" s="149" t="s">
        <v>672</v>
      </c>
      <c r="M233" s="149" t="s">
        <v>34</v>
      </c>
      <c r="N233" s="149"/>
      <c r="O233" t="s">
        <v>181</v>
      </c>
      <c r="P233" s="51"/>
      <c r="Q233" s="123"/>
      <c r="R233">
        <f t="shared" si="138"/>
        <v>20</v>
      </c>
      <c r="U233" s="3" t="s">
        <v>34</v>
      </c>
      <c r="V233" s="159" t="s">
        <v>34</v>
      </c>
      <c r="AB233" t="s">
        <v>34</v>
      </c>
    </row>
    <row r="234" spans="1:29" x14ac:dyDescent="0.35">
      <c r="A234">
        <f t="shared" si="137"/>
        <v>21</v>
      </c>
      <c r="B234" s="123" t="str">
        <f>B29</f>
        <v>CAESAR self-propelled howitzer, French</v>
      </c>
      <c r="C234" s="31" t="s">
        <v>193</v>
      </c>
      <c r="D234" t="s">
        <v>88</v>
      </c>
      <c r="E234" s="70" t="s">
        <v>35</v>
      </c>
      <c r="F234" s="70" t="s">
        <v>35</v>
      </c>
      <c r="G234" s="70"/>
      <c r="H234" s="70"/>
      <c r="I234" s="70"/>
      <c r="J234" s="70"/>
      <c r="K234" s="149" t="s">
        <v>193</v>
      </c>
      <c r="L234" s="149" t="s">
        <v>193</v>
      </c>
      <c r="M234" s="149" t="s">
        <v>193</v>
      </c>
      <c r="N234" s="149" t="s">
        <v>193</v>
      </c>
      <c r="O234" t="s">
        <v>181</v>
      </c>
      <c r="P234" s="51"/>
      <c r="Q234" s="123"/>
      <c r="R234">
        <f t="shared" si="138"/>
        <v>21</v>
      </c>
      <c r="U234" s="3"/>
      <c r="V234" s="159" t="s">
        <v>34</v>
      </c>
      <c r="AB234" t="s">
        <v>34</v>
      </c>
    </row>
    <row r="235" spans="1:29" x14ac:dyDescent="0.35">
      <c r="A235">
        <f t="shared" si="137"/>
        <v>22</v>
      </c>
      <c r="B235" s="489" t="str">
        <f>B30</f>
        <v>2S22 Bohdana self-propelled howitzer 155mm</v>
      </c>
      <c r="C235" s="554" t="s">
        <v>1034</v>
      </c>
      <c r="D235" s="514"/>
      <c r="E235" s="492"/>
      <c r="F235" s="492"/>
      <c r="G235" s="492"/>
      <c r="H235" s="492"/>
      <c r="I235" s="492"/>
      <c r="J235" s="492"/>
      <c r="K235" s="525" t="s">
        <v>1034</v>
      </c>
      <c r="L235" s="525" t="s">
        <v>1034</v>
      </c>
      <c r="M235" s="522" t="s">
        <v>34</v>
      </c>
      <c r="N235" s="525" t="s">
        <v>1034</v>
      </c>
      <c r="O235" s="525" t="s">
        <v>1034</v>
      </c>
      <c r="P235" s="482"/>
      <c r="Q235" s="489"/>
      <c r="R235">
        <f t="shared" si="138"/>
        <v>22</v>
      </c>
      <c r="U235" s="3"/>
      <c r="V235" s="159" t="s">
        <v>34</v>
      </c>
      <c r="AB235" t="s">
        <v>34</v>
      </c>
    </row>
    <row r="236" spans="1:29" x14ac:dyDescent="0.35">
      <c r="A236">
        <f t="shared" si="137"/>
        <v>23</v>
      </c>
      <c r="B236" s="123" t="str">
        <f>B31</f>
        <v>Mortar shells 60mm, M2 &amp; M224</v>
      </c>
      <c r="C236" s="397" t="s">
        <v>963</v>
      </c>
      <c r="D236" s="4" t="s">
        <v>176</v>
      </c>
      <c r="E236" s="70" t="s">
        <v>34</v>
      </c>
      <c r="F236" s="58" t="s">
        <v>34</v>
      </c>
      <c r="G236" s="58" t="s">
        <v>34</v>
      </c>
      <c r="H236" s="70" t="s">
        <v>35</v>
      </c>
      <c r="I236" s="70" t="s">
        <v>35</v>
      </c>
      <c r="J236" s="70" t="s">
        <v>35</v>
      </c>
      <c r="K236" s="391" t="s">
        <v>364</v>
      </c>
      <c r="L236" s="391" t="s">
        <v>364</v>
      </c>
      <c r="M236" s="383" t="s">
        <v>34</v>
      </c>
      <c r="N236" s="31" t="s">
        <v>176</v>
      </c>
      <c r="O236" t="s">
        <v>181</v>
      </c>
      <c r="P236" s="51"/>
      <c r="Q236" s="123"/>
      <c r="R236">
        <f t="shared" si="138"/>
        <v>23</v>
      </c>
      <c r="U236" s="3" t="s">
        <v>34</v>
      </c>
      <c r="V236" s="159" t="s">
        <v>34</v>
      </c>
      <c r="AB236" t="s">
        <v>34</v>
      </c>
    </row>
    <row r="237" spans="1:29" x14ac:dyDescent="0.35">
      <c r="A237">
        <f t="shared" si="137"/>
        <v>24</v>
      </c>
      <c r="B237" s="123" t="str">
        <f>B32</f>
        <v>Mortar shells 81mm, M1 &amp; M252</v>
      </c>
      <c r="C237" s="85" t="s">
        <v>965</v>
      </c>
      <c r="D237" t="s">
        <v>176</v>
      </c>
      <c r="E237" s="70" t="s">
        <v>34</v>
      </c>
      <c r="F237" s="58" t="s">
        <v>34</v>
      </c>
      <c r="G237" s="58" t="s">
        <v>34</v>
      </c>
      <c r="H237" s="70" t="s">
        <v>35</v>
      </c>
      <c r="I237" s="70" t="s">
        <v>35</v>
      </c>
      <c r="J237" s="70" t="s">
        <v>35</v>
      </c>
      <c r="K237" s="391" t="s">
        <v>364</v>
      </c>
      <c r="L237" s="391" t="s">
        <v>364</v>
      </c>
      <c r="M237" s="383" t="s">
        <v>34</v>
      </c>
      <c r="N237" s="123" t="s">
        <v>176</v>
      </c>
      <c r="O237" s="51" t="s">
        <v>181</v>
      </c>
      <c r="P237" s="51"/>
      <c r="Q237" s="123"/>
      <c r="R237">
        <f t="shared" si="138"/>
        <v>24</v>
      </c>
      <c r="U237" s="3" t="s">
        <v>34</v>
      </c>
      <c r="V237" s="159" t="s">
        <v>34</v>
      </c>
      <c r="AB237" t="s">
        <v>34</v>
      </c>
    </row>
    <row r="238" spans="1:29" x14ac:dyDescent="0.35">
      <c r="A238">
        <f t="shared" si="137"/>
        <v>25</v>
      </c>
      <c r="B238" s="123" t="str">
        <f>B33</f>
        <v>Mortar shells 120mm, M933, M934</v>
      </c>
      <c r="C238" s="85" t="s">
        <v>966</v>
      </c>
      <c r="D238" t="s">
        <v>176</v>
      </c>
      <c r="E238" s="70" t="s">
        <v>34</v>
      </c>
      <c r="F238" s="58" t="s">
        <v>34</v>
      </c>
      <c r="G238" s="58" t="s">
        <v>34</v>
      </c>
      <c r="H238" s="70" t="s">
        <v>35</v>
      </c>
      <c r="I238" s="70" t="s">
        <v>35</v>
      </c>
      <c r="J238" s="70" t="s">
        <v>35</v>
      </c>
      <c r="K238" s="391" t="s">
        <v>364</v>
      </c>
      <c r="L238" s="391" t="s">
        <v>364</v>
      </c>
      <c r="M238" s="383" t="s">
        <v>34</v>
      </c>
      <c r="N238" s="123" t="s">
        <v>176</v>
      </c>
      <c r="O238" s="51" t="s">
        <v>181</v>
      </c>
      <c r="P238" s="51"/>
      <c r="Q238" s="123"/>
      <c r="R238">
        <f t="shared" si="138"/>
        <v>25</v>
      </c>
      <c r="U238" s="3" t="s">
        <v>34</v>
      </c>
      <c r="V238" s="159" t="s">
        <v>34</v>
      </c>
      <c r="AB238" t="s">
        <v>34</v>
      </c>
    </row>
    <row r="239" spans="1:29" x14ac:dyDescent="0.35">
      <c r="A239">
        <f t="shared" si="137"/>
        <v>26</v>
      </c>
      <c r="B239" s="123" t="str">
        <f>B34</f>
        <v>60mm M224 mortar launcher</v>
      </c>
      <c r="C239" s="31" t="s">
        <v>179</v>
      </c>
      <c r="D239" t="s">
        <v>179</v>
      </c>
      <c r="E239" s="70" t="s">
        <v>35</v>
      </c>
      <c r="F239" s="70" t="s">
        <v>35</v>
      </c>
      <c r="G239" s="70" t="s">
        <v>35</v>
      </c>
      <c r="H239" s="70" t="s">
        <v>34</v>
      </c>
      <c r="I239" s="70" t="s">
        <v>34</v>
      </c>
      <c r="J239" s="70" t="s">
        <v>34</v>
      </c>
      <c r="K239" s="149" t="s">
        <v>179</v>
      </c>
      <c r="L239" s="383" t="s">
        <v>34</v>
      </c>
      <c r="M239" s="383" t="s">
        <v>34</v>
      </c>
      <c r="N239" s="123"/>
      <c r="O239" s="51" t="s">
        <v>181</v>
      </c>
      <c r="P239" s="51"/>
      <c r="Q239" s="123"/>
      <c r="R239">
        <f t="shared" si="138"/>
        <v>26</v>
      </c>
      <c r="U239" s="3" t="s">
        <v>34</v>
      </c>
      <c r="V239" s="159" t="s">
        <v>34</v>
      </c>
      <c r="AB239" t="s">
        <v>34</v>
      </c>
    </row>
    <row r="240" spans="1:29" x14ac:dyDescent="0.35">
      <c r="A240">
        <f t="shared" si="137"/>
        <v>27</v>
      </c>
      <c r="B240" s="123" t="str">
        <f>B35</f>
        <v>120mm Soltam K6 mortar launcher</v>
      </c>
      <c r="C240" s="31" t="s">
        <v>180</v>
      </c>
      <c r="D240" t="s">
        <v>181</v>
      </c>
      <c r="E240" s="70" t="s">
        <v>35</v>
      </c>
      <c r="F240" s="70" t="s">
        <v>35</v>
      </c>
      <c r="G240" s="70" t="s">
        <v>35</v>
      </c>
      <c r="H240" s="70" t="s">
        <v>34</v>
      </c>
      <c r="I240" s="70" t="s">
        <v>34</v>
      </c>
      <c r="J240" s="70" t="s">
        <v>34</v>
      </c>
      <c r="K240" s="149" t="s">
        <v>180</v>
      </c>
      <c r="L240" s="383" t="s">
        <v>34</v>
      </c>
      <c r="M240" s="383" t="s">
        <v>34</v>
      </c>
      <c r="N240" s="123"/>
      <c r="O240" s="51" t="s">
        <v>181</v>
      </c>
      <c r="P240" s="51"/>
      <c r="Q240" s="123"/>
      <c r="R240">
        <f t="shared" si="138"/>
        <v>27</v>
      </c>
      <c r="U240" s="3" t="s">
        <v>34</v>
      </c>
      <c r="V240" s="159" t="s">
        <v>34</v>
      </c>
      <c r="AB240" t="s">
        <v>34</v>
      </c>
    </row>
    <row r="241" spans="1:28" x14ac:dyDescent="0.35">
      <c r="A241">
        <f t="shared" si="137"/>
        <v>28</v>
      </c>
      <c r="B241" s="123" t="str">
        <f>B36</f>
        <v>227 mm unguided rocket MLRS</v>
      </c>
      <c r="C241" s="397" t="s">
        <v>970</v>
      </c>
      <c r="D241" s="182" t="s">
        <v>207</v>
      </c>
      <c r="E241" s="70" t="s">
        <v>34</v>
      </c>
      <c r="F241" s="70" t="s">
        <v>35</v>
      </c>
      <c r="G241" s="70" t="s">
        <v>35</v>
      </c>
      <c r="H241" s="70" t="s">
        <v>34</v>
      </c>
      <c r="I241" s="70" t="s">
        <v>34</v>
      </c>
      <c r="J241" s="70" t="s">
        <v>34</v>
      </c>
      <c r="K241" s="423" t="s">
        <v>411</v>
      </c>
      <c r="L241" s="383" t="s">
        <v>34</v>
      </c>
      <c r="M241" s="383" t="s">
        <v>34</v>
      </c>
      <c r="N241" s="123" t="s">
        <v>393</v>
      </c>
      <c r="O241" s="51" t="s">
        <v>181</v>
      </c>
      <c r="P241" s="51"/>
      <c r="Q241" s="123"/>
      <c r="R241">
        <f t="shared" si="138"/>
        <v>28</v>
      </c>
      <c r="U241" s="3" t="s">
        <v>34</v>
      </c>
      <c r="V241" s="159" t="s">
        <v>34</v>
      </c>
      <c r="AB241" t="s">
        <v>34</v>
      </c>
    </row>
    <row r="242" spans="1:28" x14ac:dyDescent="0.35">
      <c r="A242">
        <f t="shared" si="137"/>
        <v>29</v>
      </c>
      <c r="B242" s="123" t="str">
        <f>B37</f>
        <v>227 mm guided rocket GMLRS, M31</v>
      </c>
      <c r="C242" s="397" t="s">
        <v>971</v>
      </c>
      <c r="D242" s="4" t="s">
        <v>969</v>
      </c>
      <c r="E242" s="70" t="s">
        <v>34</v>
      </c>
      <c r="F242" s="70" t="s">
        <v>35</v>
      </c>
      <c r="G242" s="70" t="s">
        <v>35</v>
      </c>
      <c r="H242" s="70" t="s">
        <v>34</v>
      </c>
      <c r="I242" s="70" t="s">
        <v>34</v>
      </c>
      <c r="J242" s="70" t="s">
        <v>34</v>
      </c>
      <c r="K242" s="149" t="s">
        <v>399</v>
      </c>
      <c r="L242" s="149" t="s">
        <v>406</v>
      </c>
      <c r="M242" s="383" t="s">
        <v>35</v>
      </c>
      <c r="N242" s="123"/>
      <c r="O242" s="51" t="s">
        <v>399</v>
      </c>
      <c r="P242" s="51"/>
      <c r="Q242" s="123"/>
      <c r="R242">
        <f t="shared" si="138"/>
        <v>29</v>
      </c>
      <c r="U242" s="3" t="s">
        <v>34</v>
      </c>
      <c r="V242" s="159" t="s">
        <v>34</v>
      </c>
      <c r="AB242" t="s">
        <v>34</v>
      </c>
    </row>
    <row r="243" spans="1:28" x14ac:dyDescent="0.35">
      <c r="A243">
        <f t="shared" si="137"/>
        <v>30</v>
      </c>
      <c r="B243" s="123" t="str">
        <f>B38</f>
        <v>227 mm guided rocket GLSDB/GBU-39</v>
      </c>
      <c r="C243" s="31" t="s">
        <v>400</v>
      </c>
      <c r="D243" t="s">
        <v>400</v>
      </c>
      <c r="E243" s="70" t="s">
        <v>34</v>
      </c>
      <c r="F243" s="70" t="s">
        <v>35</v>
      </c>
      <c r="G243" s="70" t="s">
        <v>35</v>
      </c>
      <c r="H243" s="70" t="s">
        <v>34</v>
      </c>
      <c r="I243" s="70" t="s">
        <v>34</v>
      </c>
      <c r="J243" s="70" t="s">
        <v>34</v>
      </c>
      <c r="K243" s="149" t="s">
        <v>400</v>
      </c>
      <c r="L243" s="383" t="s">
        <v>34</v>
      </c>
      <c r="M243" s="383" t="s">
        <v>34</v>
      </c>
      <c r="N243" s="123" t="s">
        <v>400</v>
      </c>
      <c r="O243" s="51" t="s">
        <v>181</v>
      </c>
      <c r="P243" s="51"/>
      <c r="Q243" s="123"/>
      <c r="R243">
        <f t="shared" si="138"/>
        <v>30</v>
      </c>
      <c r="U243" s="3" t="s">
        <v>34</v>
      </c>
      <c r="V243" s="159" t="s">
        <v>34</v>
      </c>
      <c r="AB243" t="s">
        <v>34</v>
      </c>
    </row>
    <row r="244" spans="1:28" x14ac:dyDescent="0.35">
      <c r="A244">
        <f t="shared" si="137"/>
        <v>31</v>
      </c>
      <c r="B244" s="123" t="str">
        <f>B39</f>
        <v>HIMARS M142 rocket launcher</v>
      </c>
      <c r="C244" s="51" t="s">
        <v>393</v>
      </c>
      <c r="D244" s="4" t="s">
        <v>393</v>
      </c>
      <c r="E244" s="70" t="s">
        <v>35</v>
      </c>
      <c r="F244" s="70" t="s">
        <v>35</v>
      </c>
      <c r="G244" s="70" t="s">
        <v>34</v>
      </c>
      <c r="H244" s="70" t="s">
        <v>34</v>
      </c>
      <c r="I244" s="70" t="s">
        <v>34</v>
      </c>
      <c r="J244" s="70" t="s">
        <v>34</v>
      </c>
      <c r="K244" s="123" t="s">
        <v>393</v>
      </c>
      <c r="L244" s="123" t="s">
        <v>393</v>
      </c>
      <c r="M244" s="123" t="s">
        <v>34</v>
      </c>
      <c r="N244" s="123" t="s">
        <v>34</v>
      </c>
      <c r="O244" s="51" t="s">
        <v>393</v>
      </c>
      <c r="P244" s="51"/>
      <c r="Q244" s="123"/>
      <c r="R244">
        <f t="shared" si="138"/>
        <v>31</v>
      </c>
      <c r="U244" s="3" t="s">
        <v>34</v>
      </c>
      <c r="V244" s="159" t="s">
        <v>34</v>
      </c>
      <c r="AB244" t="s">
        <v>34</v>
      </c>
    </row>
    <row r="245" spans="1:28" x14ac:dyDescent="0.35">
      <c r="A245">
        <f t="shared" si="137"/>
        <v>32</v>
      </c>
      <c r="B245" s="493" t="str">
        <f>B40</f>
        <v>RPG-7 rocket with armor p. grenate</v>
      </c>
      <c r="C245" s="519" t="s">
        <v>342</v>
      </c>
      <c r="D245" s="518" t="s">
        <v>182</v>
      </c>
      <c r="E245" s="496" t="s">
        <v>34</v>
      </c>
      <c r="F245" s="520" t="s">
        <v>34</v>
      </c>
      <c r="G245" s="520" t="s">
        <v>34</v>
      </c>
      <c r="H245" s="508" t="s">
        <v>35</v>
      </c>
      <c r="I245" s="508" t="s">
        <v>35</v>
      </c>
      <c r="J245" s="508" t="s">
        <v>35</v>
      </c>
      <c r="K245" s="534" t="s">
        <v>342</v>
      </c>
      <c r="L245" s="534" t="s">
        <v>342</v>
      </c>
      <c r="M245" s="521" t="s">
        <v>35</v>
      </c>
      <c r="N245" s="534" t="s">
        <v>342</v>
      </c>
      <c r="O245" s="517" t="s">
        <v>342</v>
      </c>
      <c r="P245" s="517"/>
      <c r="Q245" s="493"/>
      <c r="R245">
        <f t="shared" si="138"/>
        <v>32</v>
      </c>
      <c r="U245" s="3" t="s">
        <v>34</v>
      </c>
      <c r="V245" s="159" t="s">
        <v>34</v>
      </c>
      <c r="AB245" t="s">
        <v>34</v>
      </c>
    </row>
    <row r="246" spans="1:28" x14ac:dyDescent="0.35">
      <c r="A246">
        <f t="shared" si="137"/>
        <v>33</v>
      </c>
      <c r="B246" s="493" t="str">
        <f>B41</f>
        <v>RPG-7 armor p. grenate only</v>
      </c>
      <c r="C246" s="535" t="s">
        <v>34</v>
      </c>
      <c r="D246" s="536" t="s">
        <v>182</v>
      </c>
      <c r="E246" s="496" t="s">
        <v>34</v>
      </c>
      <c r="F246" s="520" t="s">
        <v>34</v>
      </c>
      <c r="G246" s="520" t="s">
        <v>34</v>
      </c>
      <c r="H246" s="508" t="s">
        <v>35</v>
      </c>
      <c r="I246" s="508" t="s">
        <v>35</v>
      </c>
      <c r="J246" s="508" t="s">
        <v>35</v>
      </c>
      <c r="K246" s="501" t="s">
        <v>34</v>
      </c>
      <c r="L246" s="501" t="s">
        <v>34</v>
      </c>
      <c r="M246" s="506" t="s">
        <v>34</v>
      </c>
      <c r="N246" s="534" t="s">
        <v>342</v>
      </c>
      <c r="O246" s="517" t="s">
        <v>181</v>
      </c>
      <c r="P246" s="517"/>
      <c r="Q246" s="493"/>
      <c r="R246">
        <f t="shared" si="138"/>
        <v>33</v>
      </c>
      <c r="U246" s="3"/>
      <c r="V246" s="159" t="s">
        <v>34</v>
      </c>
      <c r="AB246" t="s">
        <v>34</v>
      </c>
    </row>
    <row r="247" spans="1:28" x14ac:dyDescent="0.35">
      <c r="A247">
        <f t="shared" si="137"/>
        <v>34</v>
      </c>
      <c r="B247" s="493" t="str">
        <f>B42</f>
        <v>RPG-7 fragmentation grenate only</v>
      </c>
      <c r="C247" s="535" t="s">
        <v>34</v>
      </c>
      <c r="D247" s="518" t="s">
        <v>182</v>
      </c>
      <c r="E247" s="496" t="s">
        <v>34</v>
      </c>
      <c r="F247" s="520" t="s">
        <v>34</v>
      </c>
      <c r="G247" s="520" t="s">
        <v>34</v>
      </c>
      <c r="H247" s="508" t="s">
        <v>35</v>
      </c>
      <c r="I247" s="508" t="s">
        <v>35</v>
      </c>
      <c r="J247" s="508" t="s">
        <v>35</v>
      </c>
      <c r="K247" s="501" t="s">
        <v>34</v>
      </c>
      <c r="L247" s="501" t="s">
        <v>34</v>
      </c>
      <c r="M247" s="506" t="s">
        <v>34</v>
      </c>
      <c r="N247" s="534" t="s">
        <v>342</v>
      </c>
      <c r="O247" s="517" t="s">
        <v>181</v>
      </c>
      <c r="P247" s="517"/>
      <c r="Q247" s="493"/>
      <c r="R247">
        <f t="shared" si="138"/>
        <v>34</v>
      </c>
      <c r="U247" s="3"/>
      <c r="V247" s="159" t="s">
        <v>34</v>
      </c>
      <c r="AB247" t="s">
        <v>34</v>
      </c>
    </row>
    <row r="248" spans="1:28" x14ac:dyDescent="0.35">
      <c r="A248">
        <f t="shared" si="137"/>
        <v>35</v>
      </c>
      <c r="B248" s="493" t="str">
        <f>B43</f>
        <v>RPG-7 launcher</v>
      </c>
      <c r="C248" s="535" t="s">
        <v>34</v>
      </c>
      <c r="D248" s="518" t="s">
        <v>182</v>
      </c>
      <c r="E248" s="496" t="s">
        <v>34</v>
      </c>
      <c r="F248" s="520" t="s">
        <v>34</v>
      </c>
      <c r="G248" s="508" t="s">
        <v>35</v>
      </c>
      <c r="H248" s="508" t="s">
        <v>35</v>
      </c>
      <c r="I248" s="508" t="s">
        <v>34</v>
      </c>
      <c r="J248" s="508" t="s">
        <v>34</v>
      </c>
      <c r="K248" s="501" t="s">
        <v>34</v>
      </c>
      <c r="L248" s="501" t="s">
        <v>34</v>
      </c>
      <c r="M248" s="506" t="s">
        <v>34</v>
      </c>
      <c r="N248" s="537" t="s">
        <v>34</v>
      </c>
      <c r="O248" s="517" t="s">
        <v>342</v>
      </c>
      <c r="P248" s="517"/>
      <c r="Q248" s="493"/>
      <c r="R248">
        <f t="shared" si="138"/>
        <v>35</v>
      </c>
      <c r="U248" s="3" t="s">
        <v>34</v>
      </c>
      <c r="V248" s="159" t="s">
        <v>34</v>
      </c>
      <c r="AB248" t="s">
        <v>34</v>
      </c>
    </row>
    <row r="249" spans="1:28" x14ac:dyDescent="0.35">
      <c r="A249">
        <f t="shared" si="137"/>
        <v>36</v>
      </c>
      <c r="B249" s="123" t="str">
        <f>B44</f>
        <v>FGM-148 Javelin anti-tank launch unit</v>
      </c>
      <c r="C249" s="453" t="s">
        <v>34</v>
      </c>
      <c r="D249" t="s">
        <v>471</v>
      </c>
      <c r="E249" s="174" t="s">
        <v>34</v>
      </c>
      <c r="F249" s="70" t="s">
        <v>35</v>
      </c>
      <c r="G249" s="70" t="s">
        <v>35</v>
      </c>
      <c r="H249" s="70" t="s">
        <v>34</v>
      </c>
      <c r="I249" s="70" t="s">
        <v>34</v>
      </c>
      <c r="J249" s="70" t="s">
        <v>34</v>
      </c>
      <c r="K249" s="394" t="s">
        <v>34</v>
      </c>
      <c r="L249" s="394" t="s">
        <v>34</v>
      </c>
      <c r="M249" s="177" t="s">
        <v>34</v>
      </c>
      <c r="N249" s="420" t="s">
        <v>34</v>
      </c>
      <c r="O249" s="51" t="s">
        <v>471</v>
      </c>
      <c r="P249" s="51"/>
      <c r="Q249" s="123"/>
      <c r="R249">
        <f t="shared" si="138"/>
        <v>36</v>
      </c>
      <c r="U249" s="3" t="s">
        <v>34</v>
      </c>
      <c r="V249" s="159" t="s">
        <v>34</v>
      </c>
      <c r="AB249" t="s">
        <v>34</v>
      </c>
    </row>
    <row r="250" spans="1:28" x14ac:dyDescent="0.35">
      <c r="A250">
        <f t="shared" si="137"/>
        <v>37</v>
      </c>
      <c r="B250" s="123" t="str">
        <f>B45</f>
        <v>Javlin anti-tank missile</v>
      </c>
      <c r="C250" s="51" t="s">
        <v>471</v>
      </c>
      <c r="D250" s="4" t="s">
        <v>471</v>
      </c>
      <c r="E250" s="174" t="s">
        <v>34</v>
      </c>
      <c r="F250" s="70" t="s">
        <v>35</v>
      </c>
      <c r="G250" s="70" t="s">
        <v>35</v>
      </c>
      <c r="H250" s="70" t="s">
        <v>34</v>
      </c>
      <c r="I250" s="70" t="s">
        <v>34</v>
      </c>
      <c r="J250" s="70" t="s">
        <v>34</v>
      </c>
      <c r="K250" s="123" t="s">
        <v>471</v>
      </c>
      <c r="L250" s="394" t="s">
        <v>34</v>
      </c>
      <c r="M250" s="177" t="s">
        <v>34</v>
      </c>
      <c r="N250" s="123" t="s">
        <v>471</v>
      </c>
      <c r="O250" s="51" t="s">
        <v>471</v>
      </c>
      <c r="P250" s="51"/>
      <c r="Q250" s="123"/>
      <c r="R250">
        <f t="shared" si="138"/>
        <v>37</v>
      </c>
      <c r="U250" t="s">
        <v>638</v>
      </c>
      <c r="V250" s="159" t="s">
        <v>34</v>
      </c>
      <c r="AB250" t="s">
        <v>34</v>
      </c>
    </row>
    <row r="251" spans="1:28" x14ac:dyDescent="0.35">
      <c r="A251">
        <f t="shared" si="137"/>
        <v>38</v>
      </c>
      <c r="B251" s="123" t="str">
        <f>B46</f>
        <v>Spike SR Israeli anti-tank/personel/structure</v>
      </c>
      <c r="C251" s="51" t="s">
        <v>639</v>
      </c>
      <c r="D251" s="4" t="s">
        <v>639</v>
      </c>
      <c r="E251" s="174" t="s">
        <v>34</v>
      </c>
      <c r="F251" s="70" t="s">
        <v>35</v>
      </c>
      <c r="G251" s="70" t="s">
        <v>35</v>
      </c>
      <c r="H251" s="70" t="s">
        <v>34</v>
      </c>
      <c r="I251" s="70" t="s">
        <v>34</v>
      </c>
      <c r="J251" s="70" t="s">
        <v>34</v>
      </c>
      <c r="K251" s="123" t="s">
        <v>639</v>
      </c>
      <c r="L251" s="123" t="s">
        <v>644</v>
      </c>
      <c r="M251" s="123" t="s">
        <v>35</v>
      </c>
      <c r="N251" s="123" t="s">
        <v>639</v>
      </c>
      <c r="O251" s="51" t="s">
        <v>639</v>
      </c>
      <c r="P251" s="51"/>
      <c r="Q251" s="123"/>
      <c r="R251">
        <f t="shared" si="138"/>
        <v>38</v>
      </c>
      <c r="U251" s="159" t="str">
        <f>U46</f>
        <v xml:space="preserve"> is fire and forget infrared seeker 8kg rocket, system 10 kg and disposible</v>
      </c>
      <c r="V251" s="159" t="s">
        <v>34</v>
      </c>
      <c r="W251" s="159"/>
      <c r="X251" s="159"/>
      <c r="Y251" s="159"/>
      <c r="Z251" s="159"/>
      <c r="AA251" s="159"/>
      <c r="AB251" t="s">
        <v>34</v>
      </c>
    </row>
    <row r="252" spans="1:28" x14ac:dyDescent="0.35">
      <c r="A252">
        <f t="shared" si="137"/>
        <v>39</v>
      </c>
      <c r="B252" s="123" t="str">
        <f>B47</f>
        <v>Spike LR Israeli anti-tank/personel/structure</v>
      </c>
      <c r="C252" s="51" t="s">
        <v>639</v>
      </c>
      <c r="D252" s="4" t="s">
        <v>639</v>
      </c>
      <c r="E252" s="174" t="s">
        <v>34</v>
      </c>
      <c r="F252" s="70" t="s">
        <v>35</v>
      </c>
      <c r="G252" s="70" t="s">
        <v>35</v>
      </c>
      <c r="H252" s="70" t="s">
        <v>34</v>
      </c>
      <c r="I252" s="70" t="s">
        <v>34</v>
      </c>
      <c r="J252" s="70" t="s">
        <v>34</v>
      </c>
      <c r="K252" s="123" t="s">
        <v>639</v>
      </c>
      <c r="L252" s="123" t="s">
        <v>644</v>
      </c>
      <c r="M252" s="123" t="s">
        <v>35</v>
      </c>
      <c r="N252" s="123" t="s">
        <v>639</v>
      </c>
      <c r="O252" s="51" t="s">
        <v>639</v>
      </c>
      <c r="P252" s="51"/>
      <c r="Q252" s="123"/>
      <c r="R252">
        <f t="shared" si="138"/>
        <v>39</v>
      </c>
      <c r="U252" s="159" t="str">
        <f>U47</f>
        <v xml:space="preserve"> is fire and forget infrared seeker 9kg rocket</v>
      </c>
      <c r="V252" s="159" t="s">
        <v>34</v>
      </c>
      <c r="W252" s="159"/>
      <c r="X252" s="159"/>
      <c r="Y252" s="159"/>
      <c r="Z252" s="159"/>
      <c r="AA252" s="159"/>
      <c r="AB252" t="s">
        <v>34</v>
      </c>
    </row>
    <row r="253" spans="1:28" x14ac:dyDescent="0.35">
      <c r="A253">
        <f t="shared" si="137"/>
        <v>40</v>
      </c>
      <c r="B253" s="123" t="str">
        <f>B48</f>
        <v>Spike NLOS anti-tank/personel/structure fire from ground vehicles or helicopters</v>
      </c>
      <c r="C253" s="51" t="s">
        <v>639</v>
      </c>
      <c r="D253" s="4" t="s">
        <v>639</v>
      </c>
      <c r="E253" s="174" t="s">
        <v>34</v>
      </c>
      <c r="F253" s="70" t="s">
        <v>35</v>
      </c>
      <c r="G253" s="70" t="s">
        <v>35</v>
      </c>
      <c r="H253" s="70" t="s">
        <v>34</v>
      </c>
      <c r="I253" s="70" t="s">
        <v>34</v>
      </c>
      <c r="J253" s="70" t="s">
        <v>34</v>
      </c>
      <c r="K253" s="123" t="s">
        <v>639</v>
      </c>
      <c r="L253" s="123" t="s">
        <v>644</v>
      </c>
      <c r="M253" s="123" t="s">
        <v>35</v>
      </c>
      <c r="N253" s="123" t="s">
        <v>639</v>
      </c>
      <c r="O253" s="51" t="s">
        <v>639</v>
      </c>
      <c r="P253" s="51"/>
      <c r="Q253" s="123"/>
      <c r="R253">
        <f t="shared" si="138"/>
        <v>40</v>
      </c>
      <c r="U253" s="159" t="str">
        <f>U48</f>
        <v>NLOS No line of sight. Target must be aquired by frontline infantry. Helicopter in the rear shot rocket that is optical wire guided for first 8 km then radio and my guess for final 2 km it is optical infrared with target info uploaded via radio.</v>
      </c>
      <c r="V253" s="159" t="s">
        <v>34</v>
      </c>
      <c r="W253" s="159"/>
      <c r="X253" s="159"/>
      <c r="Y253" s="159"/>
      <c r="Z253" s="159"/>
      <c r="AA253" s="159"/>
      <c r="AB253" t="s">
        <v>34</v>
      </c>
    </row>
    <row r="254" spans="1:28" x14ac:dyDescent="0.35">
      <c r="A254">
        <f t="shared" si="137"/>
        <v>41</v>
      </c>
      <c r="B254" s="489" t="str">
        <f>B49</f>
        <v>Stugna P launch unit anti-tank</v>
      </c>
      <c r="C254" s="538" t="s">
        <v>34</v>
      </c>
      <c r="D254" s="515" t="s">
        <v>207</v>
      </c>
      <c r="E254" s="485" t="s">
        <v>34</v>
      </c>
      <c r="F254" s="492" t="s">
        <v>35</v>
      </c>
      <c r="G254" s="492" t="s">
        <v>35</v>
      </c>
      <c r="H254" s="492" t="s">
        <v>34</v>
      </c>
      <c r="I254" s="492" t="s">
        <v>34</v>
      </c>
      <c r="J254" s="492" t="s">
        <v>34</v>
      </c>
      <c r="K254" s="490" t="s">
        <v>34</v>
      </c>
      <c r="L254" s="490" t="s">
        <v>34</v>
      </c>
      <c r="M254" s="488" t="s">
        <v>34</v>
      </c>
      <c r="N254" s="488" t="s">
        <v>34</v>
      </c>
      <c r="O254" s="482" t="s">
        <v>477</v>
      </c>
      <c r="P254" s="482"/>
      <c r="Q254" s="489"/>
      <c r="R254">
        <f t="shared" si="138"/>
        <v>41</v>
      </c>
      <c r="U254" s="3" t="s">
        <v>34</v>
      </c>
      <c r="V254" s="159" t="s">
        <v>34</v>
      </c>
      <c r="AB254" t="s">
        <v>34</v>
      </c>
    </row>
    <row r="255" spans="1:28" x14ac:dyDescent="0.35">
      <c r="A255">
        <f t="shared" si="137"/>
        <v>42</v>
      </c>
      <c r="B255" s="489" t="str">
        <f>B50</f>
        <v>Stugna P anti-tank missile</v>
      </c>
      <c r="C255" s="482" t="s">
        <v>476</v>
      </c>
      <c r="D255" s="515" t="s">
        <v>207</v>
      </c>
      <c r="E255" s="485" t="s">
        <v>34</v>
      </c>
      <c r="F255" s="492" t="s">
        <v>35</v>
      </c>
      <c r="G255" s="492" t="s">
        <v>35</v>
      </c>
      <c r="H255" s="492" t="s">
        <v>34</v>
      </c>
      <c r="I255" s="492" t="s">
        <v>34</v>
      </c>
      <c r="J255" s="492" t="s">
        <v>34</v>
      </c>
      <c r="K255" s="489" t="s">
        <v>476</v>
      </c>
      <c r="L255" s="490" t="s">
        <v>34</v>
      </c>
      <c r="M255" s="488" t="s">
        <v>34</v>
      </c>
      <c r="N255" s="539" t="s">
        <v>979</v>
      </c>
      <c r="O255" s="482" t="s">
        <v>477</v>
      </c>
      <c r="P255" s="482"/>
      <c r="Q255" s="489"/>
      <c r="R255">
        <f t="shared" si="138"/>
        <v>42</v>
      </c>
      <c r="U255" s="3" t="s">
        <v>34</v>
      </c>
      <c r="V255" s="159" t="s">
        <v>34</v>
      </c>
      <c r="AB255" t="s">
        <v>34</v>
      </c>
    </row>
    <row r="256" spans="1:28" x14ac:dyDescent="0.35">
      <c r="A256">
        <f t="shared" si="137"/>
        <v>43</v>
      </c>
      <c r="B256" s="123" t="str">
        <f>B51</f>
        <v>NLAW anti-tank missile</v>
      </c>
      <c r="C256" s="90" t="s">
        <v>483</v>
      </c>
      <c r="D256" t="s">
        <v>483</v>
      </c>
      <c r="E256" s="174" t="s">
        <v>34</v>
      </c>
      <c r="F256" s="70" t="s">
        <v>35</v>
      </c>
      <c r="G256" s="70" t="s">
        <v>35</v>
      </c>
      <c r="H256" s="70" t="s">
        <v>34</v>
      </c>
      <c r="I256" s="70" t="s">
        <v>34</v>
      </c>
      <c r="J256" s="70" t="s">
        <v>34</v>
      </c>
      <c r="K256" s="391" t="s">
        <v>483</v>
      </c>
      <c r="L256" s="391" t="s">
        <v>483</v>
      </c>
      <c r="M256" s="383" t="s">
        <v>35</v>
      </c>
      <c r="N256" s="123" t="s">
        <v>483</v>
      </c>
      <c r="O256" s="51" t="s">
        <v>483</v>
      </c>
      <c r="P256" s="51"/>
      <c r="Q256" s="123"/>
      <c r="R256">
        <f t="shared" si="138"/>
        <v>43</v>
      </c>
      <c r="U256" s="3" t="s">
        <v>34</v>
      </c>
      <c r="V256" s="159" t="s">
        <v>34</v>
      </c>
      <c r="AB256" t="s">
        <v>34</v>
      </c>
    </row>
    <row r="257" spans="1:28" x14ac:dyDescent="0.35">
      <c r="A257">
        <f t="shared" si="137"/>
        <v>44</v>
      </c>
      <c r="B257" s="123" t="str">
        <f>B52</f>
        <v>Bradley armored fighting vehicle</v>
      </c>
      <c r="C257" s="51" t="s">
        <v>463</v>
      </c>
      <c r="D257" t="s">
        <v>463</v>
      </c>
      <c r="E257" s="70" t="s">
        <v>35</v>
      </c>
      <c r="F257" s="70" t="s">
        <v>35</v>
      </c>
      <c r="G257" s="70" t="s">
        <v>35</v>
      </c>
      <c r="H257" s="70" t="s">
        <v>34</v>
      </c>
      <c r="I257" s="70" t="s">
        <v>34</v>
      </c>
      <c r="J257" s="70" t="s">
        <v>34</v>
      </c>
      <c r="K257" s="123" t="s">
        <v>463</v>
      </c>
      <c r="L257" s="123" t="s">
        <v>463</v>
      </c>
      <c r="M257" s="177" t="s">
        <v>34</v>
      </c>
      <c r="N257" s="177" t="s">
        <v>34</v>
      </c>
      <c r="O257" s="51" t="s">
        <v>463</v>
      </c>
      <c r="P257" s="51"/>
      <c r="Q257" s="123"/>
      <c r="R257">
        <f t="shared" si="138"/>
        <v>44</v>
      </c>
      <c r="U257" s="3" t="s">
        <v>34</v>
      </c>
      <c r="V257" s="159" t="s">
        <v>34</v>
      </c>
      <c r="AB257" t="s">
        <v>34</v>
      </c>
    </row>
    <row r="258" spans="1:28" x14ac:dyDescent="0.35">
      <c r="A258">
        <f t="shared" si="137"/>
        <v>45</v>
      </c>
      <c r="B258" s="123" t="str">
        <f>B53</f>
        <v>25mm M242 Bushmaster for Bradley</v>
      </c>
      <c r="C258" s="90" t="s">
        <v>465</v>
      </c>
      <c r="D258" t="s">
        <v>439</v>
      </c>
      <c r="E258" s="176" t="s">
        <v>34</v>
      </c>
      <c r="F258" s="176" t="s">
        <v>34</v>
      </c>
      <c r="G258" s="176" t="s">
        <v>34</v>
      </c>
      <c r="H258" s="176" t="s">
        <v>34</v>
      </c>
      <c r="I258" s="70" t="s">
        <v>35</v>
      </c>
      <c r="J258" s="70" t="s">
        <v>35</v>
      </c>
      <c r="K258" s="391" t="s">
        <v>465</v>
      </c>
      <c r="L258" s="391" t="s">
        <v>465</v>
      </c>
      <c r="M258" s="383" t="s">
        <v>35</v>
      </c>
      <c r="N258" s="421" t="s">
        <v>34</v>
      </c>
      <c r="O258" s="90" t="s">
        <v>207</v>
      </c>
      <c r="P258" s="90"/>
      <c r="Q258" s="391"/>
      <c r="R258">
        <f t="shared" si="138"/>
        <v>45</v>
      </c>
      <c r="S258" s="454"/>
      <c r="T258" s="454"/>
      <c r="U258" s="3" t="s">
        <v>34</v>
      </c>
      <c r="V258" s="159" t="s">
        <v>34</v>
      </c>
      <c r="AB258" t="s">
        <v>34</v>
      </c>
    </row>
    <row r="259" spans="1:28" x14ac:dyDescent="0.35">
      <c r="A259">
        <f t="shared" si="137"/>
        <v>46</v>
      </c>
      <c r="B259" s="123"/>
      <c r="C259" s="90"/>
      <c r="E259" s="174"/>
      <c r="F259" s="58"/>
      <c r="G259" s="70"/>
      <c r="H259" s="70"/>
      <c r="I259" s="70"/>
      <c r="J259" s="70"/>
      <c r="K259" s="391"/>
      <c r="L259" s="391"/>
      <c r="M259" s="391"/>
      <c r="N259" s="391"/>
      <c r="O259" s="90"/>
      <c r="P259" s="90"/>
      <c r="Q259" s="391"/>
      <c r="R259">
        <f t="shared" si="138"/>
        <v>46</v>
      </c>
      <c r="S259" s="454"/>
      <c r="T259" s="454"/>
      <c r="U259" s="3"/>
      <c r="V259" s="159" t="s">
        <v>34</v>
      </c>
      <c r="AB259" t="s">
        <v>34</v>
      </c>
    </row>
    <row r="260" spans="1:28" x14ac:dyDescent="0.35">
      <c r="A260">
        <f t="shared" si="137"/>
        <v>47</v>
      </c>
      <c r="B260" s="123"/>
      <c r="C260" s="90"/>
      <c r="E260" s="174"/>
      <c r="F260" s="58"/>
      <c r="G260" s="70"/>
      <c r="H260" s="70"/>
      <c r="I260" s="70"/>
      <c r="J260" s="70"/>
      <c r="K260" s="391"/>
      <c r="L260" s="391"/>
      <c r="M260" s="391"/>
      <c r="N260" s="391"/>
      <c r="O260" s="90"/>
      <c r="P260" s="90"/>
      <c r="Q260" s="391"/>
      <c r="R260">
        <f t="shared" si="138"/>
        <v>47</v>
      </c>
      <c r="S260" s="454"/>
      <c r="T260" s="454"/>
      <c r="U260" s="3"/>
      <c r="V260" s="159" t="s">
        <v>34</v>
      </c>
      <c r="AB260" t="s">
        <v>34</v>
      </c>
    </row>
    <row r="261" spans="1:28" x14ac:dyDescent="0.35">
      <c r="A261">
        <f t="shared" si="137"/>
        <v>48</v>
      </c>
      <c r="B261" s="123"/>
      <c r="C261" s="31"/>
      <c r="E261" s="174"/>
      <c r="F261" s="58"/>
      <c r="G261" s="70"/>
      <c r="H261" s="70"/>
      <c r="I261" s="70"/>
      <c r="J261" s="70"/>
      <c r="K261" s="149"/>
      <c r="L261" s="149"/>
      <c r="M261" s="149"/>
      <c r="N261" s="123"/>
      <c r="O261" s="51"/>
      <c r="P261" s="51"/>
      <c r="Q261" s="123"/>
      <c r="R261">
        <f t="shared" si="138"/>
        <v>48</v>
      </c>
      <c r="U261" s="3"/>
      <c r="V261" s="159" t="s">
        <v>34</v>
      </c>
      <c r="AB261" t="s">
        <v>34</v>
      </c>
    </row>
    <row r="262" spans="1:28" x14ac:dyDescent="0.35">
      <c r="A262">
        <f t="shared" si="137"/>
        <v>49</v>
      </c>
      <c r="B262" s="191" t="str">
        <f>B57</f>
        <v>Short-range drone &lt;25km</v>
      </c>
      <c r="C262" s="387"/>
      <c r="D262" s="194"/>
      <c r="E262" s="194"/>
      <c r="F262" s="194"/>
      <c r="G262" s="194"/>
      <c r="H262" s="194"/>
      <c r="I262" s="194"/>
      <c r="J262" s="194"/>
      <c r="K262" s="187"/>
      <c r="L262" s="187"/>
      <c r="M262" s="187"/>
      <c r="N262" s="387"/>
      <c r="O262" s="387"/>
      <c r="P262" s="387"/>
      <c r="Q262" s="187"/>
      <c r="R262">
        <f t="shared" si="138"/>
        <v>49</v>
      </c>
      <c r="U262" s="3"/>
      <c r="V262" s="159" t="s">
        <v>34</v>
      </c>
      <c r="AB262" t="s">
        <v>34</v>
      </c>
    </row>
    <row r="263" spans="1:28" x14ac:dyDescent="0.35">
      <c r="A263">
        <f t="shared" si="137"/>
        <v>50</v>
      </c>
      <c r="B263" s="123" t="str">
        <f>B58</f>
        <v>FPV with RPG-7 cheap battery, 4.5kg=2+2+.05</v>
      </c>
      <c r="D263" s="4" t="s">
        <v>182</v>
      </c>
      <c r="E263" s="174" t="s">
        <v>34</v>
      </c>
      <c r="F263" s="58" t="s">
        <v>34</v>
      </c>
      <c r="G263" s="70" t="s">
        <v>34</v>
      </c>
      <c r="H263" s="70" t="s">
        <v>35</v>
      </c>
      <c r="I263" s="70" t="s">
        <v>35</v>
      </c>
      <c r="J263" s="70" t="s">
        <v>35</v>
      </c>
      <c r="L263" s="123"/>
      <c r="M263" s="123"/>
      <c r="N263" s="31" t="s">
        <v>186</v>
      </c>
      <c r="O263" s="31" t="s">
        <v>419</v>
      </c>
      <c r="P263" s="31"/>
      <c r="Q263" s="149"/>
      <c r="R263">
        <f t="shared" si="138"/>
        <v>50</v>
      </c>
      <c r="S263" s="20"/>
      <c r="T263" s="20"/>
      <c r="U263" s="3" t="s">
        <v>34</v>
      </c>
      <c r="V263" s="159" t="s">
        <v>34</v>
      </c>
      <c r="AB263" t="s">
        <v>34</v>
      </c>
    </row>
    <row r="264" spans="1:28" x14ac:dyDescent="0.35">
      <c r="A264">
        <f t="shared" si="137"/>
        <v>51</v>
      </c>
      <c r="B264" s="123" t="str">
        <f>B59</f>
        <v>FPV with RPG-7 expensive battery, 4.5kg total</v>
      </c>
      <c r="C264" s="51"/>
      <c r="D264" s="4" t="s">
        <v>183</v>
      </c>
      <c r="E264" s="174" t="s">
        <v>34</v>
      </c>
      <c r="F264" s="58" t="s">
        <v>34</v>
      </c>
      <c r="G264" s="70" t="s">
        <v>34</v>
      </c>
      <c r="H264" s="70" t="s">
        <v>35</v>
      </c>
      <c r="I264" s="70" t="s">
        <v>35</v>
      </c>
      <c r="J264" s="70" t="s">
        <v>35</v>
      </c>
      <c r="K264" s="123"/>
      <c r="L264" s="123"/>
      <c r="M264" s="123"/>
      <c r="N264" s="51"/>
      <c r="O264" s="51" t="s">
        <v>419</v>
      </c>
      <c r="P264" s="51"/>
      <c r="Q264" s="123"/>
      <c r="R264">
        <f t="shared" si="138"/>
        <v>51</v>
      </c>
      <c r="U264" s="3" t="s">
        <v>34</v>
      </c>
      <c r="V264" s="159" t="s">
        <v>34</v>
      </c>
      <c r="AB264" t="s">
        <v>34</v>
      </c>
    </row>
    <row r="265" spans="1:28" x14ac:dyDescent="0.35">
      <c r="A265">
        <f t="shared" si="137"/>
        <v>52</v>
      </c>
      <c r="B265" s="489" t="str">
        <f>B60</f>
        <v>Baba Yaga FPV bomber, 35kg=15+15+5</v>
      </c>
      <c r="C265" s="482" t="s">
        <v>1004</v>
      </c>
      <c r="D265" s="514" t="s">
        <v>181</v>
      </c>
      <c r="E265" s="485" t="s">
        <v>34</v>
      </c>
      <c r="F265" s="516" t="s">
        <v>34</v>
      </c>
      <c r="G265" s="492" t="s">
        <v>34</v>
      </c>
      <c r="H265" s="492" t="s">
        <v>35</v>
      </c>
      <c r="I265" s="492" t="s">
        <v>35</v>
      </c>
      <c r="J265" s="492" t="s">
        <v>34</v>
      </c>
      <c r="K265" s="489" t="s">
        <v>181</v>
      </c>
      <c r="L265" s="489"/>
      <c r="M265" s="489"/>
      <c r="N265" s="482" t="s">
        <v>1004</v>
      </c>
      <c r="O265" t="s">
        <v>181</v>
      </c>
      <c r="P265" s="482"/>
      <c r="Q265" s="489"/>
      <c r="R265">
        <f t="shared" si="138"/>
        <v>52</v>
      </c>
      <c r="U265" s="3" t="s">
        <v>34</v>
      </c>
      <c r="V265" s="159" t="s">
        <v>34</v>
      </c>
      <c r="AB265" t="s">
        <v>34</v>
      </c>
    </row>
    <row r="266" spans="1:28" x14ac:dyDescent="0.35">
      <c r="A266">
        <f t="shared" si="137"/>
        <v>53</v>
      </c>
      <c r="B266" s="123" t="str">
        <f>B61</f>
        <v>DJI Mavic 3 pro FPV for surveliance, 1 kg</v>
      </c>
      <c r="C266" s="51"/>
      <c r="D266" s="4" t="s">
        <v>998</v>
      </c>
      <c r="E266" s="70" t="s">
        <v>35</v>
      </c>
      <c r="F266" s="70" t="s">
        <v>35</v>
      </c>
      <c r="G266" s="70" t="s">
        <v>35</v>
      </c>
      <c r="H266" s="70" t="s">
        <v>34</v>
      </c>
      <c r="I266" s="70" t="s">
        <v>34</v>
      </c>
      <c r="J266" s="70" t="s">
        <v>34</v>
      </c>
      <c r="K266" s="123"/>
      <c r="L266" s="123"/>
      <c r="M266" s="123"/>
      <c r="N266" s="51"/>
      <c r="O266" s="51"/>
      <c r="P266" s="51"/>
      <c r="Q266" s="123"/>
      <c r="R266">
        <f t="shared" si="138"/>
        <v>53</v>
      </c>
      <c r="U266" s="3"/>
      <c r="V266" s="159" t="s">
        <v>34</v>
      </c>
      <c r="AB266" t="s">
        <v>34</v>
      </c>
    </row>
    <row r="267" spans="1:28" x14ac:dyDescent="0.35">
      <c r="A267">
        <f t="shared" si="137"/>
        <v>54</v>
      </c>
      <c r="B267" s="123"/>
      <c r="C267" s="51"/>
      <c r="D267" s="4"/>
      <c r="K267" s="123"/>
      <c r="L267" s="123"/>
      <c r="M267" s="123"/>
      <c r="O267" s="51"/>
      <c r="P267" s="51"/>
      <c r="Q267" s="123"/>
      <c r="R267">
        <f t="shared" si="138"/>
        <v>54</v>
      </c>
      <c r="U267" s="3"/>
      <c r="V267" s="159" t="s">
        <v>34</v>
      </c>
      <c r="AB267" t="s">
        <v>34</v>
      </c>
    </row>
    <row r="268" spans="1:28" x14ac:dyDescent="0.35">
      <c r="A268">
        <f t="shared" si="137"/>
        <v>55</v>
      </c>
      <c r="B268" s="123"/>
      <c r="C268" s="51"/>
      <c r="E268" s="182"/>
      <c r="F268" s="58"/>
      <c r="G268" s="70"/>
      <c r="H268" s="70"/>
      <c r="I268" s="70"/>
      <c r="J268" s="70"/>
      <c r="K268" s="123"/>
      <c r="L268" s="123"/>
      <c r="M268" s="123"/>
      <c r="N268" s="182"/>
      <c r="O268" s="51"/>
      <c r="P268" s="51"/>
      <c r="Q268" s="123"/>
      <c r="R268">
        <f t="shared" si="138"/>
        <v>55</v>
      </c>
      <c r="U268" s="3"/>
      <c r="V268" s="159" t="s">
        <v>34</v>
      </c>
      <c r="AB268" t="s">
        <v>34</v>
      </c>
    </row>
    <row r="269" spans="1:28" x14ac:dyDescent="0.35">
      <c r="A269">
        <f t="shared" si="137"/>
        <v>56</v>
      </c>
      <c r="B269" s="191" t="str">
        <f>B64</f>
        <v>Mid-range drone 25&lt;x&lt;100km</v>
      </c>
      <c r="C269" s="183"/>
      <c r="D269" s="478"/>
      <c r="E269" s="479"/>
      <c r="F269" s="480"/>
      <c r="G269" s="481"/>
      <c r="H269" s="481"/>
      <c r="I269" s="481"/>
      <c r="J269" s="481"/>
      <c r="K269" s="191"/>
      <c r="L269" s="191"/>
      <c r="M269" s="191"/>
      <c r="N269" s="479"/>
      <c r="O269" s="183"/>
      <c r="P269" s="183"/>
      <c r="Q269" s="191"/>
      <c r="R269">
        <f t="shared" si="138"/>
        <v>56</v>
      </c>
      <c r="U269" s="3"/>
      <c r="V269" s="159" t="s">
        <v>34</v>
      </c>
      <c r="AB269" t="s">
        <v>34</v>
      </c>
    </row>
    <row r="270" spans="1:28" x14ac:dyDescent="0.35">
      <c r="A270">
        <f t="shared" si="137"/>
        <v>57</v>
      </c>
      <c r="B270" s="493" t="str">
        <f>B65</f>
        <v>Lancet FPV attack drone, radio range 40km, 12 kg takeoff weight</v>
      </c>
      <c r="C270" s="517" t="s">
        <v>348</v>
      </c>
      <c r="D270" s="518" t="s">
        <v>347</v>
      </c>
      <c r="E270" s="508" t="s">
        <v>35</v>
      </c>
      <c r="F270" s="508" t="s">
        <v>35</v>
      </c>
      <c r="G270" s="508" t="s">
        <v>35</v>
      </c>
      <c r="H270" s="508" t="s">
        <v>34</v>
      </c>
      <c r="I270" s="508" t="s">
        <v>34</v>
      </c>
      <c r="J270" s="508" t="s">
        <v>34</v>
      </c>
      <c r="K270" s="493" t="s">
        <v>348</v>
      </c>
      <c r="L270" s="493" t="s">
        <v>348</v>
      </c>
      <c r="M270" s="493" t="s">
        <v>347</v>
      </c>
      <c r="N270" s="519" t="s">
        <v>347</v>
      </c>
      <c r="O270" s="517" t="s">
        <v>422</v>
      </c>
      <c r="P270" s="517"/>
      <c r="Q270" s="493"/>
      <c r="R270">
        <f t="shared" si="138"/>
        <v>57</v>
      </c>
      <c r="U270" s="3" t="s">
        <v>34</v>
      </c>
      <c r="V270" s="159" t="s">
        <v>34</v>
      </c>
      <c r="AB270" t="s">
        <v>34</v>
      </c>
    </row>
    <row r="271" spans="1:28" x14ac:dyDescent="0.35">
      <c r="A271">
        <f t="shared" si="137"/>
        <v>58</v>
      </c>
      <c r="B271" s="493" t="str">
        <f>B66</f>
        <v>Lancet when mass produced like a car</v>
      </c>
      <c r="C271" s="517" t="s">
        <v>307</v>
      </c>
      <c r="D271" s="518" t="s">
        <v>521</v>
      </c>
      <c r="E271" s="496" t="s">
        <v>34</v>
      </c>
      <c r="F271" s="520" t="s">
        <v>34</v>
      </c>
      <c r="G271" s="508" t="s">
        <v>34</v>
      </c>
      <c r="H271" s="508" t="s">
        <v>35</v>
      </c>
      <c r="I271" s="508" t="s">
        <v>35</v>
      </c>
      <c r="J271" s="508" t="s">
        <v>34</v>
      </c>
      <c r="K271" s="493" t="s">
        <v>307</v>
      </c>
      <c r="L271" s="493" t="s">
        <v>307</v>
      </c>
      <c r="M271" s="493" t="s">
        <v>307</v>
      </c>
      <c r="N271" s="493" t="s">
        <v>307</v>
      </c>
      <c r="O271" s="517" t="s">
        <v>522</v>
      </c>
      <c r="P271" s="517"/>
      <c r="Q271" s="493"/>
      <c r="R271">
        <f t="shared" si="138"/>
        <v>58</v>
      </c>
      <c r="U271" s="3"/>
      <c r="V271" s="159" t="s">
        <v>34</v>
      </c>
      <c r="AB271" t="s">
        <v>34</v>
      </c>
    </row>
    <row r="272" spans="1:28" x14ac:dyDescent="0.35">
      <c r="A272">
        <f t="shared" si="137"/>
        <v>59</v>
      </c>
      <c r="B272" s="489" t="str">
        <f>B67</f>
        <v>Shark FPV surveliance drone, 12.5kg, radio 80km</v>
      </c>
      <c r="C272" s="482" t="s">
        <v>1000</v>
      </c>
      <c r="D272" s="514" t="s">
        <v>1000</v>
      </c>
      <c r="E272" s="515"/>
      <c r="F272" s="516"/>
      <c r="G272" s="492"/>
      <c r="H272" s="492"/>
      <c r="I272" s="492"/>
      <c r="J272" s="492"/>
      <c r="K272" s="489" t="s">
        <v>1000</v>
      </c>
      <c r="L272" s="489" t="s">
        <v>1000</v>
      </c>
      <c r="M272" s="123" t="s">
        <v>35</v>
      </c>
      <c r="N272" s="515" t="s">
        <v>1000</v>
      </c>
      <c r="O272" s="482"/>
      <c r="P272" s="482"/>
      <c r="Q272" s="489"/>
      <c r="R272">
        <f t="shared" si="138"/>
        <v>59</v>
      </c>
      <c r="U272" s="3"/>
      <c r="V272" s="159" t="s">
        <v>34</v>
      </c>
      <c r="AB272" t="s">
        <v>34</v>
      </c>
    </row>
    <row r="273" spans="1:28" x14ac:dyDescent="0.35">
      <c r="A273">
        <f t="shared" si="137"/>
        <v>60</v>
      </c>
      <c r="B273" s="123" t="str">
        <f>B68</f>
        <v>PPDS, Austrailian foambord attack, 13kg</v>
      </c>
      <c r="C273" s="51" t="s">
        <v>1010</v>
      </c>
      <c r="D273" t="s">
        <v>1010</v>
      </c>
      <c r="E273" s="470"/>
      <c r="F273" s="58"/>
      <c r="G273" s="70"/>
      <c r="H273" s="70"/>
      <c r="I273" s="70"/>
      <c r="J273" s="70"/>
      <c r="K273" s="123" t="s">
        <v>1010</v>
      </c>
      <c r="L273" s="123" t="s">
        <v>1010</v>
      </c>
      <c r="M273" s="123" t="s">
        <v>35</v>
      </c>
      <c r="N273" s="123" t="s">
        <v>1010</v>
      </c>
      <c r="O273" s="51" t="s">
        <v>181</v>
      </c>
      <c r="P273" s="51"/>
      <c r="Q273" s="123"/>
      <c r="R273">
        <f t="shared" si="138"/>
        <v>60</v>
      </c>
      <c r="U273" s="3"/>
      <c r="V273" s="159" t="s">
        <v>34</v>
      </c>
      <c r="AB273" t="s">
        <v>34</v>
      </c>
    </row>
    <row r="274" spans="1:28" x14ac:dyDescent="0.35">
      <c r="A274">
        <f t="shared" si="137"/>
        <v>61</v>
      </c>
      <c r="B274" s="123"/>
      <c r="C274" s="51"/>
      <c r="D274" s="4"/>
      <c r="K274" s="123"/>
      <c r="L274" s="123"/>
      <c r="M274" s="123"/>
      <c r="N274" s="51"/>
      <c r="O274" s="51"/>
      <c r="P274" s="51"/>
      <c r="Q274" s="123"/>
      <c r="R274">
        <f t="shared" si="138"/>
        <v>61</v>
      </c>
      <c r="U274" s="3"/>
      <c r="V274" s="159" t="s">
        <v>34</v>
      </c>
      <c r="AB274" t="s">
        <v>34</v>
      </c>
    </row>
    <row r="275" spans="1:28" x14ac:dyDescent="0.35">
      <c r="A275">
        <f t="shared" si="137"/>
        <v>62</v>
      </c>
      <c r="B275" s="191" t="str">
        <f>B70</f>
        <v>Long-range drone &gt;100kilometers</v>
      </c>
      <c r="C275" s="387"/>
      <c r="D275" s="194"/>
      <c r="E275" s="194"/>
      <c r="F275" s="194"/>
      <c r="G275" s="194"/>
      <c r="H275" s="194"/>
      <c r="I275" s="194"/>
      <c r="J275" s="194"/>
      <c r="K275" s="187"/>
      <c r="L275" s="187"/>
      <c r="M275" s="187"/>
      <c r="N275" s="387"/>
      <c r="O275" s="387"/>
      <c r="P275" s="387"/>
      <c r="Q275" s="187"/>
      <c r="R275">
        <f t="shared" si="138"/>
        <v>62</v>
      </c>
      <c r="U275" s="3"/>
      <c r="V275" s="159" t="s">
        <v>34</v>
      </c>
      <c r="AB275" t="s">
        <v>34</v>
      </c>
    </row>
    <row r="276" spans="1:28" x14ac:dyDescent="0.35">
      <c r="A276">
        <f t="shared" si="137"/>
        <v>63</v>
      </c>
      <c r="B276" s="493" t="str">
        <f>B71</f>
        <v>Shahed 136, attack, 200kg, Ukr shoot 85% down</v>
      </c>
      <c r="C276" s="517" t="s">
        <v>350</v>
      </c>
      <c r="D276" s="518" t="s">
        <v>349</v>
      </c>
      <c r="E276" s="508" t="s">
        <v>35</v>
      </c>
      <c r="F276" s="508" t="s">
        <v>35</v>
      </c>
      <c r="G276" s="508" t="s">
        <v>35</v>
      </c>
      <c r="H276" s="508" t="s">
        <v>34</v>
      </c>
      <c r="I276" s="508" t="s">
        <v>34</v>
      </c>
      <c r="J276" s="508" t="s">
        <v>34</v>
      </c>
      <c r="K276" s="493" t="s">
        <v>350</v>
      </c>
      <c r="L276" s="493" t="s">
        <v>351</v>
      </c>
      <c r="M276" s="493" t="s">
        <v>35</v>
      </c>
      <c r="N276" s="519" t="s">
        <v>349</v>
      </c>
      <c r="O276" s="517" t="s">
        <v>420</v>
      </c>
      <c r="P276" s="517"/>
      <c r="Q276" s="493"/>
      <c r="R276">
        <f t="shared" si="138"/>
        <v>63</v>
      </c>
      <c r="U276" s="3" t="s">
        <v>34</v>
      </c>
      <c r="V276" s="159" t="s">
        <v>34</v>
      </c>
      <c r="AB276" t="s">
        <v>34</v>
      </c>
    </row>
    <row r="277" spans="1:28" x14ac:dyDescent="0.35">
      <c r="A277">
        <f t="shared" si="137"/>
        <v>64</v>
      </c>
      <c r="B277" s="493" t="str">
        <f>B72</f>
        <v>Shahed when mass produced like a car</v>
      </c>
      <c r="C277" s="517" t="s">
        <v>307</v>
      </c>
      <c r="D277" s="518" t="s">
        <v>521</v>
      </c>
      <c r="E277" s="496" t="s">
        <v>34</v>
      </c>
      <c r="F277" s="520" t="s">
        <v>34</v>
      </c>
      <c r="G277" s="508" t="s">
        <v>34</v>
      </c>
      <c r="H277" s="508" t="s">
        <v>35</v>
      </c>
      <c r="I277" s="508" t="s">
        <v>35</v>
      </c>
      <c r="J277" s="508" t="s">
        <v>34</v>
      </c>
      <c r="K277" s="493" t="s">
        <v>307</v>
      </c>
      <c r="L277" s="493" t="s">
        <v>307</v>
      </c>
      <c r="M277" s="493" t="s">
        <v>307</v>
      </c>
      <c r="N277" s="493" t="s">
        <v>307</v>
      </c>
      <c r="O277" s="517" t="s">
        <v>522</v>
      </c>
      <c r="P277" s="517"/>
      <c r="Q277" s="493"/>
      <c r="R277">
        <f t="shared" si="138"/>
        <v>64</v>
      </c>
      <c r="U277" s="3"/>
      <c r="V277" s="159" t="s">
        <v>34</v>
      </c>
      <c r="AB277" t="s">
        <v>34</v>
      </c>
    </row>
    <row r="278" spans="1:28" x14ac:dyDescent="0.35">
      <c r="A278">
        <f t="shared" si="137"/>
        <v>65</v>
      </c>
      <c r="B278" s="489" t="str">
        <f>B73</f>
        <v>Palianytsia "mini" FPV radio 80 km 120 kg, 80kg fuel, 20gk warhead</v>
      </c>
      <c r="C278" s="482" t="s">
        <v>930</v>
      </c>
      <c r="D278" s="514" t="s">
        <v>933</v>
      </c>
      <c r="E278" s="515" t="s">
        <v>932</v>
      </c>
      <c r="F278" s="516" t="s">
        <v>34</v>
      </c>
      <c r="G278" s="492" t="s">
        <v>34</v>
      </c>
      <c r="H278" s="492" t="s">
        <v>34</v>
      </c>
      <c r="I278" s="492" t="s">
        <v>34</v>
      </c>
      <c r="J278" s="492" t="s">
        <v>34</v>
      </c>
      <c r="K278" s="489" t="s">
        <v>928</v>
      </c>
      <c r="L278" s="489" t="s">
        <v>1095</v>
      </c>
      <c r="M278" s="489" t="s">
        <v>929</v>
      </c>
      <c r="N278" s="515" t="s">
        <v>931</v>
      </c>
      <c r="O278" s="482" t="s">
        <v>181</v>
      </c>
      <c r="P278" s="482"/>
      <c r="Q278" s="489"/>
      <c r="R278">
        <f t="shared" si="138"/>
        <v>65</v>
      </c>
      <c r="U278" s="3"/>
      <c r="V278" s="159" t="s">
        <v>34</v>
      </c>
      <c r="AB278" t="s">
        <v>34</v>
      </c>
    </row>
    <row r="279" spans="1:28" x14ac:dyDescent="0.35">
      <c r="A279">
        <f t="shared" si="137"/>
        <v>66</v>
      </c>
      <c r="B279" s="489" t="str">
        <f>B74</f>
        <v>Enterprise by AeroDrone UKR drone</v>
      </c>
      <c r="C279" s="482" t="s">
        <v>352</v>
      </c>
      <c r="D279" s="514" t="s">
        <v>352</v>
      </c>
      <c r="E279" s="492" t="s">
        <v>35</v>
      </c>
      <c r="F279" s="492" t="s">
        <v>35</v>
      </c>
      <c r="G279" s="492" t="s">
        <v>35</v>
      </c>
      <c r="H279" s="492" t="s">
        <v>35</v>
      </c>
      <c r="I279" s="492" t="s">
        <v>34</v>
      </c>
      <c r="J279" s="492" t="s">
        <v>34</v>
      </c>
      <c r="K279" s="489" t="s">
        <v>352</v>
      </c>
      <c r="L279" s="489" t="s">
        <v>181</v>
      </c>
      <c r="M279" s="489" t="s">
        <v>35</v>
      </c>
      <c r="N279" s="482" t="s">
        <v>352</v>
      </c>
      <c r="O279" s="482" t="s">
        <v>425</v>
      </c>
      <c r="P279" s="482"/>
      <c r="Q279" s="489"/>
      <c r="R279">
        <f t="shared" si="138"/>
        <v>66</v>
      </c>
      <c r="U279" s="3" t="s">
        <v>34</v>
      </c>
      <c r="V279" s="159" t="s">
        <v>34</v>
      </c>
      <c r="AB279" t="s">
        <v>34</v>
      </c>
    </row>
    <row r="280" spans="1:28" x14ac:dyDescent="0.35">
      <c r="A280">
        <f t="shared" si="137"/>
        <v>67</v>
      </c>
      <c r="B280" s="489" t="str">
        <f>B75</f>
        <v>Liutyi UAV, attack, &gt;200kg</v>
      </c>
      <c r="C280" s="524" t="s">
        <v>353</v>
      </c>
      <c r="D280" s="523" t="s">
        <v>510</v>
      </c>
      <c r="E280" s="492" t="s">
        <v>35</v>
      </c>
      <c r="F280" s="492" t="s">
        <v>35</v>
      </c>
      <c r="G280" s="492" t="s">
        <v>35</v>
      </c>
      <c r="H280" s="492" t="s">
        <v>35</v>
      </c>
      <c r="I280" s="492" t="s">
        <v>34</v>
      </c>
      <c r="J280" s="492" t="s">
        <v>34</v>
      </c>
      <c r="K280" s="525" t="s">
        <v>353</v>
      </c>
      <c r="L280" s="489" t="s">
        <v>181</v>
      </c>
      <c r="M280" s="489" t="s">
        <v>35</v>
      </c>
      <c r="N280" s="482" t="s">
        <v>510</v>
      </c>
      <c r="O280" s="482" t="s">
        <v>426</v>
      </c>
      <c r="P280" s="482"/>
      <c r="Q280" s="489"/>
      <c r="R280">
        <f t="shared" si="138"/>
        <v>67</v>
      </c>
      <c r="U280" s="3" t="s">
        <v>34</v>
      </c>
      <c r="V280" s="159" t="s">
        <v>34</v>
      </c>
      <c r="AB280" t="s">
        <v>34</v>
      </c>
    </row>
    <row r="281" spans="1:28" x14ac:dyDescent="0.35">
      <c r="A281">
        <f t="shared" si="137"/>
        <v>68</v>
      </c>
      <c r="B281" s="489" t="str">
        <f>B76</f>
        <v>Beaver Bober attack</v>
      </c>
      <c r="C281" s="524" t="s">
        <v>1016</v>
      </c>
      <c r="D281" s="523" t="s">
        <v>510</v>
      </c>
      <c r="E281" s="492" t="s">
        <v>35</v>
      </c>
      <c r="F281" s="492" t="s">
        <v>35</v>
      </c>
      <c r="G281" s="492" t="s">
        <v>35</v>
      </c>
      <c r="H281" s="492" t="s">
        <v>35</v>
      </c>
      <c r="I281" s="492" t="s">
        <v>34</v>
      </c>
      <c r="J281" s="492" t="s">
        <v>34</v>
      </c>
      <c r="K281" s="525" t="s">
        <v>1016</v>
      </c>
      <c r="L281" s="489" t="s">
        <v>1017</v>
      </c>
      <c r="M281" s="489" t="s">
        <v>35</v>
      </c>
      <c r="N281" s="482" t="s">
        <v>1017</v>
      </c>
      <c r="O281" s="482" t="s">
        <v>181</v>
      </c>
      <c r="P281" s="482"/>
      <c r="Q281" s="489"/>
      <c r="R281">
        <f t="shared" ref="R281:R347" si="139">R280+1</f>
        <v>68</v>
      </c>
      <c r="U281" s="3"/>
      <c r="V281" s="159" t="s">
        <v>34</v>
      </c>
      <c r="AB281" t="s">
        <v>34</v>
      </c>
    </row>
    <row r="282" spans="1:28" x14ac:dyDescent="0.35">
      <c r="A282">
        <f t="shared" si="137"/>
        <v>69</v>
      </c>
      <c r="B282" s="489" t="str">
        <f>B77</f>
        <v>AQ-400 Scythe attack, 100kg</v>
      </c>
      <c r="C282" s="524" t="s">
        <v>1024</v>
      </c>
      <c r="D282" s="523" t="s">
        <v>1024</v>
      </c>
      <c r="E282" s="492" t="s">
        <v>35</v>
      </c>
      <c r="F282" s="492" t="s">
        <v>35</v>
      </c>
      <c r="G282" s="492" t="s">
        <v>35</v>
      </c>
      <c r="H282" s="492" t="s">
        <v>35</v>
      </c>
      <c r="I282" s="492" t="s">
        <v>34</v>
      </c>
      <c r="J282" s="492" t="s">
        <v>34</v>
      </c>
      <c r="K282" s="525" t="s">
        <v>1022</v>
      </c>
      <c r="L282" s="525" t="s">
        <v>1022</v>
      </c>
      <c r="M282" s="489" t="s">
        <v>35</v>
      </c>
      <c r="N282" s="482" t="s">
        <v>1021</v>
      </c>
      <c r="O282" s="482" t="s">
        <v>1022</v>
      </c>
      <c r="P282" s="482"/>
      <c r="Q282" s="489" t="s">
        <v>1022</v>
      </c>
      <c r="R282">
        <f t="shared" si="139"/>
        <v>69</v>
      </c>
      <c r="U282" s="3" t="s">
        <v>34</v>
      </c>
      <c r="V282" s="159" t="s">
        <v>34</v>
      </c>
      <c r="AB282" t="s">
        <v>34</v>
      </c>
    </row>
    <row r="283" spans="1:28" x14ac:dyDescent="0.35">
      <c r="A283">
        <f t="shared" si="137"/>
        <v>70</v>
      </c>
      <c r="B283" s="489" t="str">
        <f>B78</f>
        <v>UJ-22 Airborne attack, 85kg</v>
      </c>
      <c r="C283" s="524" t="s">
        <v>1065</v>
      </c>
      <c r="D283" s="515" t="s">
        <v>1070</v>
      </c>
      <c r="E283" s="492" t="s">
        <v>35</v>
      </c>
      <c r="F283" s="492" t="s">
        <v>34</v>
      </c>
      <c r="G283" s="492" t="s">
        <v>34</v>
      </c>
      <c r="H283" s="492" t="s">
        <v>34</v>
      </c>
      <c r="I283" s="492" t="s">
        <v>34</v>
      </c>
      <c r="J283" s="492" t="s">
        <v>34</v>
      </c>
      <c r="K283" s="525" t="s">
        <v>1065</v>
      </c>
      <c r="L283" s="525" t="s">
        <v>1065</v>
      </c>
      <c r="M283" s="489" t="s">
        <v>35</v>
      </c>
      <c r="N283" s="525" t="s">
        <v>1065</v>
      </c>
      <c r="O283" s="525" t="s">
        <v>1065</v>
      </c>
      <c r="P283" s="482"/>
      <c r="Q283" s="489"/>
      <c r="R283">
        <f t="shared" si="139"/>
        <v>70</v>
      </c>
      <c r="U283" s="3"/>
      <c r="V283" s="159" t="s">
        <v>34</v>
      </c>
      <c r="AB283" t="s">
        <v>34</v>
      </c>
    </row>
    <row r="284" spans="1:28" x14ac:dyDescent="0.35">
      <c r="A284">
        <f t="shared" si="137"/>
        <v>71</v>
      </c>
      <c r="B284" s="489" t="str">
        <f>B79</f>
        <v>Sokil-300/Falcon-300 attack drone that fire missiles</v>
      </c>
      <c r="C284" s="524" t="s">
        <v>1040</v>
      </c>
      <c r="D284" s="515" t="s">
        <v>1062</v>
      </c>
      <c r="E284" s="492" t="s">
        <v>35</v>
      </c>
      <c r="F284" s="492" t="s">
        <v>35</v>
      </c>
      <c r="G284" s="492" t="s">
        <v>35</v>
      </c>
      <c r="H284" s="492" t="s">
        <v>35</v>
      </c>
      <c r="I284" s="492" t="s">
        <v>34</v>
      </c>
      <c r="J284" s="492" t="s">
        <v>34</v>
      </c>
      <c r="K284" s="525" t="s">
        <v>1040</v>
      </c>
      <c r="L284" s="525" t="s">
        <v>1041</v>
      </c>
      <c r="M284" s="489" t="s">
        <v>35</v>
      </c>
      <c r="N284" s="525" t="s">
        <v>1042</v>
      </c>
      <c r="O284" s="525" t="s">
        <v>1043</v>
      </c>
      <c r="P284" s="525" t="s">
        <v>1044</v>
      </c>
      <c r="Q284" s="525" t="s">
        <v>1045</v>
      </c>
      <c r="R284">
        <f t="shared" si="139"/>
        <v>71</v>
      </c>
      <c r="U284" s="3" t="s">
        <v>34</v>
      </c>
      <c r="V284" s="159" t="s">
        <v>34</v>
      </c>
      <c r="AB284" t="s">
        <v>34</v>
      </c>
    </row>
    <row r="285" spans="1:28" x14ac:dyDescent="0.35">
      <c r="A285">
        <f t="shared" si="137"/>
        <v>72</v>
      </c>
      <c r="B285" s="123" t="str">
        <f>B80</f>
        <v>Bayraktar TB2, Turkish attack drone that fire missiles</v>
      </c>
      <c r="C285" s="85" t="s">
        <v>1058</v>
      </c>
      <c r="D285" s="397" t="s">
        <v>1057</v>
      </c>
      <c r="E285" s="70"/>
      <c r="F285" s="70"/>
      <c r="G285" s="70"/>
      <c r="H285" s="70"/>
      <c r="I285" s="70"/>
      <c r="J285" s="70"/>
      <c r="K285" s="423" t="s">
        <v>1058</v>
      </c>
      <c r="L285" s="423" t="s">
        <v>1059</v>
      </c>
      <c r="M285" s="123" t="s">
        <v>35</v>
      </c>
      <c r="N285" s="423" t="s">
        <v>1060</v>
      </c>
      <c r="O285" s="423" t="s">
        <v>1061</v>
      </c>
      <c r="P285" s="51"/>
      <c r="Q285" s="123"/>
      <c r="R285">
        <f t="shared" si="139"/>
        <v>72</v>
      </c>
      <c r="U285" s="3" t="s">
        <v>34</v>
      </c>
      <c r="V285" s="159" t="s">
        <v>34</v>
      </c>
      <c r="AB285" t="s">
        <v>34</v>
      </c>
    </row>
    <row r="286" spans="1:28" x14ac:dyDescent="0.35">
      <c r="A286">
        <f t="shared" si="137"/>
        <v>73</v>
      </c>
      <c r="B286" s="123" t="str">
        <f>B81</f>
        <v>IAI Heron Israeli armed drone</v>
      </c>
      <c r="C286" s="51"/>
      <c r="D286" s="4" t="s">
        <v>655</v>
      </c>
      <c r="E286" s="70" t="s">
        <v>35</v>
      </c>
      <c r="F286" s="70" t="s">
        <v>34</v>
      </c>
      <c r="G286" s="70" t="s">
        <v>34</v>
      </c>
      <c r="H286" s="70" t="s">
        <v>34</v>
      </c>
      <c r="I286" s="70" t="s">
        <v>34</v>
      </c>
      <c r="J286" s="70" t="s">
        <v>34</v>
      </c>
      <c r="K286" s="123" t="s">
        <v>35</v>
      </c>
      <c r="L286" s="149" t="s">
        <v>636</v>
      </c>
      <c r="M286" s="149" t="s">
        <v>636</v>
      </c>
      <c r="N286" s="149" t="s">
        <v>636</v>
      </c>
      <c r="O286" s="149" t="s">
        <v>636</v>
      </c>
      <c r="P286" s="51"/>
      <c r="Q286" s="123"/>
      <c r="R286">
        <f t="shared" si="139"/>
        <v>73</v>
      </c>
      <c r="U286" s="3" t="s">
        <v>34</v>
      </c>
      <c r="V286" s="159" t="s">
        <v>34</v>
      </c>
      <c r="AB286" t="s">
        <v>34</v>
      </c>
    </row>
    <row r="287" spans="1:28" x14ac:dyDescent="0.35">
      <c r="A287">
        <f t="shared" si="137"/>
        <v>74</v>
      </c>
      <c r="B287" s="123" t="str">
        <f>B82</f>
        <v>MQ-1 Predator US attack drone that fire missiles</v>
      </c>
      <c r="C287" s="85" t="s">
        <v>1051</v>
      </c>
      <c r="D287" s="397" t="s">
        <v>1057</v>
      </c>
      <c r="E287" s="70" t="s">
        <v>35</v>
      </c>
      <c r="F287" s="70" t="s">
        <v>34</v>
      </c>
      <c r="G287" s="70" t="s">
        <v>34</v>
      </c>
      <c r="H287" s="70" t="s">
        <v>34</v>
      </c>
      <c r="I287" s="70" t="s">
        <v>34</v>
      </c>
      <c r="J287" s="70" t="s">
        <v>34</v>
      </c>
      <c r="K287" s="423" t="s">
        <v>1051</v>
      </c>
      <c r="L287" s="423" t="s">
        <v>1051</v>
      </c>
      <c r="M287" s="123" t="s">
        <v>35</v>
      </c>
      <c r="N287" s="423" t="s">
        <v>1051</v>
      </c>
      <c r="O287" s="423" t="s">
        <v>1051</v>
      </c>
      <c r="P287" s="51"/>
      <c r="Q287" s="123"/>
      <c r="R287">
        <f t="shared" si="139"/>
        <v>74</v>
      </c>
      <c r="U287" s="3" t="s">
        <v>34</v>
      </c>
      <c r="V287" s="159" t="s">
        <v>34</v>
      </c>
      <c r="AB287" t="s">
        <v>34</v>
      </c>
    </row>
    <row r="288" spans="1:28" x14ac:dyDescent="0.35">
      <c r="A288">
        <f t="shared" si="137"/>
        <v>75</v>
      </c>
      <c r="B288" s="123" t="str">
        <f>B83</f>
        <v>MQ-1C Gray Eagle replacement for Predator</v>
      </c>
      <c r="C288" s="85" t="s">
        <v>1052</v>
      </c>
      <c r="D288" s="397" t="s">
        <v>1056</v>
      </c>
      <c r="E288" s="70" t="s">
        <v>35</v>
      </c>
      <c r="F288" s="70" t="s">
        <v>34</v>
      </c>
      <c r="G288" s="70" t="s">
        <v>34</v>
      </c>
      <c r="H288" s="70" t="s">
        <v>34</v>
      </c>
      <c r="I288" s="70" t="s">
        <v>34</v>
      </c>
      <c r="J288" s="70" t="s">
        <v>34</v>
      </c>
      <c r="K288" s="423" t="s">
        <v>1052</v>
      </c>
      <c r="L288" s="423" t="s">
        <v>1052</v>
      </c>
      <c r="M288" s="123" t="s">
        <v>35</v>
      </c>
      <c r="N288" s="423" t="s">
        <v>1052</v>
      </c>
      <c r="O288" s="423" t="s">
        <v>1052</v>
      </c>
      <c r="P288" s="51"/>
      <c r="Q288" s="123"/>
      <c r="R288">
        <f t="shared" si="139"/>
        <v>75</v>
      </c>
      <c r="U288" s="3" t="s">
        <v>34</v>
      </c>
      <c r="V288" s="159" t="s">
        <v>34</v>
      </c>
      <c r="AB288" t="s">
        <v>34</v>
      </c>
    </row>
    <row r="289" spans="1:28" x14ac:dyDescent="0.35">
      <c r="A289">
        <f t="shared" si="137"/>
        <v>76</v>
      </c>
      <c r="B289" s="123" t="str">
        <f>B84</f>
        <v>RQ-4 Global Hawk, US surveillance 14.6ton</v>
      </c>
      <c r="C289" s="85" t="s">
        <v>1086</v>
      </c>
      <c r="D289" s="85" t="s">
        <v>1086</v>
      </c>
      <c r="E289" s="70" t="s">
        <v>35</v>
      </c>
      <c r="F289" s="70" t="s">
        <v>34</v>
      </c>
      <c r="G289" s="70" t="s">
        <v>34</v>
      </c>
      <c r="H289" s="70" t="s">
        <v>34</v>
      </c>
      <c r="I289" s="70" t="s">
        <v>34</v>
      </c>
      <c r="J289" s="70" t="s">
        <v>34</v>
      </c>
      <c r="K289" s="423" t="s">
        <v>1086</v>
      </c>
      <c r="L289" s="423" t="s">
        <v>1086</v>
      </c>
      <c r="M289" s="123" t="s">
        <v>35</v>
      </c>
      <c r="N289" s="465" t="s">
        <v>1088</v>
      </c>
      <c r="O289" s="85"/>
      <c r="P289" s="51"/>
      <c r="Q289" s="123"/>
      <c r="R289">
        <f t="shared" si="139"/>
        <v>76</v>
      </c>
      <c r="U289" s="3"/>
      <c r="V289" s="159" t="s">
        <v>34</v>
      </c>
      <c r="AB289" t="s">
        <v>34</v>
      </c>
    </row>
    <row r="290" spans="1:28" x14ac:dyDescent="0.35">
      <c r="A290">
        <f t="shared" si="137"/>
        <v>77</v>
      </c>
      <c r="B290" s="123" t="str">
        <f>B85</f>
        <v>RQ-180 US surveillance stealth drone</v>
      </c>
      <c r="C290" s="51" t="s">
        <v>633</v>
      </c>
      <c r="D290" t="s">
        <v>657</v>
      </c>
      <c r="E290" s="70" t="s">
        <v>34</v>
      </c>
      <c r="F290" s="70" t="s">
        <v>34</v>
      </c>
      <c r="G290" s="70" t="s">
        <v>34</v>
      </c>
      <c r="H290" s="70" t="s">
        <v>34</v>
      </c>
      <c r="I290" s="70" t="s">
        <v>34</v>
      </c>
      <c r="J290" s="70" t="s">
        <v>34</v>
      </c>
      <c r="K290" s="123" t="s">
        <v>633</v>
      </c>
      <c r="L290" s="123" t="s">
        <v>181</v>
      </c>
      <c r="M290" s="123" t="s">
        <v>35</v>
      </c>
      <c r="N290" s="51" t="s">
        <v>632</v>
      </c>
      <c r="O290" s="51" t="s">
        <v>181</v>
      </c>
      <c r="P290" s="51"/>
      <c r="Q290" s="123"/>
      <c r="R290">
        <f t="shared" si="139"/>
        <v>77</v>
      </c>
      <c r="U290" s="3" t="s">
        <v>34</v>
      </c>
      <c r="V290" s="159" t="s">
        <v>34</v>
      </c>
      <c r="AB290" t="s">
        <v>34</v>
      </c>
    </row>
    <row r="291" spans="1:28" x14ac:dyDescent="0.35">
      <c r="A291">
        <f>A290+1</f>
        <v>78</v>
      </c>
      <c r="B291" s="123"/>
      <c r="C291" s="51"/>
      <c r="K291" s="123"/>
      <c r="L291" s="123"/>
      <c r="M291" s="123" t="s">
        <v>35</v>
      </c>
      <c r="N291" s="51"/>
      <c r="O291" s="51"/>
      <c r="P291" s="51"/>
      <c r="Q291" s="123"/>
      <c r="R291">
        <f t="shared" si="139"/>
        <v>78</v>
      </c>
      <c r="U291" s="3"/>
      <c r="V291" s="159" t="s">
        <v>34</v>
      </c>
      <c r="AB291" t="s">
        <v>34</v>
      </c>
    </row>
    <row r="292" spans="1:28" x14ac:dyDescent="0.35">
      <c r="A292">
        <f t="shared" si="137"/>
        <v>79</v>
      </c>
      <c r="B292" s="123"/>
      <c r="C292" s="51"/>
      <c r="K292" s="123"/>
      <c r="L292" s="123"/>
      <c r="M292" s="123" t="s">
        <v>35</v>
      </c>
      <c r="N292" s="51"/>
      <c r="O292" s="51"/>
      <c r="P292" s="51"/>
      <c r="Q292" s="123"/>
      <c r="R292">
        <f t="shared" si="139"/>
        <v>79</v>
      </c>
      <c r="U292" s="3"/>
      <c r="V292" s="159" t="s">
        <v>34</v>
      </c>
      <c r="AB292" t="s">
        <v>34</v>
      </c>
    </row>
    <row r="293" spans="1:28" x14ac:dyDescent="0.35">
      <c r="A293">
        <f t="shared" si="137"/>
        <v>80</v>
      </c>
      <c r="B293" s="191" t="str">
        <f>B88</f>
        <v>Large long-range missiles (ground attack)</v>
      </c>
      <c r="C293" s="463"/>
      <c r="D293" s="185"/>
      <c r="E293" s="185"/>
      <c r="F293" s="190"/>
      <c r="G293" s="190"/>
      <c r="H293" s="190"/>
      <c r="I293" s="185"/>
      <c r="J293" s="186"/>
      <c r="K293" s="385"/>
      <c r="L293" s="385"/>
      <c r="M293" s="187" t="s">
        <v>35</v>
      </c>
      <c r="N293" s="388"/>
      <c r="O293" s="388"/>
      <c r="P293" s="388"/>
      <c r="Q293" s="386"/>
      <c r="R293">
        <f t="shared" si="139"/>
        <v>80</v>
      </c>
      <c r="S293" s="456"/>
      <c r="T293" s="456"/>
      <c r="V293" s="159" t="s">
        <v>34</v>
      </c>
      <c r="AB293" t="s">
        <v>34</v>
      </c>
    </row>
    <row r="294" spans="1:28" x14ac:dyDescent="0.35">
      <c r="A294">
        <f t="shared" si="137"/>
        <v>81</v>
      </c>
      <c r="B294" s="123" t="str">
        <f>B89</f>
        <v>Storm Shadow UK air launched cruise m.</v>
      </c>
      <c r="C294" s="31" t="s">
        <v>344</v>
      </c>
      <c r="D294" s="4" t="s">
        <v>344</v>
      </c>
      <c r="E294" s="70" t="s">
        <v>35</v>
      </c>
      <c r="F294" s="70" t="s">
        <v>35</v>
      </c>
      <c r="G294" s="70" t="s">
        <v>34</v>
      </c>
      <c r="H294" s="70" t="s">
        <v>34</v>
      </c>
      <c r="I294" s="70" t="s">
        <v>34</v>
      </c>
      <c r="J294" s="70" t="s">
        <v>34</v>
      </c>
      <c r="K294" s="149" t="s">
        <v>344</v>
      </c>
      <c r="L294" s="123" t="s">
        <v>344</v>
      </c>
      <c r="M294" s="123" t="s">
        <v>35</v>
      </c>
      <c r="N294" s="149" t="s">
        <v>344</v>
      </c>
      <c r="O294" s="51" t="s">
        <v>415</v>
      </c>
      <c r="P294" s="51"/>
      <c r="Q294" s="123"/>
      <c r="R294">
        <f t="shared" si="139"/>
        <v>81</v>
      </c>
      <c r="U294" s="3" t="s">
        <v>34</v>
      </c>
      <c r="V294" s="159" t="s">
        <v>34</v>
      </c>
      <c r="AB294" t="s">
        <v>34</v>
      </c>
    </row>
    <row r="295" spans="1:28" x14ac:dyDescent="0.35">
      <c r="A295">
        <f t="shared" si="137"/>
        <v>82</v>
      </c>
      <c r="B295" s="123" t="str">
        <f>B90</f>
        <v>Tomahawk Block V US navy cruise missile, 1300kg and 1600 kg, 6.25m with booster. It cant be launched from F16 and a reason given is that it is too heavy at 1300 kg. It may also be because no one have tried to do so because of alternatives like JASSM that weight less</v>
      </c>
      <c r="C295" s="51" t="s">
        <v>412</v>
      </c>
      <c r="D295" s="4" t="s">
        <v>412</v>
      </c>
      <c r="E295" s="70" t="s">
        <v>35</v>
      </c>
      <c r="F295" s="70" t="s">
        <v>35</v>
      </c>
      <c r="G295" s="70" t="s">
        <v>34</v>
      </c>
      <c r="H295" s="70" t="s">
        <v>34</v>
      </c>
      <c r="I295" s="70" t="s">
        <v>34</v>
      </c>
      <c r="J295" s="70" t="s">
        <v>34</v>
      </c>
      <c r="K295" s="123" t="s">
        <v>412</v>
      </c>
      <c r="L295" s="123" t="s">
        <v>412</v>
      </c>
      <c r="M295" s="123" t="s">
        <v>35</v>
      </c>
      <c r="N295" s="123" t="s">
        <v>412</v>
      </c>
      <c r="O295" s="51" t="s">
        <v>181</v>
      </c>
      <c r="P295" s="51"/>
      <c r="Q295" s="123"/>
      <c r="R295">
        <f t="shared" si="139"/>
        <v>82</v>
      </c>
      <c r="U295" t="s">
        <v>488</v>
      </c>
      <c r="V295" s="159" t="s">
        <v>34</v>
      </c>
      <c r="AB295" t="s">
        <v>34</v>
      </c>
    </row>
    <row r="296" spans="1:28" x14ac:dyDescent="0.35">
      <c r="A296">
        <f t="shared" si="137"/>
        <v>83</v>
      </c>
      <c r="B296" s="123" t="str">
        <f t="shared" ref="B296" si="140">B91</f>
        <v>AGM-86 ALCM-B/C/D US air to ground cruise missile 1430 kg, now replaced by JASSM fired from B52</v>
      </c>
      <c r="C296" s="51" t="s">
        <v>1227</v>
      </c>
      <c r="D296" s="4"/>
      <c r="E296" s="70"/>
      <c r="F296" s="70"/>
      <c r="G296" s="70"/>
      <c r="H296" s="70"/>
      <c r="I296" s="70"/>
      <c r="J296" s="70"/>
      <c r="K296" s="123" t="s">
        <v>1227</v>
      </c>
      <c r="L296" s="123" t="s">
        <v>1227</v>
      </c>
      <c r="M296" s="123" t="s">
        <v>1227</v>
      </c>
      <c r="N296" s="123" t="s">
        <v>1227</v>
      </c>
      <c r="O296" s="123" t="s">
        <v>1227</v>
      </c>
      <c r="P296" s="51"/>
      <c r="Q296" s="123"/>
      <c r="R296">
        <f t="shared" si="139"/>
        <v>83</v>
      </c>
      <c r="V296" s="159" t="s">
        <v>34</v>
      </c>
      <c r="AB296" t="s">
        <v>34</v>
      </c>
    </row>
    <row r="297" spans="1:28" x14ac:dyDescent="0.35">
      <c r="A297">
        <f t="shared" si="137"/>
        <v>84</v>
      </c>
      <c r="B297" s="123" t="str">
        <f>B92</f>
        <v>RIM-174 US (SM-6) ballistic missile air, sea &amp; land targets, 370 km range on air targets and 500km for land targets</v>
      </c>
      <c r="C297" s="51" t="s">
        <v>1201</v>
      </c>
      <c r="D297" s="4"/>
      <c r="E297" s="70" t="s">
        <v>35</v>
      </c>
      <c r="F297" s="70" t="s">
        <v>35</v>
      </c>
      <c r="G297" s="70" t="s">
        <v>34</v>
      </c>
      <c r="H297" s="70" t="s">
        <v>34</v>
      </c>
      <c r="I297" s="70" t="s">
        <v>34</v>
      </c>
      <c r="J297" s="70" t="s">
        <v>34</v>
      </c>
      <c r="K297" s="123" t="s">
        <v>1361</v>
      </c>
      <c r="L297" s="123" t="s">
        <v>1201</v>
      </c>
      <c r="M297" s="123" t="s">
        <v>1201</v>
      </c>
      <c r="N297" s="123" t="s">
        <v>1201</v>
      </c>
      <c r="O297" s="123" t="s">
        <v>1201</v>
      </c>
      <c r="P297" s="123" t="s">
        <v>1201</v>
      </c>
      <c r="Q297" s="149" t="s">
        <v>1319</v>
      </c>
      <c r="R297">
        <f t="shared" si="139"/>
        <v>84</v>
      </c>
      <c r="V297" s="600" t="s">
        <v>1369</v>
      </c>
      <c r="AB297" t="s">
        <v>34</v>
      </c>
    </row>
    <row r="298" spans="1:28" x14ac:dyDescent="0.35">
      <c r="A298">
        <f t="shared" si="137"/>
        <v>85</v>
      </c>
      <c r="B298" s="123" t="str">
        <f>B93</f>
        <v>Typhon Mk 70 Mod 1 ground launcher, f. Tomahawk &amp; SM6 &amp; and most likely LRASM because the Mk 70 Mod 1 is a variant of the Mk41 that is confirmed to launch LRASMs</v>
      </c>
      <c r="C298" s="51" t="s">
        <v>1199</v>
      </c>
      <c r="D298" s="182" t="s">
        <v>1204</v>
      </c>
      <c r="E298" s="70" t="s">
        <v>35</v>
      </c>
      <c r="F298" s="70" t="s">
        <v>35</v>
      </c>
      <c r="G298" s="70" t="s">
        <v>34</v>
      </c>
      <c r="H298" s="70" t="s">
        <v>34</v>
      </c>
      <c r="I298" s="70" t="s">
        <v>34</v>
      </c>
      <c r="J298" s="70" t="s">
        <v>34</v>
      </c>
      <c r="K298" s="123" t="s">
        <v>1199</v>
      </c>
      <c r="L298" s="123" t="s">
        <v>1199</v>
      </c>
      <c r="M298" s="123" t="s">
        <v>1199</v>
      </c>
      <c r="N298" s="123" t="s">
        <v>1199</v>
      </c>
      <c r="O298" s="123" t="s">
        <v>1199</v>
      </c>
      <c r="P298" s="51"/>
      <c r="Q298" s="123"/>
      <c r="R298">
        <f t="shared" si="139"/>
        <v>85</v>
      </c>
      <c r="V298" s="159" t="s">
        <v>34</v>
      </c>
      <c r="AB298" t="s">
        <v>34</v>
      </c>
    </row>
    <row r="299" spans="1:28" x14ac:dyDescent="0.35">
      <c r="A299">
        <f t="shared" si="137"/>
        <v>86</v>
      </c>
      <c r="B299" s="123" t="str">
        <f>B94</f>
        <v>AGM-158a JASSM stealth cruise m., 1021kg, can be launched from air only specifically B1, B2, B52, F15, F16, F18 and in process to be certified for launch with F35, B21 and P8 poseidon</v>
      </c>
      <c r="C299" s="51" t="s">
        <v>1248</v>
      </c>
      <c r="D299" s="4" t="s">
        <v>625</v>
      </c>
      <c r="E299" s="70" t="s">
        <v>35</v>
      </c>
      <c r="F299" s="70" t="s">
        <v>35</v>
      </c>
      <c r="G299" s="70" t="s">
        <v>34</v>
      </c>
      <c r="H299" s="70" t="s">
        <v>34</v>
      </c>
      <c r="I299" s="70" t="s">
        <v>34</v>
      </c>
      <c r="J299" s="70" t="s">
        <v>34</v>
      </c>
      <c r="K299" s="123" t="s">
        <v>625</v>
      </c>
      <c r="L299" s="123" t="s">
        <v>1104</v>
      </c>
      <c r="M299" s="123" t="s">
        <v>35</v>
      </c>
      <c r="N299" s="123" t="s">
        <v>847</v>
      </c>
      <c r="O299" s="51" t="s">
        <v>625</v>
      </c>
      <c r="P299" s="51"/>
      <c r="Q299" s="123"/>
      <c r="R299">
        <f t="shared" si="139"/>
        <v>86</v>
      </c>
      <c r="U299" s="3" t="s">
        <v>34</v>
      </c>
      <c r="V299" s="159" t="s">
        <v>34</v>
      </c>
      <c r="AB299" t="s">
        <v>34</v>
      </c>
    </row>
    <row r="300" spans="1:28" x14ac:dyDescent="0.35">
      <c r="A300">
        <f t="shared" si="137"/>
        <v>87</v>
      </c>
      <c r="B300" s="123" t="str">
        <f>B95</f>
        <v>AGM-158b JASSM-ER stealth cruise, 1200kg, can be launched from air only specifically B1, B2, B52, F15, F16, F18 and in process to be certified for launch with F35, B21 and P8 poseidon</v>
      </c>
      <c r="C300" s="51" t="s">
        <v>625</v>
      </c>
      <c r="D300" s="4" t="s">
        <v>893</v>
      </c>
      <c r="E300" s="70" t="s">
        <v>35</v>
      </c>
      <c r="F300" s="70" t="s">
        <v>35</v>
      </c>
      <c r="G300" s="70" t="s">
        <v>34</v>
      </c>
      <c r="H300" s="70" t="s">
        <v>34</v>
      </c>
      <c r="I300" s="70" t="s">
        <v>34</v>
      </c>
      <c r="J300" s="70" t="s">
        <v>34</v>
      </c>
      <c r="K300" s="123" t="s">
        <v>625</v>
      </c>
      <c r="L300" s="123" t="s">
        <v>627</v>
      </c>
      <c r="M300" s="123" t="s">
        <v>35</v>
      </c>
      <c r="N300" s="123" t="s">
        <v>848</v>
      </c>
      <c r="O300" s="51" t="s">
        <v>625</v>
      </c>
      <c r="P300" s="51"/>
      <c r="Q300" s="123"/>
      <c r="R300">
        <f t="shared" si="139"/>
        <v>87</v>
      </c>
      <c r="U300" s="3" t="s">
        <v>34</v>
      </c>
      <c r="V300" s="159" t="s">
        <v>34</v>
      </c>
      <c r="AB300" t="s">
        <v>34</v>
      </c>
    </row>
    <row r="301" spans="1:28" x14ac:dyDescent="0.35">
      <c r="A301">
        <f t="shared" si="137"/>
        <v>88</v>
      </c>
      <c r="B301" s="123" t="str">
        <f>B96</f>
        <v>AGM-158d JASSM-XR stealth cruise, 1700 kg, problem is missile is most likely currently only able to launch from US strategic bombers because US always start with those for weapons integration and it takes years to get ready for other launch platforms. Plus almost certainly too heavy to be launched ever from F16 or F35 or other fighters.</v>
      </c>
      <c r="C301" s="51" t="s">
        <v>851</v>
      </c>
      <c r="D301" s="4" t="s">
        <v>893</v>
      </c>
      <c r="E301" s="70" t="s">
        <v>35</v>
      </c>
      <c r="F301" s="70" t="s">
        <v>35</v>
      </c>
      <c r="G301" s="70" t="s">
        <v>34</v>
      </c>
      <c r="H301" s="70" t="s">
        <v>34</v>
      </c>
      <c r="I301" s="70" t="s">
        <v>34</v>
      </c>
      <c r="J301" s="70" t="s">
        <v>34</v>
      </c>
      <c r="K301" s="123" t="s">
        <v>851</v>
      </c>
      <c r="L301" s="123" t="s">
        <v>627</v>
      </c>
      <c r="M301" s="123" t="s">
        <v>35</v>
      </c>
      <c r="N301" s="149" t="s">
        <v>849</v>
      </c>
      <c r="O301" s="51"/>
      <c r="P301" s="51"/>
      <c r="R301">
        <f t="shared" si="139"/>
        <v>88</v>
      </c>
      <c r="U301" s="3" t="s">
        <v>844</v>
      </c>
      <c r="V301" s="159" t="s">
        <v>34</v>
      </c>
      <c r="AB301" t="s">
        <v>34</v>
      </c>
    </row>
    <row r="302" spans="1:28" x14ac:dyDescent="0.35">
      <c r="A302">
        <f t="shared" si="137"/>
        <v>89</v>
      </c>
      <c r="B302" s="123" t="str">
        <f>B97</f>
        <v>AGM-158c LRASM stealth navy cruise m. 1250kg, air launch limitted to F15, F18, B-1B, Boing P-8 currently but in process of being expanded to other airplanes, part of JASSMs family. Also ground fired from ships using Mk 41,and most likely also land using Typhon Mk 70 Mod 1</v>
      </c>
      <c r="C302" s="90" t="s">
        <v>935</v>
      </c>
      <c r="D302" s="4"/>
      <c r="E302" s="70"/>
      <c r="F302" s="70"/>
      <c r="G302" s="70"/>
      <c r="H302" s="70"/>
      <c r="I302" s="70"/>
      <c r="J302" s="70"/>
      <c r="K302" s="123"/>
      <c r="L302" s="123"/>
      <c r="M302" s="123"/>
      <c r="N302" s="123"/>
      <c r="O302" s="51"/>
      <c r="P302" s="51"/>
      <c r="R302">
        <f t="shared" si="139"/>
        <v>89</v>
      </c>
      <c r="U302" s="3"/>
      <c r="V302" s="159" t="s">
        <v>34</v>
      </c>
      <c r="AB302" t="s">
        <v>34</v>
      </c>
    </row>
    <row r="303" spans="1:28" x14ac:dyDescent="0.35">
      <c r="A303">
        <f t="shared" si="137"/>
        <v>90</v>
      </c>
      <c r="B303" s="123" t="str">
        <f>B98</f>
        <v>Rapid Dragon JASSM launcher by C17, C130</v>
      </c>
      <c r="C303" s="51" t="s">
        <v>885</v>
      </c>
      <c r="D303" s="470" t="s">
        <v>887</v>
      </c>
      <c r="E303" s="70" t="s">
        <v>35</v>
      </c>
      <c r="F303" s="70" t="s">
        <v>35</v>
      </c>
      <c r="G303" s="70" t="s">
        <v>34</v>
      </c>
      <c r="H303" s="70" t="s">
        <v>34</v>
      </c>
      <c r="I303" s="70" t="s">
        <v>34</v>
      </c>
      <c r="J303" s="70"/>
      <c r="K303" s="123" t="s">
        <v>34</v>
      </c>
      <c r="L303" s="123" t="s">
        <v>34</v>
      </c>
      <c r="M303" s="123" t="s">
        <v>34</v>
      </c>
      <c r="N303" s="123" t="s">
        <v>34</v>
      </c>
      <c r="O303" s="51" t="s">
        <v>181</v>
      </c>
      <c r="P303" s="51" t="s">
        <v>34</v>
      </c>
      <c r="Q303" s="123" t="s">
        <v>34</v>
      </c>
      <c r="R303">
        <f t="shared" si="139"/>
        <v>90</v>
      </c>
      <c r="V303" s="159" t="s">
        <v>34</v>
      </c>
      <c r="AB303" t="s">
        <v>34</v>
      </c>
    </row>
    <row r="304" spans="1:28" x14ac:dyDescent="0.35">
      <c r="A304">
        <f t="shared" si="137"/>
        <v>91</v>
      </c>
      <c r="B304" s="123" t="str">
        <f>B99</f>
        <v>Mark 41 VLS vertical launching system, 15 tons 8 missilie navy ship launcher for LRASM, Tomahawk, others 7.7 meters tall *5*5 meters for largest rockets</v>
      </c>
      <c r="C304" s="51"/>
      <c r="D304" s="470"/>
      <c r="E304" s="70"/>
      <c r="F304" s="70"/>
      <c r="G304" s="70"/>
      <c r="H304" s="70"/>
      <c r="I304" s="70"/>
      <c r="J304" s="70"/>
      <c r="K304" s="123"/>
      <c r="L304" s="123"/>
      <c r="M304" s="123"/>
      <c r="N304" s="123"/>
      <c r="O304" s="51"/>
      <c r="P304" s="51"/>
      <c r="Q304" s="123"/>
      <c r="R304">
        <f t="shared" si="139"/>
        <v>91</v>
      </c>
      <c r="V304" s="159" t="s">
        <v>34</v>
      </c>
      <c r="AB304" t="s">
        <v>34</v>
      </c>
    </row>
    <row r="305" spans="1:28" x14ac:dyDescent="0.35">
      <c r="A305">
        <f t="shared" si="137"/>
        <v>92</v>
      </c>
      <c r="B305" s="123" t="str">
        <f>B100</f>
        <v>M1000 Heavy Equipment Transport Semi-Trailer</v>
      </c>
      <c r="C305" s="51" t="s">
        <v>1211</v>
      </c>
      <c r="D305" s="470" t="s">
        <v>181</v>
      </c>
      <c r="E305" s="70"/>
      <c r="F305" s="70"/>
      <c r="G305" s="70"/>
      <c r="H305" s="70"/>
      <c r="I305" s="70"/>
      <c r="J305" s="70"/>
      <c r="K305" s="123" t="s">
        <v>181</v>
      </c>
      <c r="L305" s="123" t="s">
        <v>1213</v>
      </c>
      <c r="M305" s="123"/>
      <c r="N305" s="123" t="s">
        <v>1211</v>
      </c>
      <c r="O305" s="123" t="s">
        <v>1211</v>
      </c>
      <c r="P305" s="123" t="s">
        <v>1211</v>
      </c>
      <c r="Q305" s="123"/>
      <c r="R305">
        <f t="shared" si="139"/>
        <v>92</v>
      </c>
      <c r="V305" s="159" t="s">
        <v>34</v>
      </c>
      <c r="AB305" t="s">
        <v>34</v>
      </c>
    </row>
    <row r="306" spans="1:28" x14ac:dyDescent="0.35">
      <c r="A306">
        <f t="shared" si="137"/>
        <v>93</v>
      </c>
      <c r="B306" s="123" t="str">
        <f>B101</f>
        <v>MGM-140 ATACMS, land launched bal. missile</v>
      </c>
      <c r="C306" s="31" t="s">
        <v>408</v>
      </c>
      <c r="D306" s="4" t="s">
        <v>408</v>
      </c>
      <c r="E306" s="70" t="s">
        <v>34</v>
      </c>
      <c r="F306" s="70" t="s">
        <v>35</v>
      </c>
      <c r="G306" s="70" t="s">
        <v>35</v>
      </c>
      <c r="H306" s="70" t="s">
        <v>34</v>
      </c>
      <c r="I306" s="70" t="s">
        <v>34</v>
      </c>
      <c r="J306" s="70" t="s">
        <v>34</v>
      </c>
      <c r="K306" s="149" t="s">
        <v>408</v>
      </c>
      <c r="L306" s="123" t="s">
        <v>408</v>
      </c>
      <c r="M306" s="123" t="s">
        <v>35</v>
      </c>
      <c r="N306" s="123" t="s">
        <v>408</v>
      </c>
      <c r="O306" s="51" t="s">
        <v>408</v>
      </c>
      <c r="P306" s="51"/>
      <c r="Q306" s="123"/>
      <c r="R306">
        <f t="shared" si="139"/>
        <v>93</v>
      </c>
      <c r="U306" s="3" t="s">
        <v>34</v>
      </c>
      <c r="V306" s="159" t="s">
        <v>34</v>
      </c>
      <c r="AB306" t="s">
        <v>34</v>
      </c>
    </row>
    <row r="307" spans="1:28" x14ac:dyDescent="0.35">
      <c r="A307">
        <f t="shared" si="137"/>
        <v>94</v>
      </c>
      <c r="B307" s="123" t="str">
        <f>B102</f>
        <v>PrSM (ATACMS replacement) US ballistic missile</v>
      </c>
      <c r="C307" s="31" t="s">
        <v>393</v>
      </c>
      <c r="D307" t="s">
        <v>156</v>
      </c>
      <c r="E307" s="70" t="s">
        <v>34</v>
      </c>
      <c r="F307" s="70" t="s">
        <v>35</v>
      </c>
      <c r="G307" s="70" t="s">
        <v>35</v>
      </c>
      <c r="H307" s="70" t="s">
        <v>34</v>
      </c>
      <c r="I307" s="70" t="s">
        <v>34</v>
      </c>
      <c r="J307" s="428" t="s">
        <v>637</v>
      </c>
      <c r="K307" s="149" t="s">
        <v>393</v>
      </c>
      <c r="L307" s="123" t="s">
        <v>181</v>
      </c>
      <c r="M307" s="123" t="s">
        <v>35</v>
      </c>
      <c r="N307" s="123" t="s">
        <v>181</v>
      </c>
      <c r="O307" s="51" t="s">
        <v>399</v>
      </c>
      <c r="P307" s="51"/>
      <c r="Q307" s="123"/>
      <c r="R307">
        <f t="shared" si="139"/>
        <v>94</v>
      </c>
      <c r="U307" s="3" t="s">
        <v>34</v>
      </c>
      <c r="V307" s="159" t="s">
        <v>34</v>
      </c>
      <c r="AB307" t="s">
        <v>34</v>
      </c>
    </row>
    <row r="308" spans="1:28" x14ac:dyDescent="0.35">
      <c r="A308">
        <f t="shared" si="137"/>
        <v>95</v>
      </c>
      <c r="B308" s="123" t="str">
        <f>B103</f>
        <v xml:space="preserve">PrSM Increment 4 MRBM US ballistic missile </v>
      </c>
      <c r="C308" s="31" t="s">
        <v>1307</v>
      </c>
      <c r="E308" s="70"/>
      <c r="F308" s="70"/>
      <c r="G308" s="70"/>
      <c r="H308" s="70"/>
      <c r="I308" s="70"/>
      <c r="J308" s="428"/>
      <c r="K308" s="149" t="s">
        <v>1307</v>
      </c>
      <c r="L308" s="149" t="s">
        <v>1307</v>
      </c>
      <c r="M308" s="149" t="s">
        <v>1307</v>
      </c>
      <c r="N308" s="149" t="s">
        <v>1307</v>
      </c>
      <c r="O308" s="149" t="s">
        <v>1307</v>
      </c>
      <c r="P308" s="51"/>
      <c r="Q308" s="123"/>
      <c r="R308">
        <f t="shared" si="139"/>
        <v>95</v>
      </c>
      <c r="U308" s="3"/>
      <c r="V308" s="159" t="s">
        <v>34</v>
      </c>
      <c r="AB308" t="s">
        <v>34</v>
      </c>
    </row>
    <row r="309" spans="1:28" x14ac:dyDescent="0.35">
      <c r="A309">
        <f t="shared" si="137"/>
        <v>96</v>
      </c>
      <c r="B309" s="123" t="str">
        <f>B104</f>
        <v>Dark Eagle, Long-Range Hypersonic Weapon, 7.4ton</v>
      </c>
      <c r="C309" s="31" t="s">
        <v>1309</v>
      </c>
      <c r="E309" s="70"/>
      <c r="F309" s="70"/>
      <c r="G309" s="70"/>
      <c r="H309" s="70"/>
      <c r="I309" s="70"/>
      <c r="J309" s="428"/>
      <c r="K309" s="149" t="s">
        <v>1309</v>
      </c>
      <c r="L309" s="149" t="s">
        <v>1309</v>
      </c>
      <c r="M309" s="123" t="s">
        <v>35</v>
      </c>
      <c r="N309" s="149" t="s">
        <v>1309</v>
      </c>
      <c r="O309" s="149" t="s">
        <v>1309</v>
      </c>
      <c r="P309" s="51"/>
      <c r="Q309" s="123"/>
      <c r="R309">
        <f t="shared" si="139"/>
        <v>96</v>
      </c>
      <c r="U309" s="3"/>
      <c r="V309" s="159" t="s">
        <v>34</v>
      </c>
      <c r="AB309" t="s">
        <v>34</v>
      </c>
    </row>
    <row r="310" spans="1:28" x14ac:dyDescent="0.35">
      <c r="A310">
        <f t="shared" si="137"/>
        <v>97</v>
      </c>
      <c r="B310" s="123" t="str">
        <f>B105</f>
        <v>Taurus GE KEPD air launched cruise m.</v>
      </c>
      <c r="C310" s="31" t="s">
        <v>503</v>
      </c>
      <c r="D310" t="s">
        <v>507</v>
      </c>
      <c r="E310" s="70" t="s">
        <v>35</v>
      </c>
      <c r="F310" s="70" t="s">
        <v>35</v>
      </c>
      <c r="G310" s="70" t="s">
        <v>34</v>
      </c>
      <c r="H310" s="70" t="s">
        <v>34</v>
      </c>
      <c r="I310" s="70" t="s">
        <v>34</v>
      </c>
      <c r="J310" s="70" t="s">
        <v>34</v>
      </c>
      <c r="K310" s="149" t="s">
        <v>503</v>
      </c>
      <c r="L310" s="123" t="s">
        <v>504</v>
      </c>
      <c r="M310" s="123" t="s">
        <v>35</v>
      </c>
      <c r="N310" s="123" t="s">
        <v>505</v>
      </c>
      <c r="O310" s="51" t="s">
        <v>506</v>
      </c>
      <c r="P310" s="51"/>
      <c r="Q310" s="123"/>
      <c r="R310">
        <f t="shared" si="139"/>
        <v>97</v>
      </c>
      <c r="U310" s="3" t="s">
        <v>34</v>
      </c>
      <c r="V310" s="159" t="s">
        <v>34</v>
      </c>
      <c r="AB310" t="s">
        <v>34</v>
      </c>
    </row>
    <row r="311" spans="1:28" x14ac:dyDescent="0.35">
      <c r="A311">
        <f t="shared" si="137"/>
        <v>98</v>
      </c>
      <c r="B311" s="489" t="str">
        <f>B106</f>
        <v>R-360 UKR Neptune anti-ship cruise missile</v>
      </c>
      <c r="C311" s="532" t="s">
        <v>1113</v>
      </c>
      <c r="D311" s="514" t="s">
        <v>34</v>
      </c>
      <c r="E311" s="492" t="s">
        <v>35</v>
      </c>
      <c r="F311" s="492" t="s">
        <v>35</v>
      </c>
      <c r="G311" s="516" t="s">
        <v>34</v>
      </c>
      <c r="H311" s="516" t="s">
        <v>34</v>
      </c>
      <c r="I311" s="485" t="s">
        <v>34</v>
      </c>
      <c r="J311" s="486" t="s">
        <v>34</v>
      </c>
      <c r="K311" s="525"/>
      <c r="L311" s="533" t="str">
        <f>AQ106</f>
        <v>Chat prompt: What is the top speed in km/h of cruise missile given the following conditions: 1) It has 404 kgf thrust, 2) Its drag coefficient is Cd = 0.12, 3) The air density at sea level is rho = 1.225 kg/m^3, 4) Its frontal area is A = 0.5 m^2. Answear: 1182 km/h</v>
      </c>
      <c r="M311" s="489"/>
      <c r="N311" s="482"/>
      <c r="O311" s="482"/>
      <c r="P311" s="482"/>
      <c r="Q311" s="489"/>
      <c r="R311">
        <f t="shared" si="139"/>
        <v>98</v>
      </c>
      <c r="U311" s="3"/>
      <c r="V311" s="159" t="s">
        <v>34</v>
      </c>
      <c r="AB311" t="s">
        <v>34</v>
      </c>
    </row>
    <row r="312" spans="1:28" x14ac:dyDescent="0.35">
      <c r="A312">
        <f t="shared" si="137"/>
        <v>99</v>
      </c>
      <c r="B312" s="489" t="str">
        <f>B107</f>
        <v>Palianytsia "big" Neptune-MD Cruise m. 980 kg by Neptune engineers using Neptune jet engine</v>
      </c>
      <c r="C312" s="482" t="s">
        <v>170</v>
      </c>
      <c r="D312" s="531" t="s">
        <v>896</v>
      </c>
      <c r="E312" s="492" t="s">
        <v>35</v>
      </c>
      <c r="F312" s="492" t="s">
        <v>35</v>
      </c>
      <c r="G312" s="516" t="s">
        <v>34</v>
      </c>
      <c r="H312" s="516" t="s">
        <v>34</v>
      </c>
      <c r="I312" s="485" t="s">
        <v>34</v>
      </c>
      <c r="J312" s="486" t="s">
        <v>34</v>
      </c>
      <c r="K312" s="489" t="s">
        <v>934</v>
      </c>
      <c r="L312" s="533" t="str">
        <f>AQ107</f>
        <v>Chat prompt: What is the top speed in km/h of cruise missile given the following conditions: 1) It has 404 kgf thrust, 2) Its drag coefficient is Cd = 0.17, 3) The air density at sea level is rho = 1.225 kg/m^3, 4) Its frontal area is A = 0.6 m^2. Answer: 908 km/h</v>
      </c>
      <c r="M312" s="489"/>
      <c r="N312" s="524"/>
      <c r="O312" s="532"/>
      <c r="P312" s="532"/>
      <c r="Q312" s="533"/>
      <c r="R312">
        <f t="shared" si="139"/>
        <v>99</v>
      </c>
      <c r="U312" s="3"/>
      <c r="V312" s="159" t="s">
        <v>34</v>
      </c>
      <c r="AB312" t="s">
        <v>34</v>
      </c>
    </row>
    <row r="313" spans="1:28" x14ac:dyDescent="0.35">
      <c r="A313">
        <f t="shared" si="137"/>
        <v>100</v>
      </c>
      <c r="B313" s="482" t="str">
        <f>B108</f>
        <v>Palianytsia "biggest"  Cruise m. 1.2 ton by Neptune engineers using imported JASSM-ER jet engine, warhead, navigation, homing and EW systems</v>
      </c>
      <c r="C313" s="482"/>
      <c r="D313" s="531"/>
      <c r="E313" s="492"/>
      <c r="F313" s="492"/>
      <c r="G313" s="516"/>
      <c r="H313" s="516"/>
      <c r="I313" s="485"/>
      <c r="J313" s="486"/>
      <c r="K313" s="489"/>
      <c r="L313" s="525"/>
      <c r="M313" s="489"/>
      <c r="N313" s="524"/>
      <c r="O313" s="532"/>
      <c r="P313" s="532"/>
      <c r="Q313" s="533"/>
      <c r="R313">
        <f t="shared" si="139"/>
        <v>100</v>
      </c>
      <c r="S313" s="454"/>
      <c r="T313" s="454"/>
      <c r="U313" s="3" t="s">
        <v>34</v>
      </c>
      <c r="V313" s="159" t="s">
        <v>34</v>
      </c>
      <c r="AB313" t="s">
        <v>34</v>
      </c>
    </row>
    <row r="314" spans="1:28" x14ac:dyDescent="0.35">
      <c r="A314">
        <f t="shared" si="137"/>
        <v>101</v>
      </c>
      <c r="B314" s="482" t="str">
        <f>B109</f>
        <v>Hrim-2 UKR balistic missile dev. Project land launched</v>
      </c>
      <c r="C314" s="482" t="s">
        <v>899</v>
      </c>
      <c r="D314" s="531" t="s">
        <v>901</v>
      </c>
      <c r="E314" s="492"/>
      <c r="F314" s="492"/>
      <c r="G314" s="516"/>
      <c r="H314" s="516"/>
      <c r="I314" s="485"/>
      <c r="J314" s="540"/>
      <c r="K314" s="489" t="s">
        <v>899</v>
      </c>
      <c r="L314" s="489" t="s">
        <v>1097</v>
      </c>
      <c r="M314" s="489" t="s">
        <v>35</v>
      </c>
      <c r="N314" s="489" t="s">
        <v>900</v>
      </c>
      <c r="O314" s="532" t="s">
        <v>181</v>
      </c>
      <c r="P314" s="532"/>
      <c r="Q314" s="533"/>
      <c r="R314">
        <f t="shared" si="139"/>
        <v>101</v>
      </c>
      <c r="S314" s="454"/>
      <c r="T314" s="454"/>
      <c r="U314" s="3"/>
      <c r="V314" s="159" t="s">
        <v>34</v>
      </c>
      <c r="AB314" t="s">
        <v>34</v>
      </c>
    </row>
    <row r="315" spans="1:28" x14ac:dyDescent="0.35">
      <c r="A315">
        <f t="shared" si="137"/>
        <v>102</v>
      </c>
      <c r="B315" s="493" t="str">
        <f>B110</f>
        <v>Iskander Rus ballistic missile ground l. 4ton, Ukr shoot 50% down</v>
      </c>
      <c r="C315" s="517" t="s">
        <v>543</v>
      </c>
      <c r="D315" s="536" t="s">
        <v>543</v>
      </c>
      <c r="E315" s="508" t="s">
        <v>35</v>
      </c>
      <c r="F315" s="508" t="s">
        <v>35</v>
      </c>
      <c r="G315" s="508" t="s">
        <v>34</v>
      </c>
      <c r="H315" s="508" t="s">
        <v>34</v>
      </c>
      <c r="I315" s="508" t="s">
        <v>34</v>
      </c>
      <c r="J315" s="508" t="s">
        <v>34</v>
      </c>
      <c r="K315" s="493" t="s">
        <v>543</v>
      </c>
      <c r="L315" s="493" t="s">
        <v>543</v>
      </c>
      <c r="M315" s="493" t="s">
        <v>35</v>
      </c>
      <c r="N315" s="493" t="s">
        <v>543</v>
      </c>
      <c r="O315" s="517" t="s">
        <v>574</v>
      </c>
      <c r="P315" s="517"/>
      <c r="Q315" s="493"/>
      <c r="R315">
        <f t="shared" si="139"/>
        <v>102</v>
      </c>
      <c r="U315" s="3" t="s">
        <v>34</v>
      </c>
      <c r="V315" s="159" t="s">
        <v>34</v>
      </c>
      <c r="AB315" t="s">
        <v>34</v>
      </c>
    </row>
    <row r="316" spans="1:28" x14ac:dyDescent="0.35">
      <c r="A316">
        <f t="shared" si="137"/>
        <v>103</v>
      </c>
      <c r="B316" s="493" t="s">
        <v>576</v>
      </c>
      <c r="C316" s="517" t="s">
        <v>579</v>
      </c>
      <c r="D316" s="518" t="s">
        <v>579</v>
      </c>
      <c r="E316" s="508" t="s">
        <v>35</v>
      </c>
      <c r="F316" s="508" t="s">
        <v>35</v>
      </c>
      <c r="G316" s="508" t="s">
        <v>34</v>
      </c>
      <c r="H316" s="508" t="s">
        <v>34</v>
      </c>
      <c r="I316" s="508" t="s">
        <v>34</v>
      </c>
      <c r="J316" s="508" t="s">
        <v>34</v>
      </c>
      <c r="K316" s="493" t="s">
        <v>579</v>
      </c>
      <c r="L316" s="493" t="s">
        <v>579</v>
      </c>
      <c r="M316" s="493" t="s">
        <v>35</v>
      </c>
      <c r="N316" s="493" t="s">
        <v>579</v>
      </c>
      <c r="O316" s="517" t="s">
        <v>575</v>
      </c>
      <c r="P316" s="517"/>
      <c r="Q316" s="493"/>
      <c r="R316">
        <f t="shared" si="139"/>
        <v>103</v>
      </c>
      <c r="U316" s="3" t="s">
        <v>34</v>
      </c>
      <c r="V316" s="159" t="s">
        <v>34</v>
      </c>
      <c r="AB316" t="s">
        <v>34</v>
      </c>
    </row>
    <row r="317" spans="1:28" x14ac:dyDescent="0.35">
      <c r="A317">
        <f t="shared" si="137"/>
        <v>104</v>
      </c>
      <c r="B317" s="493" t="str">
        <f>B112</f>
        <v>Kh-101 Rus cruise missile air launched, Ukr shoot 85% down</v>
      </c>
      <c r="C317" s="517" t="s">
        <v>551</v>
      </c>
      <c r="D317" s="518" t="s">
        <v>554</v>
      </c>
      <c r="E317" s="508" t="s">
        <v>35</v>
      </c>
      <c r="F317" s="508" t="s">
        <v>35</v>
      </c>
      <c r="G317" s="508" t="s">
        <v>34</v>
      </c>
      <c r="H317" s="508" t="s">
        <v>34</v>
      </c>
      <c r="I317" s="508" t="s">
        <v>34</v>
      </c>
      <c r="J317" s="508" t="s">
        <v>34</v>
      </c>
      <c r="K317" s="493" t="s">
        <v>551</v>
      </c>
      <c r="L317" s="493" t="s">
        <v>552</v>
      </c>
      <c r="M317" s="493" t="s">
        <v>35</v>
      </c>
      <c r="N317" s="493" t="s">
        <v>553</v>
      </c>
      <c r="O317" s="517" t="s">
        <v>549</v>
      </c>
      <c r="P317" s="517"/>
      <c r="Q317" s="493"/>
      <c r="R317">
        <f t="shared" si="139"/>
        <v>104</v>
      </c>
      <c r="U317" t="s">
        <v>550</v>
      </c>
      <c r="V317" s="159" t="s">
        <v>34</v>
      </c>
      <c r="AB317" t="s">
        <v>34</v>
      </c>
    </row>
    <row r="318" spans="1:28" x14ac:dyDescent="0.35">
      <c r="A318">
        <f t="shared" si="137"/>
        <v>105</v>
      </c>
      <c r="B318" s="493" t="str">
        <f>B113</f>
        <v>Kalibr RUS sea launched</v>
      </c>
      <c r="C318" s="517" t="s">
        <v>580</v>
      </c>
      <c r="D318" s="518" t="s">
        <v>580</v>
      </c>
      <c r="E318" s="508" t="s">
        <v>35</v>
      </c>
      <c r="F318" s="508" t="s">
        <v>35</v>
      </c>
      <c r="G318" s="508" t="s">
        <v>34</v>
      </c>
      <c r="H318" s="508" t="s">
        <v>34</v>
      </c>
      <c r="I318" s="508" t="s">
        <v>34</v>
      </c>
      <c r="J318" s="508" t="s">
        <v>34</v>
      </c>
      <c r="K318" s="493" t="s">
        <v>580</v>
      </c>
      <c r="L318" s="493" t="s">
        <v>580</v>
      </c>
      <c r="M318" s="493" t="s">
        <v>35</v>
      </c>
      <c r="N318" s="493" t="s">
        <v>580</v>
      </c>
      <c r="O318" s="517" t="s">
        <v>575</v>
      </c>
      <c r="P318" s="517"/>
      <c r="Q318" s="493"/>
      <c r="R318">
        <f t="shared" si="139"/>
        <v>105</v>
      </c>
      <c r="U318" s="3" t="s">
        <v>34</v>
      </c>
      <c r="V318" s="159" t="s">
        <v>34</v>
      </c>
      <c r="AB318" t="s">
        <v>34</v>
      </c>
    </row>
    <row r="319" spans="1:28" x14ac:dyDescent="0.35">
      <c r="A319">
        <f t="shared" si="137"/>
        <v>106</v>
      </c>
      <c r="B319" s="493" t="str">
        <f>B114</f>
        <v>Kh-47M2 Kinzhal RUS air launched</v>
      </c>
      <c r="C319" s="517" t="s">
        <v>570</v>
      </c>
      <c r="D319" s="518" t="s">
        <v>570</v>
      </c>
      <c r="E319" s="508" t="s">
        <v>35</v>
      </c>
      <c r="F319" s="508" t="s">
        <v>35</v>
      </c>
      <c r="G319" s="508" t="s">
        <v>34</v>
      </c>
      <c r="H319" s="508" t="s">
        <v>34</v>
      </c>
      <c r="I319" s="508" t="s">
        <v>34</v>
      </c>
      <c r="J319" s="508" t="s">
        <v>34</v>
      </c>
      <c r="K319" s="493" t="s">
        <v>570</v>
      </c>
      <c r="L319" s="493" t="s">
        <v>570</v>
      </c>
      <c r="M319" s="493" t="s">
        <v>35</v>
      </c>
      <c r="N319" s="493" t="s">
        <v>571</v>
      </c>
      <c r="O319" s="517" t="s">
        <v>572</v>
      </c>
      <c r="P319" s="517"/>
      <c r="Q319" s="493"/>
      <c r="R319">
        <f t="shared" si="139"/>
        <v>106</v>
      </c>
      <c r="U319" s="3" t="s">
        <v>34</v>
      </c>
      <c r="V319" s="159" t="s">
        <v>34</v>
      </c>
      <c r="AB319" t="s">
        <v>34</v>
      </c>
    </row>
    <row r="320" spans="1:28" x14ac:dyDescent="0.35">
      <c r="A320">
        <f t="shared" si="137"/>
        <v>107</v>
      </c>
      <c r="B320" s="123"/>
      <c r="C320" s="51"/>
      <c r="E320" s="70"/>
      <c r="F320" s="70"/>
      <c r="G320" s="70"/>
      <c r="H320" s="70"/>
      <c r="I320" s="70"/>
      <c r="J320" s="70"/>
      <c r="K320" s="123"/>
      <c r="L320" s="123"/>
      <c r="M320" s="123"/>
      <c r="N320" s="123"/>
      <c r="O320" s="51"/>
      <c r="P320" s="51"/>
      <c r="Q320" s="123"/>
      <c r="R320">
        <f t="shared" si="139"/>
        <v>107</v>
      </c>
      <c r="U320" s="3" t="s">
        <v>34</v>
      </c>
      <c r="V320" s="159" t="s">
        <v>34</v>
      </c>
      <c r="AB320" t="s">
        <v>34</v>
      </c>
    </row>
    <row r="321" spans="1:28" x14ac:dyDescent="0.35">
      <c r="A321">
        <f t="shared" si="137"/>
        <v>108</v>
      </c>
      <c r="B321" s="123"/>
      <c r="C321" s="51"/>
      <c r="E321" s="70"/>
      <c r="F321" s="70"/>
      <c r="G321" s="70"/>
      <c r="H321" s="70"/>
      <c r="I321" s="70"/>
      <c r="J321" s="70"/>
      <c r="K321" s="123"/>
      <c r="L321" s="123"/>
      <c r="M321" s="123"/>
      <c r="N321" s="123"/>
      <c r="O321" s="51"/>
      <c r="P321" s="51"/>
      <c r="Q321" s="123"/>
      <c r="R321">
        <f t="shared" si="139"/>
        <v>108</v>
      </c>
      <c r="U321" s="3" t="s">
        <v>34</v>
      </c>
      <c r="V321" s="159" t="s">
        <v>34</v>
      </c>
      <c r="AB321" t="s">
        <v>34</v>
      </c>
    </row>
    <row r="322" spans="1:28" x14ac:dyDescent="0.35">
      <c r="A322">
        <f t="shared" si="137"/>
        <v>109</v>
      </c>
      <c r="B322" s="191" t="s">
        <v>433</v>
      </c>
      <c r="C322" s="188"/>
      <c r="D322" s="185"/>
      <c r="E322" s="189"/>
      <c r="F322" s="189"/>
      <c r="G322" s="195"/>
      <c r="H322" s="416"/>
      <c r="I322" s="184"/>
      <c r="J322" s="418"/>
      <c r="K322" s="393"/>
      <c r="L322" s="395"/>
      <c r="M322" s="390"/>
      <c r="N322" s="192"/>
      <c r="O322" s="434"/>
      <c r="P322" s="434"/>
      <c r="Q322" s="192"/>
      <c r="R322">
        <f t="shared" si="139"/>
        <v>109</v>
      </c>
      <c r="S322" s="457"/>
      <c r="T322" s="457"/>
      <c r="U322" s="3" t="s">
        <v>34</v>
      </c>
      <c r="V322" s="159" t="s">
        <v>34</v>
      </c>
      <c r="AB322" t="s">
        <v>34</v>
      </c>
    </row>
    <row r="323" spans="1:28" x14ac:dyDescent="0.35">
      <c r="A323">
        <f>A322+1</f>
        <v>110</v>
      </c>
      <c r="B323" s="123" t="str">
        <f>B118</f>
        <v>Patriot battery w. radar launchers and control</v>
      </c>
      <c r="C323" s="420" t="s">
        <v>34</v>
      </c>
      <c r="D323" t="s">
        <v>435</v>
      </c>
      <c r="E323" s="70" t="s">
        <v>35</v>
      </c>
      <c r="F323" s="70" t="s">
        <v>34</v>
      </c>
      <c r="G323" s="70" t="s">
        <v>34</v>
      </c>
      <c r="H323" s="70" t="s">
        <v>34</v>
      </c>
      <c r="I323" s="70" t="s">
        <v>34</v>
      </c>
      <c r="J323" s="70" t="s">
        <v>34</v>
      </c>
      <c r="K323" s="177" t="s">
        <v>34</v>
      </c>
      <c r="L323" s="177" t="s">
        <v>34</v>
      </c>
      <c r="M323" s="177" t="s">
        <v>34</v>
      </c>
      <c r="N323" s="177" t="s">
        <v>34</v>
      </c>
      <c r="O323" s="51" t="s">
        <v>435</v>
      </c>
      <c r="P323" s="51"/>
      <c r="Q323" s="123"/>
      <c r="R323">
        <f t="shared" si="139"/>
        <v>110</v>
      </c>
      <c r="U323" s="3" t="s">
        <v>34</v>
      </c>
      <c r="V323" s="159" t="s">
        <v>34</v>
      </c>
      <c r="AB323" t="s">
        <v>34</v>
      </c>
    </row>
    <row r="324" spans="1:28" x14ac:dyDescent="0.35">
      <c r="A324">
        <f>A323+1</f>
        <v>111</v>
      </c>
      <c r="B324" s="123" t="str">
        <f>B119</f>
        <v>Patriot PAC-3 MSE missile active radar seeker</v>
      </c>
      <c r="C324" s="51" t="s">
        <v>438</v>
      </c>
      <c r="D324" t="s">
        <v>437</v>
      </c>
      <c r="E324" s="70" t="s">
        <v>35</v>
      </c>
      <c r="F324" s="70" t="s">
        <v>35</v>
      </c>
      <c r="G324" s="70" t="s">
        <v>35</v>
      </c>
      <c r="H324" s="70" t="s">
        <v>34</v>
      </c>
      <c r="I324" s="70" t="s">
        <v>34</v>
      </c>
      <c r="J324" s="70" t="s">
        <v>34</v>
      </c>
      <c r="K324" s="123" t="s">
        <v>438</v>
      </c>
      <c r="L324" s="123" t="s">
        <v>438</v>
      </c>
      <c r="M324" s="123" t="s">
        <v>35</v>
      </c>
      <c r="N324" s="123" t="s">
        <v>439</v>
      </c>
      <c r="O324" s="51" t="s">
        <v>438</v>
      </c>
      <c r="P324" s="51"/>
      <c r="Q324" s="123"/>
      <c r="R324">
        <f t="shared" si="139"/>
        <v>111</v>
      </c>
      <c r="U324" s="3" t="s">
        <v>34</v>
      </c>
      <c r="V324" s="159" t="s">
        <v>34</v>
      </c>
      <c r="AB324" t="s">
        <v>34</v>
      </c>
    </row>
    <row r="325" spans="1:28" x14ac:dyDescent="0.35">
      <c r="A325">
        <f t="shared" ref="A325:A328" si="141">A324+1</f>
        <v>112</v>
      </c>
      <c r="B325" s="123" t="str">
        <f>B120</f>
        <v>Patriot E PAC-2 MSE missile semi active radar depend on external radar illuninating target</v>
      </c>
      <c r="C325" s="51" t="s">
        <v>438</v>
      </c>
      <c r="D325" t="s">
        <v>437</v>
      </c>
      <c r="E325" s="70"/>
      <c r="F325" s="70"/>
      <c r="G325" s="70"/>
      <c r="H325" s="70"/>
      <c r="I325" s="70"/>
      <c r="J325" s="70"/>
      <c r="K325" s="123" t="s">
        <v>438</v>
      </c>
      <c r="L325" s="123" t="s">
        <v>438</v>
      </c>
      <c r="M325" s="123" t="s">
        <v>35</v>
      </c>
      <c r="N325" s="123" t="s">
        <v>438</v>
      </c>
      <c r="O325" s="123" t="s">
        <v>438</v>
      </c>
      <c r="P325" s="51"/>
      <c r="Q325" s="123"/>
      <c r="R325">
        <f t="shared" si="139"/>
        <v>112</v>
      </c>
      <c r="U325" s="3" t="s">
        <v>34</v>
      </c>
      <c r="V325" s="159" t="s">
        <v>34</v>
      </c>
      <c r="AB325" t="s">
        <v>34</v>
      </c>
    </row>
    <row r="326" spans="1:28" x14ac:dyDescent="0.35">
      <c r="A326">
        <f t="shared" si="141"/>
        <v>113</v>
      </c>
      <c r="B326" s="123" t="str">
        <f>B121</f>
        <v>Patriot SkyCeptor (PAAC-4) US, Israel, two stage rocket, IR seeker; active radar seeker</v>
      </c>
      <c r="C326" s="51" t="s">
        <v>1299</v>
      </c>
      <c r="D326" s="51" t="s">
        <v>1299</v>
      </c>
      <c r="E326" s="70"/>
      <c r="F326" s="70"/>
      <c r="G326" s="70"/>
      <c r="H326" s="70"/>
      <c r="I326" s="70"/>
      <c r="J326" s="70"/>
      <c r="K326" s="123" t="s">
        <v>1299</v>
      </c>
      <c r="L326" s="123" t="s">
        <v>1299</v>
      </c>
      <c r="M326" s="123" t="s">
        <v>35</v>
      </c>
      <c r="N326" s="123" t="s">
        <v>1299</v>
      </c>
      <c r="O326" s="123" t="s">
        <v>1299</v>
      </c>
      <c r="P326" s="51"/>
      <c r="Q326" s="123"/>
      <c r="R326">
        <f t="shared" si="139"/>
        <v>113</v>
      </c>
      <c r="U326" s="3" t="s">
        <v>34</v>
      </c>
      <c r="V326" s="159" t="s">
        <v>34</v>
      </c>
      <c r="AB326" t="s">
        <v>34</v>
      </c>
    </row>
    <row r="327" spans="1:28" x14ac:dyDescent="0.35">
      <c r="A327">
        <f t="shared" si="141"/>
        <v>114</v>
      </c>
      <c r="B327" s="123" t="str">
        <f>B122</f>
        <v>RIM-174 US (SM-6) ballistic missile air, sea &amp; land targets, 370km range on air targets and 500km for land targets, mostly used by ships</v>
      </c>
      <c r="C327" s="51" t="s">
        <v>1201</v>
      </c>
      <c r="D327" s="4"/>
      <c r="E327" s="70" t="s">
        <v>35</v>
      </c>
      <c r="F327" s="70" t="s">
        <v>35</v>
      </c>
      <c r="G327" s="70" t="s">
        <v>34</v>
      </c>
      <c r="H327" s="70" t="s">
        <v>34</v>
      </c>
      <c r="I327" s="70" t="s">
        <v>34</v>
      </c>
      <c r="J327" s="70" t="s">
        <v>34</v>
      </c>
      <c r="K327" s="123" t="s">
        <v>1361</v>
      </c>
      <c r="L327" s="123" t="s">
        <v>1201</v>
      </c>
      <c r="M327" s="123" t="s">
        <v>1201</v>
      </c>
      <c r="N327" s="123" t="s">
        <v>1201</v>
      </c>
      <c r="O327" s="123" t="s">
        <v>1201</v>
      </c>
      <c r="P327" s="123" t="s">
        <v>1201</v>
      </c>
      <c r="Q327" s="149" t="s">
        <v>1319</v>
      </c>
      <c r="R327">
        <f t="shared" si="139"/>
        <v>114</v>
      </c>
      <c r="U327" s="3" t="s">
        <v>34</v>
      </c>
      <c r="V327" s="159" t="s">
        <v>1361</v>
      </c>
      <c r="AB327" t="s">
        <v>34</v>
      </c>
    </row>
    <row r="328" spans="1:28" x14ac:dyDescent="0.35">
      <c r="A328">
        <f t="shared" si="141"/>
        <v>115</v>
      </c>
      <c r="B328" s="123" t="str">
        <f>B123</f>
        <v>NASAMS system, Norway landbased midrange</v>
      </c>
      <c r="C328" s="420" t="s">
        <v>34</v>
      </c>
      <c r="D328" s="4" t="s">
        <v>440</v>
      </c>
      <c r="E328" s="70" t="s">
        <v>35</v>
      </c>
      <c r="F328" s="70" t="s">
        <v>34</v>
      </c>
      <c r="G328" s="70" t="s">
        <v>34</v>
      </c>
      <c r="H328" s="70" t="s">
        <v>34</v>
      </c>
      <c r="I328" s="70" t="s">
        <v>34</v>
      </c>
      <c r="J328" s="70" t="s">
        <v>34</v>
      </c>
      <c r="K328" s="177" t="s">
        <v>34</v>
      </c>
      <c r="L328" s="177" t="s">
        <v>34</v>
      </c>
      <c r="M328" s="177" t="s">
        <v>34</v>
      </c>
      <c r="N328" s="177" t="s">
        <v>34</v>
      </c>
      <c r="O328" s="51" t="s">
        <v>439</v>
      </c>
      <c r="P328" s="51"/>
      <c r="Q328" s="123"/>
      <c r="R328">
        <f t="shared" si="139"/>
        <v>115</v>
      </c>
      <c r="U328" s="3" t="s">
        <v>34</v>
      </c>
      <c r="V328" s="159" t="s">
        <v>34</v>
      </c>
      <c r="AB328" t="s">
        <v>34</v>
      </c>
    </row>
    <row r="329" spans="1:28" x14ac:dyDescent="0.35">
      <c r="A329">
        <f t="shared" ref="A329:A347" si="142">A328+1</f>
        <v>116</v>
      </c>
      <c r="B329" s="123" t="str">
        <f>B124</f>
        <v>AMRAAM missile for NASAMS</v>
      </c>
      <c r="C329" s="435" t="s">
        <v>443</v>
      </c>
      <c r="D329" t="s">
        <v>442</v>
      </c>
      <c r="E329" s="70" t="s">
        <v>35</v>
      </c>
      <c r="F329" s="70" t="s">
        <v>35</v>
      </c>
      <c r="G329" s="70" t="s">
        <v>35</v>
      </c>
      <c r="H329" s="70" t="s">
        <v>35</v>
      </c>
      <c r="I329" s="70" t="s">
        <v>34</v>
      </c>
      <c r="J329" s="70" t="s">
        <v>34</v>
      </c>
      <c r="K329" s="419" t="s">
        <v>443</v>
      </c>
      <c r="L329" s="419" t="s">
        <v>443</v>
      </c>
      <c r="M329" s="419" t="s">
        <v>443</v>
      </c>
      <c r="N329" s="419" t="s">
        <v>443</v>
      </c>
      <c r="O329" s="435" t="s">
        <v>443</v>
      </c>
      <c r="P329" s="435"/>
      <c r="Q329" s="419"/>
      <c r="R329">
        <f t="shared" si="139"/>
        <v>116</v>
      </c>
      <c r="S329" s="458"/>
      <c r="T329" s="458"/>
      <c r="U329" s="3" t="s">
        <v>34</v>
      </c>
      <c r="V329" s="159" t="s">
        <v>34</v>
      </c>
      <c r="AB329" t="s">
        <v>34</v>
      </c>
    </row>
    <row r="330" spans="1:28" x14ac:dyDescent="0.35">
      <c r="A330">
        <f t="shared" si="142"/>
        <v>117</v>
      </c>
      <c r="B330" s="123" t="str">
        <f>B125</f>
        <v>Iris-T SLM system, German mid-range</v>
      </c>
      <c r="C330" s="420" t="s">
        <v>34</v>
      </c>
      <c r="D330" s="4" t="s">
        <v>442</v>
      </c>
      <c r="E330" s="70" t="s">
        <v>35</v>
      </c>
      <c r="F330" s="70" t="s">
        <v>34</v>
      </c>
      <c r="G330" s="70" t="s">
        <v>34</v>
      </c>
      <c r="H330" s="70" t="s">
        <v>34</v>
      </c>
      <c r="I330" s="70" t="s">
        <v>34</v>
      </c>
      <c r="J330" s="70" t="s">
        <v>34</v>
      </c>
      <c r="K330" s="177" t="s">
        <v>34</v>
      </c>
      <c r="L330" s="177" t="s">
        <v>34</v>
      </c>
      <c r="M330" s="177" t="s">
        <v>34</v>
      </c>
      <c r="N330" s="177" t="s">
        <v>34</v>
      </c>
      <c r="O330" s="51" t="s">
        <v>445</v>
      </c>
      <c r="P330" s="51"/>
      <c r="Q330" s="123"/>
      <c r="R330">
        <f t="shared" si="139"/>
        <v>117</v>
      </c>
      <c r="U330" s="3" t="s">
        <v>34</v>
      </c>
      <c r="V330" s="159" t="s">
        <v>34</v>
      </c>
      <c r="AB330" t="s">
        <v>34</v>
      </c>
    </row>
    <row r="331" spans="1:28" x14ac:dyDescent="0.35">
      <c r="A331">
        <f t="shared" si="142"/>
        <v>118</v>
      </c>
      <c r="B331" s="123" t="str">
        <f>B126</f>
        <v>IRIS-T SL missile</v>
      </c>
      <c r="C331" s="420" t="s">
        <v>947</v>
      </c>
      <c r="D331" s="420" t="s">
        <v>947</v>
      </c>
      <c r="E331" s="70" t="s">
        <v>35</v>
      </c>
      <c r="F331" s="70" t="s">
        <v>34</v>
      </c>
      <c r="G331" s="70" t="s">
        <v>34</v>
      </c>
      <c r="H331" s="70" t="s">
        <v>34</v>
      </c>
      <c r="I331" s="70" t="s">
        <v>34</v>
      </c>
      <c r="J331" s="70" t="s">
        <v>34</v>
      </c>
      <c r="K331" s="177" t="s">
        <v>947</v>
      </c>
      <c r="L331" s="177" t="s">
        <v>947</v>
      </c>
      <c r="M331" s="177" t="s">
        <v>35</v>
      </c>
      <c r="N331" s="177" t="s">
        <v>947</v>
      </c>
      <c r="O331" s="177" t="s">
        <v>947</v>
      </c>
      <c r="P331" s="51"/>
      <c r="Q331" s="123"/>
      <c r="R331">
        <f t="shared" si="139"/>
        <v>118</v>
      </c>
      <c r="U331" s="3"/>
      <c r="V331" s="159" t="s">
        <v>34</v>
      </c>
      <c r="AB331" t="s">
        <v>34</v>
      </c>
    </row>
    <row r="332" spans="1:28" x14ac:dyDescent="0.35">
      <c r="A332">
        <f t="shared" si="142"/>
        <v>119</v>
      </c>
      <c r="B332" s="123" t="str">
        <f>B127</f>
        <v>Hawk missile (legacy no production)</v>
      </c>
      <c r="C332" s="435" t="s">
        <v>448</v>
      </c>
      <c r="D332" s="174" t="s">
        <v>34</v>
      </c>
      <c r="E332" s="176" t="s">
        <v>34</v>
      </c>
      <c r="F332" s="58" t="s">
        <v>34</v>
      </c>
      <c r="G332" s="58" t="s">
        <v>34</v>
      </c>
      <c r="H332" s="176" t="s">
        <v>34</v>
      </c>
      <c r="I332" s="174" t="s">
        <v>34</v>
      </c>
      <c r="J332" s="178" t="s">
        <v>34</v>
      </c>
      <c r="K332" s="419" t="s">
        <v>448</v>
      </c>
      <c r="L332" s="419" t="s">
        <v>448</v>
      </c>
      <c r="M332" s="419" t="s">
        <v>448</v>
      </c>
      <c r="N332" s="419" t="s">
        <v>448</v>
      </c>
      <c r="O332" s="435" t="s">
        <v>448</v>
      </c>
      <c r="P332" s="435"/>
      <c r="Q332" s="419"/>
      <c r="R332">
        <f t="shared" si="139"/>
        <v>119</v>
      </c>
      <c r="S332" s="458"/>
      <c r="T332" s="458"/>
      <c r="U332" s="3" t="s">
        <v>34</v>
      </c>
      <c r="V332" s="159" t="s">
        <v>34</v>
      </c>
      <c r="AB332" t="s">
        <v>34</v>
      </c>
    </row>
    <row r="333" spans="1:28" x14ac:dyDescent="0.35">
      <c r="A333">
        <f t="shared" si="142"/>
        <v>120</v>
      </c>
      <c r="B333" s="489" t="str">
        <f>B128</f>
        <v>Gun trucks with radar, 30mm canon</v>
      </c>
      <c r="C333" s="552" t="s">
        <v>1029</v>
      </c>
      <c r="D333" s="514" t="s">
        <v>450</v>
      </c>
      <c r="E333" s="492" t="s">
        <v>35</v>
      </c>
      <c r="F333" s="492" t="s">
        <v>35</v>
      </c>
      <c r="G333" s="492" t="s">
        <v>35</v>
      </c>
      <c r="H333" s="492" t="s">
        <v>35</v>
      </c>
      <c r="I333" s="492" t="s">
        <v>34</v>
      </c>
      <c r="J333" s="492" t="s">
        <v>34</v>
      </c>
      <c r="K333" s="488"/>
      <c r="L333" s="488"/>
      <c r="M333" s="488"/>
      <c r="N333" s="488"/>
      <c r="O333" s="482"/>
      <c r="P333" s="482"/>
      <c r="Q333" s="489"/>
      <c r="R333">
        <f t="shared" si="139"/>
        <v>120</v>
      </c>
      <c r="U333" s="3" t="s">
        <v>34</v>
      </c>
      <c r="V333" s="159" t="s">
        <v>34</v>
      </c>
      <c r="AB333" t="s">
        <v>34</v>
      </c>
    </row>
    <row r="334" spans="1:28" x14ac:dyDescent="0.35">
      <c r="A334">
        <f t="shared" si="142"/>
        <v>121</v>
      </c>
      <c r="B334" s="489" t="str">
        <f>B129</f>
        <v xml:space="preserve"> - 30mm timer shells for M230 cannon </v>
      </c>
      <c r="C334" s="550" t="s">
        <v>451</v>
      </c>
      <c r="D334" s="514" t="s">
        <v>439</v>
      </c>
      <c r="E334" s="492" t="s">
        <v>35</v>
      </c>
      <c r="F334" s="492" t="s">
        <v>35</v>
      </c>
      <c r="G334" s="492" t="s">
        <v>35</v>
      </c>
      <c r="H334" s="492" t="s">
        <v>35</v>
      </c>
      <c r="I334" s="492" t="s">
        <v>34</v>
      </c>
      <c r="J334" s="492" t="s">
        <v>34</v>
      </c>
      <c r="K334" s="539" t="s">
        <v>451</v>
      </c>
      <c r="L334" s="539" t="s">
        <v>451</v>
      </c>
      <c r="M334" s="539" t="s">
        <v>451</v>
      </c>
      <c r="N334" s="539" t="s">
        <v>451</v>
      </c>
      <c r="O334" s="482"/>
      <c r="P334" s="482"/>
      <c r="Q334" s="489"/>
      <c r="R334">
        <f t="shared" si="139"/>
        <v>121</v>
      </c>
      <c r="U334" s="3" t="s">
        <v>34</v>
      </c>
      <c r="V334" s="159" t="s">
        <v>34</v>
      </c>
      <c r="AB334" t="s">
        <v>34</v>
      </c>
    </row>
    <row r="335" spans="1:28" x14ac:dyDescent="0.35">
      <c r="A335">
        <f t="shared" si="142"/>
        <v>122</v>
      </c>
      <c r="B335" s="123" t="str">
        <f>B130</f>
        <v>Gepard armored vehicle (legacy)</v>
      </c>
      <c r="C335" s="51" t="s">
        <v>455</v>
      </c>
      <c r="D335" t="s">
        <v>455</v>
      </c>
      <c r="E335" s="176" t="s">
        <v>34</v>
      </c>
      <c r="F335" s="58" t="s">
        <v>34</v>
      </c>
      <c r="G335" s="58" t="s">
        <v>34</v>
      </c>
      <c r="H335" s="176" t="s">
        <v>34</v>
      </c>
      <c r="I335" s="174" t="s">
        <v>34</v>
      </c>
      <c r="J335" s="178" t="s">
        <v>34</v>
      </c>
      <c r="K335" s="123" t="s">
        <v>455</v>
      </c>
      <c r="L335" s="123" t="s">
        <v>455</v>
      </c>
      <c r="M335" s="177" t="s">
        <v>34</v>
      </c>
      <c r="N335" s="177" t="s">
        <v>34</v>
      </c>
      <c r="O335" s="435" t="s">
        <v>457</v>
      </c>
      <c r="P335" s="435"/>
      <c r="Q335" s="419"/>
      <c r="R335">
        <f t="shared" si="139"/>
        <v>122</v>
      </c>
      <c r="S335" s="458"/>
      <c r="T335" s="458"/>
      <c r="U335" s="3" t="s">
        <v>34</v>
      </c>
      <c r="V335" s="159" t="s">
        <v>34</v>
      </c>
      <c r="AB335" t="s">
        <v>34</v>
      </c>
    </row>
    <row r="336" spans="1:28" x14ac:dyDescent="0.35">
      <c r="A336">
        <f t="shared" si="142"/>
        <v>123</v>
      </c>
      <c r="B336" s="123" t="str">
        <f>B131</f>
        <v>35mm timer shells for Gepard</v>
      </c>
      <c r="C336" s="435" t="s">
        <v>457</v>
      </c>
      <c r="D336" t="s">
        <v>456</v>
      </c>
      <c r="E336" s="176" t="s">
        <v>34</v>
      </c>
      <c r="F336" s="58" t="s">
        <v>34</v>
      </c>
      <c r="G336" s="70" t="s">
        <v>35</v>
      </c>
      <c r="H336" s="70" t="s">
        <v>35</v>
      </c>
      <c r="I336" s="70" t="s">
        <v>35</v>
      </c>
      <c r="J336" s="178" t="s">
        <v>34</v>
      </c>
      <c r="K336" s="419" t="s">
        <v>457</v>
      </c>
      <c r="L336" s="431" t="s">
        <v>459</v>
      </c>
      <c r="M336" s="123" t="s">
        <v>35</v>
      </c>
      <c r="N336" s="431" t="s">
        <v>459</v>
      </c>
      <c r="O336" s="435" t="s">
        <v>207</v>
      </c>
      <c r="P336" s="435"/>
      <c r="Q336" s="419"/>
      <c r="R336">
        <f t="shared" si="139"/>
        <v>123</v>
      </c>
      <c r="S336" s="458"/>
      <c r="T336" s="458"/>
      <c r="U336" s="3" t="s">
        <v>34</v>
      </c>
      <c r="V336" s="159" t="s">
        <v>34</v>
      </c>
      <c r="AB336" t="s">
        <v>34</v>
      </c>
    </row>
    <row r="337" spans="1:28" x14ac:dyDescent="0.35">
      <c r="A337">
        <f t="shared" si="142"/>
        <v>124</v>
      </c>
      <c r="B337" s="123" t="str">
        <f>B132</f>
        <v>Skynex 35 mm anti-aircraft gun system, 4 guns, 1 radar, 1 control</v>
      </c>
      <c r="C337" s="464" t="s">
        <v>659</v>
      </c>
      <c r="D337" s="4" t="s">
        <v>662</v>
      </c>
      <c r="E337" s="176" t="s">
        <v>34</v>
      </c>
      <c r="F337" s="58" t="s">
        <v>34</v>
      </c>
      <c r="G337" s="4" t="s">
        <v>660</v>
      </c>
      <c r="H337" s="176" t="s">
        <v>34</v>
      </c>
      <c r="I337" s="174" t="s">
        <v>34</v>
      </c>
      <c r="J337" s="178" t="s">
        <v>34</v>
      </c>
      <c r="K337" s="431" t="s">
        <v>659</v>
      </c>
      <c r="L337" s="431" t="s">
        <v>459</v>
      </c>
      <c r="M337" s="123" t="s">
        <v>35</v>
      </c>
      <c r="N337" s="419"/>
      <c r="O337" s="435" t="s">
        <v>661</v>
      </c>
      <c r="P337" s="435"/>
      <c r="Q337" s="419"/>
      <c r="R337">
        <f t="shared" si="139"/>
        <v>124</v>
      </c>
      <c r="S337" s="458"/>
      <c r="T337" s="458"/>
      <c r="U337" s="4" t="s">
        <v>662</v>
      </c>
      <c r="V337" s="159" t="s">
        <v>34</v>
      </c>
      <c r="W337" s="397"/>
      <c r="X337" s="397"/>
      <c r="Y337" s="397"/>
      <c r="Z337" s="397"/>
      <c r="AA337" s="397"/>
      <c r="AB337" t="s">
        <v>34</v>
      </c>
    </row>
    <row r="338" spans="1:28" x14ac:dyDescent="0.35">
      <c r="A338">
        <f t="shared" si="142"/>
        <v>125</v>
      </c>
      <c r="B338" s="489" t="str">
        <f>B133</f>
        <v>S-200 missile used by Ukr (legacy)</v>
      </c>
      <c r="C338" s="550" t="s">
        <v>583</v>
      </c>
      <c r="D338" s="514" t="s">
        <v>583</v>
      </c>
      <c r="E338" s="551" t="s">
        <v>34</v>
      </c>
      <c r="F338" s="516" t="s">
        <v>34</v>
      </c>
      <c r="G338" s="516" t="s">
        <v>34</v>
      </c>
      <c r="H338" s="551" t="s">
        <v>34</v>
      </c>
      <c r="I338" s="485" t="s">
        <v>34</v>
      </c>
      <c r="J338" s="486" t="s">
        <v>34</v>
      </c>
      <c r="K338" s="539" t="s">
        <v>583</v>
      </c>
      <c r="L338" s="539" t="s">
        <v>583</v>
      </c>
      <c r="M338" s="489" t="s">
        <v>35</v>
      </c>
      <c r="N338" s="539" t="s">
        <v>583</v>
      </c>
      <c r="O338" s="550" t="s">
        <v>583</v>
      </c>
      <c r="P338" s="550"/>
      <c r="Q338" s="539"/>
      <c r="R338">
        <f t="shared" si="139"/>
        <v>125</v>
      </c>
      <c r="S338" s="458"/>
      <c r="T338" s="458"/>
      <c r="U338" s="3" t="s">
        <v>34</v>
      </c>
      <c r="V338" s="159" t="s">
        <v>34</v>
      </c>
      <c r="AB338" t="s">
        <v>34</v>
      </c>
    </row>
    <row r="339" spans="1:28" x14ac:dyDescent="0.35">
      <c r="A339">
        <f t="shared" si="142"/>
        <v>126</v>
      </c>
      <c r="B339" s="493" t="str">
        <f>B134</f>
        <v>S-300 missile 48N6P RUS many versions, 1800kg also ground attack Ukr cant shoot it down</v>
      </c>
      <c r="C339" s="547" t="s">
        <v>586</v>
      </c>
      <c r="D339" s="494" t="s">
        <v>34</v>
      </c>
      <c r="E339" s="543" t="s">
        <v>34</v>
      </c>
      <c r="F339" s="520" t="s">
        <v>34</v>
      </c>
      <c r="G339" s="520" t="s">
        <v>34</v>
      </c>
      <c r="H339" s="543" t="s">
        <v>34</v>
      </c>
      <c r="I339" s="496" t="s">
        <v>34</v>
      </c>
      <c r="J339" s="497" t="s">
        <v>34</v>
      </c>
      <c r="K339" s="548" t="s">
        <v>586</v>
      </c>
      <c r="L339" s="548" t="s">
        <v>586</v>
      </c>
      <c r="M339" s="493" t="s">
        <v>35</v>
      </c>
      <c r="N339" s="548" t="s">
        <v>586</v>
      </c>
      <c r="O339" s="547" t="s">
        <v>575</v>
      </c>
      <c r="P339" s="547"/>
      <c r="Q339" s="548"/>
      <c r="R339">
        <f t="shared" si="139"/>
        <v>126</v>
      </c>
      <c r="S339" s="458"/>
      <c r="T339" s="458"/>
      <c r="U339" s="3" t="s">
        <v>34</v>
      </c>
      <c r="V339" s="159" t="s">
        <v>34</v>
      </c>
      <c r="AB339" t="s">
        <v>34</v>
      </c>
    </row>
    <row r="340" spans="1:28" x14ac:dyDescent="0.35">
      <c r="A340">
        <f t="shared" si="142"/>
        <v>127</v>
      </c>
      <c r="B340" s="493" t="str">
        <f>B135</f>
        <v>S-400 battery w. radar launchers&amp;control</v>
      </c>
      <c r="C340" s="537" t="s">
        <v>34</v>
      </c>
      <c r="D340" s="518" t="s">
        <v>587</v>
      </c>
      <c r="E340" s="508" t="s">
        <v>35</v>
      </c>
      <c r="F340" s="508" t="s">
        <v>35</v>
      </c>
      <c r="G340" s="520" t="s">
        <v>34</v>
      </c>
      <c r="H340" s="543" t="s">
        <v>34</v>
      </c>
      <c r="I340" s="496" t="s">
        <v>34</v>
      </c>
      <c r="J340" s="549"/>
      <c r="K340" s="506" t="s">
        <v>34</v>
      </c>
      <c r="L340" s="506" t="s">
        <v>34</v>
      </c>
      <c r="M340" s="506" t="s">
        <v>34</v>
      </c>
      <c r="N340" s="506" t="s">
        <v>34</v>
      </c>
      <c r="O340" s="547" t="s">
        <v>591</v>
      </c>
      <c r="P340" s="547"/>
      <c r="Q340" s="548"/>
      <c r="R340">
        <f t="shared" si="139"/>
        <v>127</v>
      </c>
      <c r="S340" s="458"/>
      <c r="T340" s="458"/>
      <c r="U340" s="3"/>
      <c r="V340" s="159" t="s">
        <v>34</v>
      </c>
      <c r="AB340" t="s">
        <v>34</v>
      </c>
    </row>
    <row r="341" spans="1:28" x14ac:dyDescent="0.35">
      <c r="A341">
        <f t="shared" si="142"/>
        <v>128</v>
      </c>
      <c r="B341" s="493" t="str">
        <f>B136</f>
        <v>S-400 missile 40N6E many versions</v>
      </c>
      <c r="C341" s="547" t="s">
        <v>587</v>
      </c>
      <c r="D341" s="518" t="s">
        <v>587</v>
      </c>
      <c r="E341" s="508" t="s">
        <v>35</v>
      </c>
      <c r="F341" s="508" t="s">
        <v>35</v>
      </c>
      <c r="G341" s="508" t="s">
        <v>35</v>
      </c>
      <c r="H341" s="508" t="s">
        <v>34</v>
      </c>
      <c r="I341" s="508" t="s">
        <v>34</v>
      </c>
      <c r="J341" s="508" t="s">
        <v>34</v>
      </c>
      <c r="K341" s="548" t="s">
        <v>587</v>
      </c>
      <c r="L341" s="548" t="s">
        <v>587</v>
      </c>
      <c r="M341" s="548" t="s">
        <v>587</v>
      </c>
      <c r="N341" s="548" t="s">
        <v>587</v>
      </c>
      <c r="O341" s="547" t="s">
        <v>591</v>
      </c>
      <c r="P341" s="547"/>
      <c r="Q341" s="548"/>
      <c r="R341">
        <f t="shared" si="139"/>
        <v>128</v>
      </c>
      <c r="S341" s="458"/>
      <c r="T341" s="458"/>
      <c r="U341" s="3" t="s">
        <v>34</v>
      </c>
      <c r="V341" s="159" t="s">
        <v>34</v>
      </c>
      <c r="AB341" t="s">
        <v>34</v>
      </c>
    </row>
    <row r="342" spans="1:28" x14ac:dyDescent="0.35">
      <c r="A342">
        <f t="shared" si="142"/>
        <v>129</v>
      </c>
      <c r="B342" s="493" t="str">
        <f>B137</f>
        <v>S-500 missile system</v>
      </c>
      <c r="C342" s="537" t="s">
        <v>881</v>
      </c>
      <c r="D342" s="518"/>
      <c r="E342" s="508"/>
      <c r="F342" s="508"/>
      <c r="G342" s="508"/>
      <c r="H342" s="508"/>
      <c r="I342" s="508"/>
      <c r="J342" s="508"/>
      <c r="K342" s="548" t="s">
        <v>881</v>
      </c>
      <c r="L342" s="548" t="s">
        <v>881</v>
      </c>
      <c r="M342" s="548" t="s">
        <v>881</v>
      </c>
      <c r="N342" s="548" t="s">
        <v>881</v>
      </c>
      <c r="O342" s="548" t="s">
        <v>881</v>
      </c>
      <c r="P342" s="517"/>
      <c r="Q342" s="493"/>
      <c r="R342">
        <f t="shared" si="139"/>
        <v>129</v>
      </c>
      <c r="U342" s="3" t="s">
        <v>34</v>
      </c>
      <c r="V342" s="159" t="s">
        <v>34</v>
      </c>
      <c r="AB342" t="s">
        <v>34</v>
      </c>
    </row>
    <row r="343" spans="1:28" x14ac:dyDescent="0.35">
      <c r="A343">
        <f t="shared" si="142"/>
        <v>130</v>
      </c>
      <c r="B343" s="123"/>
      <c r="C343" s="51"/>
      <c r="K343" s="123"/>
      <c r="L343" s="123"/>
      <c r="M343" s="123"/>
      <c r="N343" s="123"/>
      <c r="O343" s="51"/>
      <c r="P343" s="51"/>
      <c r="Q343" s="123"/>
      <c r="R343">
        <f t="shared" si="139"/>
        <v>130</v>
      </c>
      <c r="U343" s="3" t="s">
        <v>34</v>
      </c>
      <c r="V343" s="159" t="s">
        <v>34</v>
      </c>
      <c r="AB343" t="s">
        <v>34</v>
      </c>
    </row>
    <row r="344" spans="1:28" x14ac:dyDescent="0.35">
      <c r="A344">
        <f t="shared" si="142"/>
        <v>131</v>
      </c>
      <c r="B344" s="191" t="str">
        <f>B139</f>
        <v>Electronic warfare systems</v>
      </c>
      <c r="C344" s="387"/>
      <c r="D344" s="194"/>
      <c r="E344" s="194"/>
      <c r="F344" s="194"/>
      <c r="G344" s="194"/>
      <c r="H344" s="194"/>
      <c r="I344" s="194"/>
      <c r="J344" s="194"/>
      <c r="K344" s="187"/>
      <c r="L344" s="187"/>
      <c r="M344" s="187"/>
      <c r="N344" s="387"/>
      <c r="O344" s="387"/>
      <c r="P344" s="387"/>
      <c r="Q344" s="187"/>
      <c r="R344">
        <f t="shared" si="139"/>
        <v>131</v>
      </c>
      <c r="U344" s="3" t="s">
        <v>34</v>
      </c>
      <c r="V344" s="159" t="s">
        <v>34</v>
      </c>
      <c r="AB344" t="s">
        <v>34</v>
      </c>
    </row>
    <row r="345" spans="1:28" x14ac:dyDescent="0.35">
      <c r="A345">
        <f t="shared" si="142"/>
        <v>132</v>
      </c>
      <c r="B345" s="493" t="s">
        <v>680</v>
      </c>
      <c r="C345" s="519" t="s">
        <v>681</v>
      </c>
      <c r="D345" s="518" t="s">
        <v>156</v>
      </c>
      <c r="E345" s="518"/>
      <c r="F345" s="518"/>
      <c r="G345" s="518"/>
      <c r="H345" s="518"/>
      <c r="I345" s="518"/>
      <c r="J345" s="518"/>
      <c r="K345" s="534" t="s">
        <v>681</v>
      </c>
      <c r="L345" s="493" t="s">
        <v>34</v>
      </c>
      <c r="M345" s="493" t="s">
        <v>34</v>
      </c>
      <c r="N345" s="517" t="s">
        <v>34</v>
      </c>
      <c r="O345" s="517" t="s">
        <v>156</v>
      </c>
      <c r="P345" s="517"/>
      <c r="Q345" s="493"/>
      <c r="R345">
        <f t="shared" si="139"/>
        <v>132</v>
      </c>
      <c r="U345" s="3" t="s">
        <v>34</v>
      </c>
      <c r="V345" s="159" t="s">
        <v>34</v>
      </c>
      <c r="AB345" t="s">
        <v>34</v>
      </c>
    </row>
    <row r="346" spans="1:28" x14ac:dyDescent="0.35">
      <c r="A346">
        <f t="shared" si="142"/>
        <v>133</v>
      </c>
      <c r="B346" s="123"/>
      <c r="C346" s="51"/>
      <c r="K346" s="123"/>
      <c r="L346" s="123"/>
      <c r="M346" s="123"/>
      <c r="N346" s="51"/>
      <c r="O346" s="51"/>
      <c r="P346" s="51"/>
      <c r="Q346" s="123"/>
      <c r="R346">
        <f t="shared" si="139"/>
        <v>133</v>
      </c>
      <c r="U346" s="3" t="s">
        <v>34</v>
      </c>
      <c r="V346" s="159" t="s">
        <v>34</v>
      </c>
      <c r="AB346" t="s">
        <v>34</v>
      </c>
    </row>
    <row r="347" spans="1:28" x14ac:dyDescent="0.35">
      <c r="A347">
        <f t="shared" si="142"/>
        <v>134</v>
      </c>
      <c r="B347" s="123"/>
      <c r="C347" s="51"/>
      <c r="K347" s="123"/>
      <c r="L347" s="123"/>
      <c r="M347" s="123"/>
      <c r="N347" s="51"/>
      <c r="O347" s="51"/>
      <c r="P347" s="51"/>
      <c r="Q347" s="123"/>
      <c r="R347">
        <f t="shared" si="139"/>
        <v>134</v>
      </c>
      <c r="U347" s="3" t="s">
        <v>34</v>
      </c>
      <c r="V347" s="159" t="s">
        <v>34</v>
      </c>
      <c r="AB347" t="s">
        <v>34</v>
      </c>
    </row>
    <row r="348" spans="1:28" x14ac:dyDescent="0.35">
      <c r="A348">
        <f t="shared" ref="A348:A351" si="143">A347+1</f>
        <v>135</v>
      </c>
      <c r="B348" s="123"/>
      <c r="C348" s="51"/>
      <c r="E348" s="70"/>
      <c r="F348" s="70"/>
      <c r="G348" s="70"/>
      <c r="H348" s="70"/>
      <c r="I348" s="70"/>
      <c r="J348" s="70"/>
      <c r="K348" s="123"/>
      <c r="L348" s="123"/>
      <c r="M348" s="123"/>
      <c r="N348" s="123"/>
      <c r="O348" s="51"/>
      <c r="P348" s="51"/>
      <c r="Q348" s="123"/>
      <c r="R348">
        <f t="shared" ref="R348:R411" si="144">R347+1</f>
        <v>135</v>
      </c>
      <c r="U348" s="3"/>
      <c r="V348" s="159" t="s">
        <v>34</v>
      </c>
      <c r="AB348" t="s">
        <v>34</v>
      </c>
    </row>
    <row r="349" spans="1:28" x14ac:dyDescent="0.35">
      <c r="A349">
        <f t="shared" si="143"/>
        <v>136</v>
      </c>
      <c r="B349" s="123"/>
      <c r="C349" s="51"/>
      <c r="E349" s="70"/>
      <c r="F349" s="70"/>
      <c r="G349" s="70"/>
      <c r="H349" s="70"/>
      <c r="I349" s="70"/>
      <c r="J349" s="70"/>
      <c r="K349" s="123"/>
      <c r="L349" s="123"/>
      <c r="M349" s="123"/>
      <c r="N349" s="123"/>
      <c r="O349" s="51"/>
      <c r="P349" s="51"/>
      <c r="Q349" s="123"/>
      <c r="R349">
        <f t="shared" si="144"/>
        <v>136</v>
      </c>
      <c r="U349" s="3"/>
      <c r="V349" s="159" t="s">
        <v>34</v>
      </c>
      <c r="AB349" t="s">
        <v>34</v>
      </c>
    </row>
    <row r="350" spans="1:28" x14ac:dyDescent="0.35">
      <c r="A350">
        <f t="shared" si="143"/>
        <v>137</v>
      </c>
      <c r="B350" s="123"/>
      <c r="C350" s="51"/>
      <c r="E350" s="70"/>
      <c r="F350" s="70"/>
      <c r="G350" s="70"/>
      <c r="H350" s="70"/>
      <c r="I350" s="70"/>
      <c r="J350" s="70"/>
      <c r="K350" s="123"/>
      <c r="L350" s="123"/>
      <c r="M350" s="123"/>
      <c r="N350" s="123"/>
      <c r="O350" s="51"/>
      <c r="P350" s="51"/>
      <c r="Q350" s="123"/>
      <c r="R350">
        <f t="shared" si="144"/>
        <v>137</v>
      </c>
      <c r="U350" s="3" t="s">
        <v>34</v>
      </c>
      <c r="V350" s="159" t="s">
        <v>34</v>
      </c>
      <c r="AB350" t="s">
        <v>34</v>
      </c>
    </row>
    <row r="351" spans="1:28" x14ac:dyDescent="0.35">
      <c r="A351">
        <f t="shared" si="143"/>
        <v>138</v>
      </c>
      <c r="B351" s="191" t="s">
        <v>164</v>
      </c>
      <c r="C351" s="387"/>
      <c r="D351" s="194"/>
      <c r="E351" s="194"/>
      <c r="F351" s="194"/>
      <c r="G351" s="194"/>
      <c r="H351" s="194"/>
      <c r="I351" s="194"/>
      <c r="J351" s="194"/>
      <c r="K351" s="187"/>
      <c r="L351" s="187"/>
      <c r="M351" s="187"/>
      <c r="N351" s="187"/>
      <c r="O351" s="387"/>
      <c r="P351" s="387"/>
      <c r="Q351" s="187"/>
      <c r="R351">
        <f t="shared" si="144"/>
        <v>138</v>
      </c>
      <c r="U351" s="3" t="s">
        <v>34</v>
      </c>
      <c r="V351" s="159" t="s">
        <v>34</v>
      </c>
      <c r="AB351" t="s">
        <v>34</v>
      </c>
    </row>
    <row r="352" spans="1:28" x14ac:dyDescent="0.35">
      <c r="A352">
        <f t="shared" si="137"/>
        <v>139</v>
      </c>
      <c r="B352" s="489" t="str">
        <f>B147</f>
        <v>Mig-29 (Ukr main fighter)</v>
      </c>
      <c r="C352" s="532" t="s">
        <v>370</v>
      </c>
      <c r="D352" s="514" t="s">
        <v>374</v>
      </c>
      <c r="E352" s="492" t="s">
        <v>35</v>
      </c>
      <c r="F352" s="492" t="s">
        <v>35</v>
      </c>
      <c r="G352" s="492" t="s">
        <v>34</v>
      </c>
      <c r="H352" s="492" t="s">
        <v>34</v>
      </c>
      <c r="I352" s="492" t="s">
        <v>34</v>
      </c>
      <c r="J352" s="541" t="s">
        <v>34</v>
      </c>
      <c r="K352" s="533" t="s">
        <v>370</v>
      </c>
      <c r="L352" s="489" t="s">
        <v>370</v>
      </c>
      <c r="M352" s="489" t="s">
        <v>34</v>
      </c>
      <c r="N352" s="525" t="s">
        <v>370</v>
      </c>
      <c r="O352" s="482" t="s">
        <v>370</v>
      </c>
      <c r="P352" s="482"/>
      <c r="Q352" s="489"/>
      <c r="R352">
        <f t="shared" si="144"/>
        <v>139</v>
      </c>
      <c r="U352" s="3" t="s">
        <v>34</v>
      </c>
      <c r="V352" s="159" t="s">
        <v>34</v>
      </c>
      <c r="AB352" t="s">
        <v>34</v>
      </c>
    </row>
    <row r="353" spans="1:28" x14ac:dyDescent="0.35">
      <c r="A353">
        <f t="shared" si="137"/>
        <v>140</v>
      </c>
      <c r="B353" s="489" t="str">
        <f>B148</f>
        <v xml:space="preserve"> - 30mm Gryazev-Shipunov GSh-30-1</v>
      </c>
      <c r="C353" s="482" t="s">
        <v>562</v>
      </c>
      <c r="D353" s="514" t="s">
        <v>156</v>
      </c>
      <c r="E353" s="485" t="s">
        <v>34</v>
      </c>
      <c r="F353" s="516" t="s">
        <v>34</v>
      </c>
      <c r="G353" s="492" t="s">
        <v>34</v>
      </c>
      <c r="H353" s="492" t="s">
        <v>35</v>
      </c>
      <c r="I353" s="492" t="s">
        <v>35</v>
      </c>
      <c r="J353" s="492" t="s">
        <v>35</v>
      </c>
      <c r="K353" s="489" t="s">
        <v>562</v>
      </c>
      <c r="L353" s="489" t="s">
        <v>562</v>
      </c>
      <c r="M353" s="489"/>
      <c r="N353" s="489" t="s">
        <v>34</v>
      </c>
      <c r="O353" s="482" t="s">
        <v>181</v>
      </c>
      <c r="P353" s="482"/>
      <c r="Q353" s="489"/>
      <c r="R353">
        <f t="shared" si="144"/>
        <v>140</v>
      </c>
      <c r="U353" s="3"/>
      <c r="V353" s="159" t="s">
        <v>34</v>
      </c>
      <c r="AB353" t="s">
        <v>34</v>
      </c>
    </row>
    <row r="354" spans="1:28" x14ac:dyDescent="0.35">
      <c r="A354">
        <f t="shared" si="137"/>
        <v>141</v>
      </c>
      <c r="B354" s="123" t="str">
        <f>B149</f>
        <v xml:space="preserve"> - HAMMER rocket assisted bomb, France</v>
      </c>
      <c r="C354" s="90" t="s">
        <v>517</v>
      </c>
      <c r="D354" t="s">
        <v>516</v>
      </c>
      <c r="E354" s="70" t="s">
        <v>35</v>
      </c>
      <c r="F354" s="70" t="s">
        <v>35</v>
      </c>
      <c r="G354" s="70" t="s">
        <v>34</v>
      </c>
      <c r="H354" s="70" t="s">
        <v>34</v>
      </c>
      <c r="I354" s="70" t="s">
        <v>34</v>
      </c>
      <c r="J354" s="424" t="s">
        <v>34</v>
      </c>
      <c r="K354" s="391" t="s">
        <v>517</v>
      </c>
      <c r="L354" s="391" t="s">
        <v>517</v>
      </c>
      <c r="M354" s="391" t="s">
        <v>35</v>
      </c>
      <c r="N354" s="391" t="s">
        <v>517</v>
      </c>
      <c r="O354" s="90" t="s">
        <v>517</v>
      </c>
      <c r="P354" s="90"/>
      <c r="Q354" s="391"/>
      <c r="R354">
        <f t="shared" si="144"/>
        <v>141</v>
      </c>
      <c r="S354" s="454"/>
      <c r="T354" s="454"/>
      <c r="U354" s="3" t="s">
        <v>34</v>
      </c>
      <c r="V354" s="159" t="s">
        <v>34</v>
      </c>
      <c r="AB354" t="s">
        <v>34</v>
      </c>
    </row>
    <row r="355" spans="1:28" x14ac:dyDescent="0.35">
      <c r="A355">
        <f t="shared" si="137"/>
        <v>142</v>
      </c>
      <c r="B355" s="123" t="str">
        <f>B150</f>
        <v xml:space="preserve"> - AGM-88G HARM anti-radar missile, US</v>
      </c>
      <c r="C355" s="90" t="s">
        <v>511</v>
      </c>
      <c r="D355" t="s">
        <v>511</v>
      </c>
      <c r="E355" s="70" t="s">
        <v>35</v>
      </c>
      <c r="F355" s="70" t="s">
        <v>35</v>
      </c>
      <c r="G355" s="70" t="s">
        <v>34</v>
      </c>
      <c r="H355" s="70" t="s">
        <v>34</v>
      </c>
      <c r="I355" s="70" t="s">
        <v>34</v>
      </c>
      <c r="J355" s="424" t="s">
        <v>34</v>
      </c>
      <c r="K355" s="391" t="s">
        <v>511</v>
      </c>
      <c r="L355" s="391" t="s">
        <v>511</v>
      </c>
      <c r="M355" s="391" t="s">
        <v>35</v>
      </c>
      <c r="N355" s="391" t="s">
        <v>511</v>
      </c>
      <c r="O355" s="90" t="s">
        <v>515</v>
      </c>
      <c r="P355" s="90"/>
      <c r="Q355" s="391"/>
      <c r="R355">
        <f t="shared" si="144"/>
        <v>142</v>
      </c>
      <c r="S355" s="454"/>
      <c r="T355" s="454"/>
      <c r="U355" s="3" t="s">
        <v>34</v>
      </c>
      <c r="V355" s="159" t="s">
        <v>34</v>
      </c>
      <c r="AB355" t="s">
        <v>34</v>
      </c>
    </row>
    <row r="356" spans="1:28" x14ac:dyDescent="0.35">
      <c r="A356">
        <f t="shared" si="137"/>
        <v>143</v>
      </c>
      <c r="B356" s="123" t="str">
        <f>B151</f>
        <v>F35 NATO fighter jet radar invisible</v>
      </c>
      <c r="C356" s="31" t="s">
        <v>542</v>
      </c>
      <c r="D356" t="s">
        <v>541</v>
      </c>
      <c r="E356" s="70" t="s">
        <v>35</v>
      </c>
      <c r="F356" s="70" t="s">
        <v>35</v>
      </c>
      <c r="G356" s="70" t="s">
        <v>34</v>
      </c>
      <c r="H356" s="70" t="s">
        <v>34</v>
      </c>
      <c r="I356" s="70" t="s">
        <v>34</v>
      </c>
      <c r="J356" s="70" t="s">
        <v>34</v>
      </c>
      <c r="K356" s="149" t="s">
        <v>542</v>
      </c>
      <c r="L356" s="123" t="s">
        <v>542</v>
      </c>
      <c r="M356" s="123" t="s">
        <v>34</v>
      </c>
      <c r="N356" s="149" t="s">
        <v>542</v>
      </c>
      <c r="O356" s="51" t="s">
        <v>542</v>
      </c>
      <c r="P356" s="51"/>
      <c r="Q356" s="123"/>
      <c r="R356">
        <f t="shared" si="144"/>
        <v>143</v>
      </c>
      <c r="U356" s="3" t="s">
        <v>34</v>
      </c>
      <c r="V356" s="159" t="s">
        <v>34</v>
      </c>
      <c r="AB356" t="s">
        <v>34</v>
      </c>
    </row>
    <row r="357" spans="1:28" x14ac:dyDescent="0.35">
      <c r="A357">
        <f t="shared" si="137"/>
        <v>144</v>
      </c>
      <c r="B357" s="123" t="str">
        <f>B152</f>
        <v xml:space="preserve"> - 25mm gun GAU-22/A</v>
      </c>
      <c r="C357" s="90" t="s">
        <v>569</v>
      </c>
      <c r="D357" t="s">
        <v>439</v>
      </c>
      <c r="E357" s="174" t="s">
        <v>34</v>
      </c>
      <c r="F357" s="58" t="s">
        <v>34</v>
      </c>
      <c r="G357" s="70" t="s">
        <v>34</v>
      </c>
      <c r="H357" s="70" t="s">
        <v>35</v>
      </c>
      <c r="I357" s="70" t="s">
        <v>35</v>
      </c>
      <c r="J357" s="70" t="s">
        <v>35</v>
      </c>
      <c r="K357" s="391" t="s">
        <v>569</v>
      </c>
      <c r="L357" s="391" t="s">
        <v>569</v>
      </c>
      <c r="M357" s="391" t="s">
        <v>35</v>
      </c>
      <c r="N357" s="123" t="s">
        <v>34</v>
      </c>
      <c r="O357" s="51" t="s">
        <v>181</v>
      </c>
      <c r="P357" s="51"/>
      <c r="Q357" s="123"/>
      <c r="R357">
        <f t="shared" si="144"/>
        <v>144</v>
      </c>
      <c r="U357" s="3" t="s">
        <v>34</v>
      </c>
      <c r="V357" s="159" t="s">
        <v>34</v>
      </c>
      <c r="AB357" t="s">
        <v>34</v>
      </c>
    </row>
    <row r="358" spans="1:28" x14ac:dyDescent="0.35">
      <c r="A358">
        <f t="shared" si="137"/>
        <v>145</v>
      </c>
      <c r="B358" s="123" t="str">
        <f>B153</f>
        <v xml:space="preserve"> - Joint Strike Missile cruise missile, F35 can carry 2 in its internal weapons bay with 4 more externally </v>
      </c>
      <c r="C358" s="433" t="s">
        <v>499</v>
      </c>
      <c r="D358" t="s">
        <v>498</v>
      </c>
      <c r="E358" s="70" t="s">
        <v>35</v>
      </c>
      <c r="F358" s="70" t="s">
        <v>35</v>
      </c>
      <c r="G358" s="70" t="s">
        <v>35</v>
      </c>
      <c r="H358" s="70" t="s">
        <v>34</v>
      </c>
      <c r="I358" s="70" t="s">
        <v>34</v>
      </c>
      <c r="J358" s="70" t="s">
        <v>34</v>
      </c>
      <c r="K358" s="422" t="s">
        <v>499</v>
      </c>
      <c r="L358" s="422" t="s">
        <v>499</v>
      </c>
      <c r="M358" s="123" t="s">
        <v>35</v>
      </c>
      <c r="N358" s="422" t="s">
        <v>499</v>
      </c>
      <c r="O358" s="433" t="s">
        <v>499</v>
      </c>
      <c r="P358" s="433"/>
      <c r="Q358" s="422"/>
      <c r="R358">
        <f t="shared" si="144"/>
        <v>145</v>
      </c>
      <c r="S358" s="455"/>
      <c r="T358" s="455"/>
      <c r="U358" s="3" t="s">
        <v>34</v>
      </c>
      <c r="V358" s="159" t="s">
        <v>34</v>
      </c>
      <c r="AB358" t="s">
        <v>34</v>
      </c>
    </row>
    <row r="359" spans="1:28" x14ac:dyDescent="0.35">
      <c r="A359">
        <f t="shared" si="137"/>
        <v>146</v>
      </c>
      <c r="B359" s="123" t="str">
        <f>B154</f>
        <v>F16 (AM/BM Danish v. for UKR)</v>
      </c>
      <c r="C359" s="31" t="s">
        <v>431</v>
      </c>
      <c r="D359" t="s">
        <v>432</v>
      </c>
      <c r="E359" s="70" t="s">
        <v>35</v>
      </c>
      <c r="F359" s="70" t="s">
        <v>35</v>
      </c>
      <c r="G359" s="70" t="s">
        <v>34</v>
      </c>
      <c r="H359" s="70" t="s">
        <v>34</v>
      </c>
      <c r="I359" s="70" t="s">
        <v>34</v>
      </c>
      <c r="J359" s="70" t="s">
        <v>34</v>
      </c>
      <c r="K359" s="149" t="s">
        <v>431</v>
      </c>
      <c r="L359" s="391" t="s">
        <v>431</v>
      </c>
      <c r="M359" s="123" t="s">
        <v>34</v>
      </c>
      <c r="N359" s="149" t="s">
        <v>429</v>
      </c>
      <c r="O359" s="51" t="s">
        <v>429</v>
      </c>
      <c r="P359" s="51"/>
      <c r="Q359" s="123"/>
      <c r="R359">
        <f t="shared" si="144"/>
        <v>146</v>
      </c>
      <c r="U359" s="3" t="s">
        <v>34</v>
      </c>
      <c r="V359" s="159" t="s">
        <v>34</v>
      </c>
      <c r="AB359" t="s">
        <v>34</v>
      </c>
    </row>
    <row r="360" spans="1:28" x14ac:dyDescent="0.35">
      <c r="A360">
        <f t="shared" si="137"/>
        <v>147</v>
      </c>
      <c r="B360" s="123" t="str">
        <f>B155</f>
        <v xml:space="preserve"> - JDAM glider bomb for F16, GBU-31 kit</v>
      </c>
      <c r="C360" s="433" t="s">
        <v>460</v>
      </c>
      <c r="D360" s="4" t="s">
        <v>460</v>
      </c>
      <c r="E360" s="174" t="s">
        <v>34</v>
      </c>
      <c r="F360" s="58" t="s">
        <v>34</v>
      </c>
      <c r="G360" s="70" t="s">
        <v>35</v>
      </c>
      <c r="H360" s="70" t="s">
        <v>35</v>
      </c>
      <c r="I360" s="70" t="s">
        <v>35</v>
      </c>
      <c r="J360" s="70" t="s">
        <v>34</v>
      </c>
      <c r="K360" s="422" t="s">
        <v>460</v>
      </c>
      <c r="L360" s="123" t="s">
        <v>34</v>
      </c>
      <c r="M360" s="123" t="s">
        <v>34</v>
      </c>
      <c r="N360" s="123" t="s">
        <v>460</v>
      </c>
      <c r="O360" s="51" t="s">
        <v>460</v>
      </c>
      <c r="P360" s="51"/>
      <c r="Q360" s="123"/>
      <c r="R360">
        <f t="shared" si="144"/>
        <v>147</v>
      </c>
      <c r="U360" s="3" t="s">
        <v>34</v>
      </c>
      <c r="V360" s="159" t="s">
        <v>34</v>
      </c>
      <c r="AB360" t="s">
        <v>34</v>
      </c>
    </row>
    <row r="361" spans="1:28" x14ac:dyDescent="0.35">
      <c r="A361">
        <f t="shared" si="137"/>
        <v>148</v>
      </c>
      <c r="B361" s="123" t="str">
        <f>B156</f>
        <v xml:space="preserve"> - GBU-39 Small Glider Bomb/GLSDB</v>
      </c>
      <c r="C361" s="433" t="s">
        <v>677</v>
      </c>
      <c r="D361" t="s">
        <v>761</v>
      </c>
      <c r="E361" s="174"/>
      <c r="F361" s="58"/>
      <c r="G361" s="70"/>
      <c r="H361" s="70"/>
      <c r="I361" s="70"/>
      <c r="J361" s="70"/>
      <c r="K361" s="422" t="s">
        <v>677</v>
      </c>
      <c r="L361" s="123" t="s">
        <v>34</v>
      </c>
      <c r="M361" s="123" t="s">
        <v>34</v>
      </c>
      <c r="N361" s="123" t="s">
        <v>677</v>
      </c>
      <c r="O361" s="51" t="s">
        <v>677</v>
      </c>
      <c r="P361" s="51"/>
      <c r="Q361" s="123"/>
      <c r="R361">
        <f t="shared" si="144"/>
        <v>148</v>
      </c>
      <c r="U361" s="3" t="s">
        <v>34</v>
      </c>
      <c r="V361" s="159" t="s">
        <v>34</v>
      </c>
      <c r="AB361" t="s">
        <v>34</v>
      </c>
    </row>
    <row r="362" spans="1:28" x14ac:dyDescent="0.35">
      <c r="A362">
        <f t="shared" si="137"/>
        <v>149</v>
      </c>
      <c r="B362" s="123" t="str">
        <f>B157</f>
        <v xml:space="preserve"> - AGM-65 Maverick land rocket for F16 </v>
      </c>
      <c r="C362" s="433" t="s">
        <v>494</v>
      </c>
      <c r="D362" s="4" t="s">
        <v>494</v>
      </c>
      <c r="E362" s="174" t="s">
        <v>34</v>
      </c>
      <c r="F362" s="58" t="s">
        <v>34</v>
      </c>
      <c r="G362" s="70" t="s">
        <v>35</v>
      </c>
      <c r="H362" s="70" t="s">
        <v>35</v>
      </c>
      <c r="I362" s="70" t="s">
        <v>35</v>
      </c>
      <c r="J362" s="70" t="s">
        <v>34</v>
      </c>
      <c r="K362" s="422" t="s">
        <v>494</v>
      </c>
      <c r="L362" s="422" t="s">
        <v>494</v>
      </c>
      <c r="M362" s="123" t="s">
        <v>35</v>
      </c>
      <c r="N362" s="422" t="s">
        <v>494</v>
      </c>
      <c r="O362" s="433" t="s">
        <v>494</v>
      </c>
      <c r="P362" s="433"/>
      <c r="Q362" s="422"/>
      <c r="R362">
        <f t="shared" si="144"/>
        <v>149</v>
      </c>
      <c r="S362" s="455"/>
      <c r="T362" s="455"/>
      <c r="U362" s="3" t="s">
        <v>34</v>
      </c>
      <c r="V362" s="159" t="s">
        <v>34</v>
      </c>
      <c r="AB362" t="s">
        <v>34</v>
      </c>
    </row>
    <row r="363" spans="1:28" x14ac:dyDescent="0.35">
      <c r="A363">
        <f t="shared" si="137"/>
        <v>150</v>
      </c>
      <c r="B363" s="123" t="str">
        <f>B158</f>
        <v xml:space="preserve"> - AMRAAM 120 anti-aircraft for F16</v>
      </c>
      <c r="C363" s="90" t="s">
        <v>443</v>
      </c>
      <c r="D363" s="4" t="s">
        <v>443</v>
      </c>
      <c r="E363" s="70" t="s">
        <v>34</v>
      </c>
      <c r="F363" s="70" t="s">
        <v>35</v>
      </c>
      <c r="G363" s="70" t="s">
        <v>35</v>
      </c>
      <c r="H363" s="70" t="s">
        <v>34</v>
      </c>
      <c r="I363" s="70" t="s">
        <v>34</v>
      </c>
      <c r="J363" s="70" t="s">
        <v>34</v>
      </c>
      <c r="K363" s="391" t="s">
        <v>443</v>
      </c>
      <c r="L363" s="391" t="s">
        <v>443</v>
      </c>
      <c r="M363" s="123" t="s">
        <v>35</v>
      </c>
      <c r="N363" s="123" t="s">
        <v>443</v>
      </c>
      <c r="O363" s="51" t="s">
        <v>443</v>
      </c>
      <c r="P363" s="51"/>
      <c r="Q363" s="123"/>
      <c r="R363">
        <f t="shared" si="144"/>
        <v>150</v>
      </c>
      <c r="U363" s="3" t="s">
        <v>34</v>
      </c>
      <c r="V363" s="159" t="s">
        <v>34</v>
      </c>
      <c r="AB363" t="s">
        <v>34</v>
      </c>
    </row>
    <row r="364" spans="1:28" x14ac:dyDescent="0.35">
      <c r="A364">
        <f t="shared" si="137"/>
        <v>151</v>
      </c>
      <c r="B364" s="123" t="str">
        <f>B159</f>
        <v xml:space="preserve"> - AIM-9 Sidewinder anti-aircraft for F16</v>
      </c>
      <c r="C364" s="90" t="s">
        <v>491</v>
      </c>
      <c r="D364" s="4" t="s">
        <v>491</v>
      </c>
      <c r="E364" s="70" t="s">
        <v>34</v>
      </c>
      <c r="F364" s="70" t="s">
        <v>35</v>
      </c>
      <c r="G364" s="70" t="s">
        <v>35</v>
      </c>
      <c r="H364" s="70" t="s">
        <v>34</v>
      </c>
      <c r="I364" s="70" t="s">
        <v>34</v>
      </c>
      <c r="J364" s="70" t="s">
        <v>34</v>
      </c>
      <c r="K364" s="391" t="s">
        <v>491</v>
      </c>
      <c r="L364" s="391" t="s">
        <v>491</v>
      </c>
      <c r="M364" s="123" t="s">
        <v>35</v>
      </c>
      <c r="N364" s="123" t="s">
        <v>491</v>
      </c>
      <c r="O364" s="51" t="s">
        <v>491</v>
      </c>
      <c r="P364" s="51"/>
      <c r="Q364" s="123"/>
      <c r="R364">
        <f t="shared" si="144"/>
        <v>151</v>
      </c>
      <c r="U364" s="3" t="s">
        <v>34</v>
      </c>
      <c r="V364" s="159" t="s">
        <v>34</v>
      </c>
      <c r="AB364" t="s">
        <v>34</v>
      </c>
    </row>
    <row r="365" spans="1:28" x14ac:dyDescent="0.35">
      <c r="A365">
        <f t="shared" si="137"/>
        <v>152</v>
      </c>
      <c r="B365" s="123" t="str">
        <f>B160</f>
        <v xml:space="preserve"> - AGM-114 Hellfire missile, any aircraft</v>
      </c>
      <c r="C365" s="90" t="s">
        <v>647</v>
      </c>
      <c r="D365" s="4" t="s">
        <v>647</v>
      </c>
      <c r="E365" s="70" t="s">
        <v>34</v>
      </c>
      <c r="F365" s="70" t="s">
        <v>35</v>
      </c>
      <c r="G365" s="70" t="s">
        <v>35</v>
      </c>
      <c r="H365" s="70" t="s">
        <v>34</v>
      </c>
      <c r="I365" s="70" t="s">
        <v>34</v>
      </c>
      <c r="J365" s="70" t="s">
        <v>34</v>
      </c>
      <c r="K365" s="391" t="s">
        <v>647</v>
      </c>
      <c r="L365" s="391" t="s">
        <v>647</v>
      </c>
      <c r="M365" s="123" t="s">
        <v>35</v>
      </c>
      <c r="N365" s="391" t="s">
        <v>647</v>
      </c>
      <c r="O365" s="90" t="s">
        <v>647</v>
      </c>
      <c r="P365" s="90"/>
      <c r="Q365" s="391"/>
      <c r="R365">
        <f t="shared" si="144"/>
        <v>152</v>
      </c>
      <c r="S365" s="454"/>
      <c r="T365" s="454"/>
      <c r="U365" s="3" t="s">
        <v>34</v>
      </c>
      <c r="V365" s="159" t="s">
        <v>34</v>
      </c>
      <c r="AB365" t="s">
        <v>34</v>
      </c>
    </row>
    <row r="366" spans="1:28" x14ac:dyDescent="0.35">
      <c r="A366">
        <f t="shared" si="137"/>
        <v>153</v>
      </c>
      <c r="B366" s="123" t="str">
        <f>B161</f>
        <v xml:space="preserve"> - AGM-179 JAGM missile any aircraft, replaces Hellfire</v>
      </c>
      <c r="C366" s="90" t="s">
        <v>651</v>
      </c>
      <c r="D366" t="s">
        <v>651</v>
      </c>
      <c r="E366" s="70" t="s">
        <v>34</v>
      </c>
      <c r="F366" s="70" t="s">
        <v>35</v>
      </c>
      <c r="G366" s="70" t="s">
        <v>35</v>
      </c>
      <c r="H366" s="70" t="s">
        <v>34</v>
      </c>
      <c r="I366" s="70" t="s">
        <v>34</v>
      </c>
      <c r="J366" s="70" t="s">
        <v>34</v>
      </c>
      <c r="K366" s="391" t="s">
        <v>651</v>
      </c>
      <c r="L366" s="391" t="s">
        <v>652</v>
      </c>
      <c r="M366" s="123" t="s">
        <v>35</v>
      </c>
      <c r="N366" s="391" t="s">
        <v>652</v>
      </c>
      <c r="O366" s="90" t="s">
        <v>651</v>
      </c>
      <c r="P366" s="90"/>
      <c r="Q366" s="391"/>
      <c r="R366">
        <f t="shared" si="144"/>
        <v>153</v>
      </c>
      <c r="S366" s="454"/>
      <c r="T366" s="454"/>
      <c r="U366" s="3" t="s">
        <v>34</v>
      </c>
      <c r="V366" s="159" t="s">
        <v>34</v>
      </c>
      <c r="AB366" t="s">
        <v>34</v>
      </c>
    </row>
    <row r="367" spans="1:28" x14ac:dyDescent="0.35">
      <c r="A367">
        <f t="shared" si="137"/>
        <v>154</v>
      </c>
      <c r="B367" s="123" t="str">
        <f>B162</f>
        <v xml:space="preserve"> - 20mm gun M61 Vulcan for F16s, 325 rounds</v>
      </c>
      <c r="C367" s="31" t="s">
        <v>489</v>
      </c>
      <c r="D367" t="s">
        <v>439</v>
      </c>
      <c r="E367" s="174" t="s">
        <v>34</v>
      </c>
      <c r="F367" s="58" t="s">
        <v>34</v>
      </c>
      <c r="G367" s="70" t="s">
        <v>34</v>
      </c>
      <c r="H367" s="70" t="s">
        <v>35</v>
      </c>
      <c r="I367" s="70" t="s">
        <v>35</v>
      </c>
      <c r="J367" s="70" t="s">
        <v>35</v>
      </c>
      <c r="K367" s="149" t="s">
        <v>489</v>
      </c>
      <c r="L367" s="123" t="s">
        <v>489</v>
      </c>
      <c r="M367" s="123" t="s">
        <v>35</v>
      </c>
      <c r="N367" s="123" t="s">
        <v>34</v>
      </c>
      <c r="O367" s="51" t="s">
        <v>181</v>
      </c>
      <c r="P367" s="51"/>
      <c r="Q367" s="123"/>
      <c r="R367">
        <f t="shared" si="144"/>
        <v>154</v>
      </c>
      <c r="U367" s="3" t="s">
        <v>34</v>
      </c>
      <c r="V367" s="159" t="s">
        <v>34</v>
      </c>
      <c r="AB367" t="s">
        <v>34</v>
      </c>
    </row>
    <row r="368" spans="1:28" x14ac:dyDescent="0.35">
      <c r="A368">
        <f t="shared" si="137"/>
        <v>155</v>
      </c>
      <c r="B368" s="123" t="str">
        <f>B163</f>
        <v>B-52 US strategic bomber (legacy)</v>
      </c>
      <c r="C368" s="51" t="s">
        <v>601</v>
      </c>
      <c r="D368" t="s">
        <v>601</v>
      </c>
      <c r="E368" s="58" t="s">
        <v>34</v>
      </c>
      <c r="F368" s="58" t="s">
        <v>34</v>
      </c>
      <c r="G368" s="70" t="s">
        <v>34</v>
      </c>
      <c r="H368" s="70" t="s">
        <v>34</v>
      </c>
      <c r="I368" s="70" t="s">
        <v>34</v>
      </c>
      <c r="J368" s="424" t="s">
        <v>34</v>
      </c>
      <c r="K368" s="123" t="s">
        <v>601</v>
      </c>
      <c r="L368" s="123" t="s">
        <v>601</v>
      </c>
      <c r="M368" s="123" t="s">
        <v>35</v>
      </c>
      <c r="N368" s="123" t="s">
        <v>601</v>
      </c>
      <c r="O368" s="51" t="s">
        <v>601</v>
      </c>
      <c r="P368" s="51"/>
      <c r="Q368" s="123"/>
      <c r="R368">
        <f t="shared" si="144"/>
        <v>155</v>
      </c>
      <c r="U368" s="3" t="s">
        <v>34</v>
      </c>
      <c r="V368" s="159" t="s">
        <v>34</v>
      </c>
      <c r="AB368" t="s">
        <v>34</v>
      </c>
    </row>
    <row r="369" spans="1:29" x14ac:dyDescent="0.35">
      <c r="A369">
        <f t="shared" si="137"/>
        <v>156</v>
      </c>
      <c r="B369" s="123" t="str">
        <f>B164</f>
        <v>B-1B US strategic bomber (legacy)</v>
      </c>
      <c r="C369" s="51" t="s">
        <v>866</v>
      </c>
      <c r="E369" s="58" t="s">
        <v>34</v>
      </c>
      <c r="F369" s="58" t="s">
        <v>34</v>
      </c>
      <c r="G369" s="70" t="s">
        <v>34</v>
      </c>
      <c r="H369" s="70" t="s">
        <v>34</v>
      </c>
      <c r="I369" s="70" t="s">
        <v>34</v>
      </c>
      <c r="J369" s="424" t="s">
        <v>34</v>
      </c>
      <c r="K369" s="123" t="s">
        <v>866</v>
      </c>
      <c r="L369" s="123" t="s">
        <v>866</v>
      </c>
      <c r="M369" s="123" t="s">
        <v>35</v>
      </c>
      <c r="N369" s="123" t="s">
        <v>866</v>
      </c>
      <c r="O369" s="123" t="s">
        <v>866</v>
      </c>
      <c r="P369" s="51"/>
      <c r="Q369" s="123"/>
      <c r="R369">
        <f t="shared" si="144"/>
        <v>156</v>
      </c>
      <c r="U369" s="3"/>
      <c r="V369" s="159" t="s">
        <v>34</v>
      </c>
      <c r="AB369" t="s">
        <v>34</v>
      </c>
    </row>
    <row r="370" spans="1:29" x14ac:dyDescent="0.35">
      <c r="A370">
        <f t="shared" si="137"/>
        <v>157</v>
      </c>
      <c r="B370" s="123" t="str">
        <f>B165</f>
        <v>B-2 Spirit US strategic stealth bomber</v>
      </c>
      <c r="C370" s="51" t="s">
        <v>624</v>
      </c>
      <c r="D370" s="4" t="s">
        <v>624</v>
      </c>
      <c r="E370" s="174" t="s">
        <v>35</v>
      </c>
      <c r="F370" s="58" t="s">
        <v>34</v>
      </c>
      <c r="G370" s="70" t="s">
        <v>34</v>
      </c>
      <c r="H370" s="70" t="s">
        <v>34</v>
      </c>
      <c r="I370" s="70" t="s">
        <v>34</v>
      </c>
      <c r="J370" s="424" t="s">
        <v>34</v>
      </c>
      <c r="K370" s="123" t="s">
        <v>624</v>
      </c>
      <c r="L370" s="123" t="s">
        <v>624</v>
      </c>
      <c r="M370" s="123" t="s">
        <v>35</v>
      </c>
      <c r="N370" s="123" t="s">
        <v>624</v>
      </c>
      <c r="O370" s="51" t="s">
        <v>624</v>
      </c>
      <c r="P370" s="51"/>
      <c r="Q370" s="123"/>
      <c r="R370">
        <f t="shared" si="144"/>
        <v>157</v>
      </c>
      <c r="U370" s="3" t="s">
        <v>34</v>
      </c>
      <c r="V370" s="159" t="s">
        <v>34</v>
      </c>
      <c r="AB370" t="s">
        <v>34</v>
      </c>
    </row>
    <row r="371" spans="1:29" x14ac:dyDescent="0.35">
      <c r="A371">
        <f t="shared" si="137"/>
        <v>158</v>
      </c>
      <c r="B371" s="123" t="str">
        <f>B166</f>
        <v>B-21 Raider US strategic stealth bomber</v>
      </c>
      <c r="C371" s="51" t="s">
        <v>874</v>
      </c>
      <c r="D371" s="4"/>
      <c r="E371" s="174" t="s">
        <v>34</v>
      </c>
      <c r="F371" s="58" t="s">
        <v>34</v>
      </c>
      <c r="G371" s="70" t="s">
        <v>34</v>
      </c>
      <c r="H371" s="70" t="s">
        <v>34</v>
      </c>
      <c r="I371" s="70" t="s">
        <v>34</v>
      </c>
      <c r="J371" s="424" t="s">
        <v>34</v>
      </c>
      <c r="K371" s="123" t="s">
        <v>874</v>
      </c>
      <c r="L371" s="123" t="s">
        <v>874</v>
      </c>
      <c r="M371" s="123" t="s">
        <v>35</v>
      </c>
      <c r="N371" s="123" t="s">
        <v>874</v>
      </c>
      <c r="O371" s="123" t="s">
        <v>874</v>
      </c>
      <c r="P371" s="123" t="s">
        <v>34</v>
      </c>
      <c r="Q371" s="123" t="s">
        <v>34</v>
      </c>
      <c r="R371">
        <f t="shared" si="144"/>
        <v>158</v>
      </c>
      <c r="U371" s="3" t="s">
        <v>34</v>
      </c>
      <c r="V371" s="159" t="s">
        <v>34</v>
      </c>
      <c r="AB371" t="s">
        <v>34</v>
      </c>
    </row>
    <row r="372" spans="1:29" x14ac:dyDescent="0.35">
      <c r="A372">
        <f t="shared" si="137"/>
        <v>159</v>
      </c>
      <c r="B372" s="493" t="str">
        <f>B167</f>
        <v>Tu-22M3 RUS strategic bomber (legacy) likely less than 5 can refuel midair, first with this capability was delivered in 2020</v>
      </c>
      <c r="C372" s="517" t="s">
        <v>600</v>
      </c>
      <c r="D372" s="518" t="s">
        <v>600</v>
      </c>
      <c r="E372" s="496" t="s">
        <v>34</v>
      </c>
      <c r="F372" s="520" t="s">
        <v>34</v>
      </c>
      <c r="G372" s="508" t="s">
        <v>34</v>
      </c>
      <c r="H372" s="508" t="s">
        <v>34</v>
      </c>
      <c r="I372" s="508" t="s">
        <v>34</v>
      </c>
      <c r="J372" s="542" t="s">
        <v>34</v>
      </c>
      <c r="K372" s="493" t="s">
        <v>600</v>
      </c>
      <c r="L372" s="493" t="s">
        <v>600</v>
      </c>
      <c r="M372" s="493" t="s">
        <v>35</v>
      </c>
      <c r="N372" s="493" t="s">
        <v>600</v>
      </c>
      <c r="O372" s="517" t="s">
        <v>600</v>
      </c>
      <c r="P372" s="518" t="s">
        <v>700</v>
      </c>
      <c r="Q372" s="493"/>
      <c r="R372">
        <f t="shared" si="144"/>
        <v>159</v>
      </c>
      <c r="U372" s="3" t="s">
        <v>34</v>
      </c>
      <c r="V372" s="159" t="s">
        <v>34</v>
      </c>
      <c r="AB372" t="s">
        <v>34</v>
      </c>
    </row>
    <row r="373" spans="1:29" x14ac:dyDescent="0.35">
      <c r="A373">
        <f t="shared" si="137"/>
        <v>160</v>
      </c>
      <c r="B373" s="493" t="str">
        <f>B168</f>
        <v>Tu 160 Rus strategic bomber</v>
      </c>
      <c r="C373" s="517" t="s">
        <v>744</v>
      </c>
      <c r="D373" s="518" t="s">
        <v>744</v>
      </c>
      <c r="E373" s="496"/>
      <c r="F373" s="520"/>
      <c r="G373" s="508"/>
      <c r="H373" s="508"/>
      <c r="I373" s="508"/>
      <c r="J373" s="542"/>
      <c r="K373" s="493" t="s">
        <v>744</v>
      </c>
      <c r="L373" s="493" t="s">
        <v>745</v>
      </c>
      <c r="M373" s="493" t="s">
        <v>35</v>
      </c>
      <c r="N373" s="493" t="s">
        <v>746</v>
      </c>
      <c r="O373" s="493" t="s">
        <v>747</v>
      </c>
      <c r="P373" s="517" t="s">
        <v>740</v>
      </c>
      <c r="Q373" s="493"/>
      <c r="R373">
        <f t="shared" si="144"/>
        <v>160</v>
      </c>
      <c r="U373" s="3" t="s">
        <v>34</v>
      </c>
      <c r="V373" s="159" t="s">
        <v>34</v>
      </c>
      <c r="AB373" t="s">
        <v>34</v>
      </c>
    </row>
    <row r="374" spans="1:29" x14ac:dyDescent="0.35">
      <c r="A374">
        <f t="shared" si="137"/>
        <v>161</v>
      </c>
      <c r="B374" s="493" t="str">
        <f>B169</f>
        <v>Tu-95 RUS strategic bomber (legacy)</v>
      </c>
      <c r="C374" s="517" t="s">
        <v>728</v>
      </c>
      <c r="D374" s="518" t="s">
        <v>728</v>
      </c>
      <c r="E374" s="496" t="s">
        <v>34</v>
      </c>
      <c r="F374" s="520" t="s">
        <v>34</v>
      </c>
      <c r="G374" s="508" t="s">
        <v>34</v>
      </c>
      <c r="H374" s="508" t="s">
        <v>34</v>
      </c>
      <c r="I374" s="508" t="s">
        <v>34</v>
      </c>
      <c r="J374" s="542" t="s">
        <v>34</v>
      </c>
      <c r="K374" s="493" t="s">
        <v>728</v>
      </c>
      <c r="L374" s="493" t="s">
        <v>729</v>
      </c>
      <c r="M374" s="493" t="s">
        <v>35</v>
      </c>
      <c r="N374" s="493" t="s">
        <v>730</v>
      </c>
      <c r="O374" s="517" t="s">
        <v>731</v>
      </c>
      <c r="P374" s="517" t="s">
        <v>740</v>
      </c>
      <c r="Q374" s="493"/>
      <c r="R374">
        <f t="shared" si="144"/>
        <v>161</v>
      </c>
      <c r="U374" s="3" t="s">
        <v>34</v>
      </c>
      <c r="V374" s="159" t="s">
        <v>34</v>
      </c>
      <c r="AB374" t="s">
        <v>34</v>
      </c>
    </row>
    <row r="375" spans="1:29" x14ac:dyDescent="0.35">
      <c r="A375">
        <f t="shared" si="137"/>
        <v>162</v>
      </c>
      <c r="B375" s="493" t="str">
        <f>B170</f>
        <v>MiG-31 only version L can airfuel</v>
      </c>
      <c r="C375" s="517" t="s">
        <v>703</v>
      </c>
      <c r="D375" s="518" t="s">
        <v>702</v>
      </c>
      <c r="E375" s="496" t="s">
        <v>34</v>
      </c>
      <c r="F375" s="520" t="s">
        <v>34</v>
      </c>
      <c r="G375" s="508" t="s">
        <v>34</v>
      </c>
      <c r="H375" s="508" t="s">
        <v>34</v>
      </c>
      <c r="I375" s="508" t="s">
        <v>34</v>
      </c>
      <c r="J375" s="542" t="s">
        <v>34</v>
      </c>
      <c r="K375" s="493" t="s">
        <v>703</v>
      </c>
      <c r="L375" s="493" t="s">
        <v>703</v>
      </c>
      <c r="M375" s="493" t="s">
        <v>35</v>
      </c>
      <c r="N375" s="493" t="s">
        <v>703</v>
      </c>
      <c r="O375" s="517" t="s">
        <v>703</v>
      </c>
      <c r="P375" s="536" t="s">
        <v>740</v>
      </c>
      <c r="Q375" s="534"/>
      <c r="R375">
        <f t="shared" si="144"/>
        <v>162</v>
      </c>
      <c r="S375" s="20"/>
      <c r="T375" s="20"/>
      <c r="U375" t="s">
        <v>34</v>
      </c>
      <c r="V375" s="159" t="s">
        <v>34</v>
      </c>
      <c r="AB375" t="s">
        <v>34</v>
      </c>
    </row>
    <row r="376" spans="1:29" x14ac:dyDescent="0.35">
      <c r="A376">
        <f t="shared" si="137"/>
        <v>163</v>
      </c>
      <c r="B376" s="493" t="str">
        <f>B171</f>
        <v>Su-24 (RUS legacy can refuel midair)</v>
      </c>
      <c r="C376" s="517" t="s">
        <v>734</v>
      </c>
      <c r="D376" s="518" t="s">
        <v>734</v>
      </c>
      <c r="E376" s="496" t="s">
        <v>34</v>
      </c>
      <c r="F376" s="520" t="s">
        <v>34</v>
      </c>
      <c r="G376" s="508" t="s">
        <v>34</v>
      </c>
      <c r="H376" s="508" t="s">
        <v>34</v>
      </c>
      <c r="I376" s="508" t="s">
        <v>34</v>
      </c>
      <c r="J376" s="542" t="s">
        <v>34</v>
      </c>
      <c r="K376" s="493" t="s">
        <v>734</v>
      </c>
      <c r="L376" s="493" t="s">
        <v>694</v>
      </c>
      <c r="M376" s="493" t="s">
        <v>35</v>
      </c>
      <c r="N376" s="493" t="s">
        <v>735</v>
      </c>
      <c r="O376" s="517" t="s">
        <v>736</v>
      </c>
      <c r="P376" s="517" t="s">
        <v>740</v>
      </c>
      <c r="Q376" s="493"/>
      <c r="R376">
        <f t="shared" si="144"/>
        <v>163</v>
      </c>
      <c r="U376" t="s">
        <v>34</v>
      </c>
      <c r="V376" s="159" t="s">
        <v>34</v>
      </c>
      <c r="AB376" t="s">
        <v>34</v>
      </c>
    </row>
    <row r="377" spans="1:29" x14ac:dyDescent="0.35">
      <c r="A377">
        <f t="shared" si="137"/>
        <v>164</v>
      </c>
      <c r="B377" s="493" t="str">
        <f>B172</f>
        <v>Su-25 old Rus fighter no midair refuel</v>
      </c>
      <c r="C377" s="517" t="s">
        <v>695</v>
      </c>
      <c r="D377" s="518" t="s">
        <v>696</v>
      </c>
      <c r="E377" s="496" t="s">
        <v>34</v>
      </c>
      <c r="F377" s="520" t="s">
        <v>34</v>
      </c>
      <c r="G377" s="508" t="s">
        <v>34</v>
      </c>
      <c r="H377" s="508" t="s">
        <v>34</v>
      </c>
      <c r="I377" s="508" t="s">
        <v>34</v>
      </c>
      <c r="J377" s="542" t="s">
        <v>34</v>
      </c>
      <c r="K377" s="493" t="s">
        <v>695</v>
      </c>
      <c r="L377" s="493" t="s">
        <v>695</v>
      </c>
      <c r="M377" s="493" t="s">
        <v>35</v>
      </c>
      <c r="N377" s="493" t="s">
        <v>695</v>
      </c>
      <c r="O377" s="517" t="s">
        <v>694</v>
      </c>
      <c r="P377" s="517" t="s">
        <v>740</v>
      </c>
      <c r="Q377" s="493"/>
      <c r="R377">
        <f t="shared" si="144"/>
        <v>164</v>
      </c>
      <c r="U377" s="3" t="s">
        <v>34</v>
      </c>
      <c r="V377" s="159" t="s">
        <v>34</v>
      </c>
      <c r="AB377" t="s">
        <v>34</v>
      </c>
    </row>
    <row r="378" spans="1:29" x14ac:dyDescent="0.35">
      <c r="A378">
        <f t="shared" si="137"/>
        <v>165</v>
      </c>
      <c r="B378" s="493" t="str">
        <f>B173</f>
        <v>Su-35 (Rus main fighter jet)</v>
      </c>
      <c r="C378" s="519" t="s">
        <v>529</v>
      </c>
      <c r="D378" s="518" t="s">
        <v>530</v>
      </c>
      <c r="E378" s="508" t="s">
        <v>35</v>
      </c>
      <c r="F378" s="508" t="s">
        <v>35</v>
      </c>
      <c r="G378" s="508" t="s">
        <v>34</v>
      </c>
      <c r="H378" s="508" t="s">
        <v>34</v>
      </c>
      <c r="I378" s="508" t="s">
        <v>34</v>
      </c>
      <c r="J378" s="542" t="s">
        <v>34</v>
      </c>
      <c r="K378" s="534" t="s">
        <v>529</v>
      </c>
      <c r="L378" s="493" t="s">
        <v>529</v>
      </c>
      <c r="M378" s="493" t="s">
        <v>34</v>
      </c>
      <c r="N378" s="493" t="s">
        <v>529</v>
      </c>
      <c r="O378" s="517" t="s">
        <v>529</v>
      </c>
      <c r="P378" s="517" t="s">
        <v>740</v>
      </c>
      <c r="Q378" s="493"/>
      <c r="R378">
        <f t="shared" si="144"/>
        <v>165</v>
      </c>
      <c r="U378" s="3" t="s">
        <v>34</v>
      </c>
      <c r="V378" s="159" t="s">
        <v>34</v>
      </c>
      <c r="AB378" t="s">
        <v>34</v>
      </c>
    </row>
    <row r="379" spans="1:29" x14ac:dyDescent="0.35">
      <c r="A379">
        <f t="shared" si="137"/>
        <v>166</v>
      </c>
      <c r="B379" s="493" t="str">
        <f>B174</f>
        <v>Su-34 (other Rus  main fighter jet)</v>
      </c>
      <c r="C379" s="519" t="s">
        <v>532</v>
      </c>
      <c r="D379" s="536" t="s">
        <v>533</v>
      </c>
      <c r="E379" s="508" t="s">
        <v>35</v>
      </c>
      <c r="F379" s="508" t="s">
        <v>35</v>
      </c>
      <c r="G379" s="508" t="s">
        <v>34</v>
      </c>
      <c r="H379" s="508" t="s">
        <v>34</v>
      </c>
      <c r="I379" s="508" t="s">
        <v>34</v>
      </c>
      <c r="J379" s="542" t="s">
        <v>34</v>
      </c>
      <c r="K379" s="536" t="s">
        <v>532</v>
      </c>
      <c r="L379" s="534" t="s">
        <v>532</v>
      </c>
      <c r="M379" s="493" t="s">
        <v>34</v>
      </c>
      <c r="N379" s="534" t="s">
        <v>532</v>
      </c>
      <c r="O379" s="517" t="s">
        <v>532</v>
      </c>
      <c r="P379" s="517" t="s">
        <v>740</v>
      </c>
      <c r="Q379" s="493"/>
      <c r="R379">
        <f t="shared" si="144"/>
        <v>166</v>
      </c>
      <c r="U379" s="3" t="s">
        <v>34</v>
      </c>
      <c r="V379" s="159" t="s">
        <v>34</v>
      </c>
      <c r="AB379" t="s">
        <v>34</v>
      </c>
    </row>
    <row r="380" spans="1:29" x14ac:dyDescent="0.35">
      <c r="A380">
        <f t="shared" si="137"/>
        <v>167</v>
      </c>
      <c r="B380" s="493" t="str">
        <f>B175</f>
        <v xml:space="preserve"> - UMPK Russia’s JDAM on FAB-500</v>
      </c>
      <c r="C380" s="517" t="s">
        <v>536</v>
      </c>
      <c r="D380" s="518" t="s">
        <v>538</v>
      </c>
      <c r="E380" s="496" t="s">
        <v>34</v>
      </c>
      <c r="F380" s="520" t="s">
        <v>34</v>
      </c>
      <c r="G380" s="508" t="s">
        <v>35</v>
      </c>
      <c r="H380" s="508" t="s">
        <v>35</v>
      </c>
      <c r="I380" s="508" t="s">
        <v>35</v>
      </c>
      <c r="J380" s="508" t="s">
        <v>34</v>
      </c>
      <c r="K380" s="493" t="s">
        <v>536</v>
      </c>
      <c r="L380" s="493" t="s">
        <v>34</v>
      </c>
      <c r="M380" s="493" t="s">
        <v>34</v>
      </c>
      <c r="N380" s="493" t="s">
        <v>535</v>
      </c>
      <c r="O380" s="517" t="s">
        <v>539</v>
      </c>
      <c r="P380" s="517"/>
      <c r="Q380" s="534" t="s">
        <v>1385</v>
      </c>
      <c r="R380">
        <f t="shared" si="144"/>
        <v>167</v>
      </c>
      <c r="U380" s="3" t="s">
        <v>34</v>
      </c>
      <c r="V380" s="159" t="s">
        <v>34</v>
      </c>
      <c r="AB380" t="s">
        <v>34</v>
      </c>
    </row>
    <row r="381" spans="1:29" x14ac:dyDescent="0.35">
      <c r="A381">
        <f t="shared" si="137"/>
        <v>168</v>
      </c>
      <c r="B381" s="493" t="str">
        <f>B176</f>
        <v xml:space="preserve"> - Kh-69 small cruise missile</v>
      </c>
      <c r="C381" s="517" t="s">
        <v>559</v>
      </c>
      <c r="D381" s="518" t="s">
        <v>156</v>
      </c>
      <c r="E381" s="508" t="s">
        <v>35</v>
      </c>
      <c r="F381" s="508" t="s">
        <v>35</v>
      </c>
      <c r="G381" s="508" t="s">
        <v>34</v>
      </c>
      <c r="H381" s="508" t="s">
        <v>34</v>
      </c>
      <c r="I381" s="508" t="s">
        <v>34</v>
      </c>
      <c r="J381" s="508" t="s">
        <v>34</v>
      </c>
      <c r="K381" s="493" t="s">
        <v>559</v>
      </c>
      <c r="L381" s="493" t="s">
        <v>559</v>
      </c>
      <c r="M381" s="493" t="s">
        <v>35</v>
      </c>
      <c r="N381" s="493" t="s">
        <v>559</v>
      </c>
      <c r="O381" s="517" t="s">
        <v>558</v>
      </c>
      <c r="P381" s="517"/>
      <c r="Q381" s="493"/>
      <c r="R381">
        <f t="shared" si="144"/>
        <v>168</v>
      </c>
      <c r="V381" s="159" t="s">
        <v>34</v>
      </c>
      <c r="AB381" t="s">
        <v>34</v>
      </c>
    </row>
    <row r="382" spans="1:29" x14ac:dyDescent="0.35">
      <c r="A382">
        <f t="shared" si="137"/>
        <v>169</v>
      </c>
      <c r="B382" s="493" t="str">
        <f>B177</f>
        <v xml:space="preserve"> - 30mm Gryazev-Shipunov GSh-30-1</v>
      </c>
      <c r="C382" s="517" t="s">
        <v>562</v>
      </c>
      <c r="D382" s="518" t="s">
        <v>156</v>
      </c>
      <c r="E382" s="496" t="s">
        <v>34</v>
      </c>
      <c r="F382" s="520" t="s">
        <v>34</v>
      </c>
      <c r="G382" s="508" t="s">
        <v>34</v>
      </c>
      <c r="H382" s="508" t="s">
        <v>35</v>
      </c>
      <c r="I382" s="508" t="s">
        <v>35</v>
      </c>
      <c r="J382" s="508" t="s">
        <v>35</v>
      </c>
      <c r="K382" s="493" t="s">
        <v>562</v>
      </c>
      <c r="L382" s="493" t="s">
        <v>562</v>
      </c>
      <c r="M382" s="493"/>
      <c r="N382" s="493" t="s">
        <v>34</v>
      </c>
      <c r="O382" s="517" t="s">
        <v>181</v>
      </c>
      <c r="P382" s="517"/>
      <c r="Q382" s="493"/>
      <c r="R382">
        <f t="shared" si="144"/>
        <v>169</v>
      </c>
      <c r="V382" s="159" t="s">
        <v>34</v>
      </c>
      <c r="AB382" t="s">
        <v>34</v>
      </c>
    </row>
    <row r="383" spans="1:29" x14ac:dyDescent="0.35">
      <c r="A383">
        <f t="shared" si="137"/>
        <v>170</v>
      </c>
      <c r="B383" s="493" t="str">
        <f>B178</f>
        <v xml:space="preserve"> - Kh-35 small cruise missile</v>
      </c>
      <c r="C383" s="517" t="s">
        <v>593</v>
      </c>
      <c r="D383" s="518" t="s">
        <v>593</v>
      </c>
      <c r="E383" s="508" t="s">
        <v>35</v>
      </c>
      <c r="F383" s="508" t="s">
        <v>35</v>
      </c>
      <c r="G383" s="508" t="s">
        <v>34</v>
      </c>
      <c r="H383" s="508" t="s">
        <v>34</v>
      </c>
      <c r="I383" s="508" t="s">
        <v>34</v>
      </c>
      <c r="J383" s="508" t="s">
        <v>34</v>
      </c>
      <c r="K383" s="493" t="s">
        <v>593</v>
      </c>
      <c r="L383" s="493" t="s">
        <v>594</v>
      </c>
      <c r="M383" s="493" t="s">
        <v>595</v>
      </c>
      <c r="N383" s="493" t="s">
        <v>596</v>
      </c>
      <c r="O383" s="519" t="s">
        <v>575</v>
      </c>
      <c r="P383" s="519"/>
      <c r="Q383" s="534"/>
      <c r="R383">
        <f t="shared" si="144"/>
        <v>170</v>
      </c>
      <c r="S383" s="20"/>
      <c r="T383" s="20"/>
      <c r="U383" s="3" t="s">
        <v>34</v>
      </c>
      <c r="V383" s="159" t="s">
        <v>34</v>
      </c>
      <c r="AB383" t="s">
        <v>34</v>
      </c>
    </row>
    <row r="384" spans="1:29" x14ac:dyDescent="0.35">
      <c r="A384">
        <f t="shared" si="137"/>
        <v>171</v>
      </c>
      <c r="B384" s="493" t="str">
        <f>B179</f>
        <v>Ilyushin Il-76 Russian mil. transport</v>
      </c>
      <c r="C384" s="517" t="s">
        <v>707</v>
      </c>
      <c r="D384" s="518" t="s">
        <v>687</v>
      </c>
      <c r="E384" s="508"/>
      <c r="F384" s="508"/>
      <c r="G384" s="508" t="s">
        <v>34</v>
      </c>
      <c r="H384" s="508" t="s">
        <v>34</v>
      </c>
      <c r="I384" s="508" t="s">
        <v>34</v>
      </c>
      <c r="J384" s="508" t="s">
        <v>34</v>
      </c>
      <c r="K384" s="518" t="s">
        <v>707</v>
      </c>
      <c r="L384" s="518" t="s">
        <v>708</v>
      </c>
      <c r="M384" s="518" t="s">
        <v>709</v>
      </c>
      <c r="N384" s="518" t="s">
        <v>710</v>
      </c>
      <c r="O384" s="518" t="s">
        <v>711</v>
      </c>
      <c r="P384" s="517" t="s">
        <v>740</v>
      </c>
      <c r="Q384" s="493"/>
      <c r="R384">
        <f t="shared" si="144"/>
        <v>171</v>
      </c>
      <c r="U384" t="s">
        <v>712</v>
      </c>
      <c r="V384" s="159" t="s">
        <v>34</v>
      </c>
      <c r="AB384" t="s">
        <v>34</v>
      </c>
      <c r="AC384" s="20" t="s">
        <v>718</v>
      </c>
    </row>
    <row r="385" spans="1:29" x14ac:dyDescent="0.35">
      <c r="A385">
        <f t="shared" si="137"/>
        <v>172</v>
      </c>
      <c r="B385" s="123" t="str">
        <f>B180</f>
        <v>Boeing C-17 US mil. Transport</v>
      </c>
      <c r="C385" s="51" t="s">
        <v>719</v>
      </c>
      <c r="D385" t="s">
        <v>719</v>
      </c>
      <c r="E385" s="70" t="s">
        <v>35</v>
      </c>
      <c r="F385" s="58" t="s">
        <v>34</v>
      </c>
      <c r="G385" s="176" t="s">
        <v>34</v>
      </c>
      <c r="H385" s="58" t="s">
        <v>34</v>
      </c>
      <c r="I385" s="58" t="s">
        <v>34</v>
      </c>
      <c r="J385" s="70" t="s">
        <v>34</v>
      </c>
      <c r="K385" t="s">
        <v>719</v>
      </c>
      <c r="L385" t="s">
        <v>719</v>
      </c>
      <c r="M385" t="s">
        <v>719</v>
      </c>
      <c r="N385" t="s">
        <v>719</v>
      </c>
      <c r="O385" t="s">
        <v>719</v>
      </c>
      <c r="P385" s="51"/>
      <c r="Q385" s="123"/>
      <c r="R385">
        <f t="shared" si="144"/>
        <v>172</v>
      </c>
      <c r="V385" s="159" t="s">
        <v>34</v>
      </c>
      <c r="AB385" t="s">
        <v>34</v>
      </c>
      <c r="AC385" s="20"/>
    </row>
    <row r="386" spans="1:29" x14ac:dyDescent="0.35">
      <c r="A386">
        <f t="shared" si="137"/>
        <v>173</v>
      </c>
      <c r="B386" s="123" t="str">
        <f>B181</f>
        <v>Lockheed C-130 Hercules US mil. Transport</v>
      </c>
      <c r="C386" s="51" t="s">
        <v>720</v>
      </c>
      <c r="D386" t="s">
        <v>723</v>
      </c>
      <c r="E386" s="70" t="s">
        <v>35</v>
      </c>
      <c r="F386" s="58" t="s">
        <v>34</v>
      </c>
      <c r="G386" s="176" t="s">
        <v>34</v>
      </c>
      <c r="H386" s="58" t="s">
        <v>34</v>
      </c>
      <c r="I386" s="58" t="s">
        <v>34</v>
      </c>
      <c r="J386" s="70" t="s">
        <v>34</v>
      </c>
      <c r="K386" t="s">
        <v>720</v>
      </c>
      <c r="L386" t="s">
        <v>720</v>
      </c>
      <c r="M386" t="s">
        <v>720</v>
      </c>
      <c r="N386" t="s">
        <v>720</v>
      </c>
      <c r="O386" t="s">
        <v>720</v>
      </c>
      <c r="P386" s="51"/>
      <c r="Q386" s="123"/>
      <c r="R386">
        <f t="shared" si="144"/>
        <v>173</v>
      </c>
      <c r="V386" s="159" t="s">
        <v>34</v>
      </c>
      <c r="AB386" t="s">
        <v>34</v>
      </c>
      <c r="AC386" s="20"/>
    </row>
    <row r="387" spans="1:29" x14ac:dyDescent="0.35">
      <c r="A387">
        <f t="shared" si="137"/>
        <v>174</v>
      </c>
      <c r="B387" s="493" t="str">
        <f>B182</f>
        <v>Ilyushin Il-78 Russian fuel tanker</v>
      </c>
      <c r="C387" s="517" t="s">
        <v>685</v>
      </c>
      <c r="D387" s="518" t="s">
        <v>713</v>
      </c>
      <c r="E387" s="508" t="s">
        <v>35</v>
      </c>
      <c r="F387" s="520" t="s">
        <v>34</v>
      </c>
      <c r="G387" s="543" t="s">
        <v>34</v>
      </c>
      <c r="H387" s="520" t="s">
        <v>34</v>
      </c>
      <c r="I387" s="520" t="s">
        <v>34</v>
      </c>
      <c r="J387" s="508" t="s">
        <v>34</v>
      </c>
      <c r="K387" s="518" t="s">
        <v>685</v>
      </c>
      <c r="L387" s="518" t="s">
        <v>685</v>
      </c>
      <c r="M387" s="493" t="s">
        <v>34</v>
      </c>
      <c r="N387" s="493" t="s">
        <v>34</v>
      </c>
      <c r="O387" s="519" t="s">
        <v>685</v>
      </c>
      <c r="P387" s="519" t="s">
        <v>740</v>
      </c>
      <c r="Q387" s="534"/>
      <c r="R387">
        <f t="shared" si="144"/>
        <v>174</v>
      </c>
      <c r="S387" s="20"/>
      <c r="T387" s="20"/>
      <c r="U387" t="s">
        <v>683</v>
      </c>
      <c r="V387" s="159" t="s">
        <v>34</v>
      </c>
      <c r="AB387" t="s">
        <v>34</v>
      </c>
      <c r="AC387" t="s">
        <v>684</v>
      </c>
    </row>
    <row r="388" spans="1:29" x14ac:dyDescent="0.35">
      <c r="A388">
        <f t="shared" si="137"/>
        <v>175</v>
      </c>
      <c r="B388" s="123" t="str">
        <f>B183</f>
        <v>Boeing KC-46 Pegasus, fuel tanker, transport</v>
      </c>
      <c r="C388" s="51" t="s">
        <v>690</v>
      </c>
      <c r="D388" t="s">
        <v>690</v>
      </c>
      <c r="E388" s="70" t="s">
        <v>35</v>
      </c>
      <c r="F388" s="58" t="s">
        <v>34</v>
      </c>
      <c r="G388" s="176" t="s">
        <v>34</v>
      </c>
      <c r="H388" s="58" t="s">
        <v>34</v>
      </c>
      <c r="I388" s="58" t="s">
        <v>34</v>
      </c>
      <c r="J388" s="70" t="s">
        <v>34</v>
      </c>
      <c r="K388" t="s">
        <v>690</v>
      </c>
      <c r="L388" t="s">
        <v>690</v>
      </c>
      <c r="M388" t="s">
        <v>690</v>
      </c>
      <c r="N388" t="s">
        <v>34</v>
      </c>
      <c r="O388" t="s">
        <v>690</v>
      </c>
      <c r="P388" s="51"/>
      <c r="Q388" s="123"/>
      <c r="R388">
        <f t="shared" si="144"/>
        <v>175</v>
      </c>
      <c r="U388" t="s">
        <v>690</v>
      </c>
      <c r="V388" s="159" t="s">
        <v>34</v>
      </c>
      <c r="AB388" t="s">
        <v>34</v>
      </c>
    </row>
    <row r="389" spans="1:29" x14ac:dyDescent="0.35">
      <c r="A389">
        <f t="shared" si="137"/>
        <v>176</v>
      </c>
      <c r="B389" s="123" t="str">
        <f>B184</f>
        <v>Boeing MQ-25 unmanned stealth fuel tanker</v>
      </c>
      <c r="C389" s="51" t="s">
        <v>1377</v>
      </c>
      <c r="D389" t="s">
        <v>34</v>
      </c>
      <c r="E389" s="70"/>
      <c r="F389" s="58"/>
      <c r="G389" s="176"/>
      <c r="H389" s="58"/>
      <c r="I389" s="58"/>
      <c r="J389" s="70"/>
      <c r="P389" s="51"/>
      <c r="Q389" s="123"/>
      <c r="R389">
        <f t="shared" si="144"/>
        <v>176</v>
      </c>
    </row>
    <row r="390" spans="1:29" x14ac:dyDescent="0.35">
      <c r="A390">
        <f t="shared" si="137"/>
        <v>177</v>
      </c>
      <c r="B390" s="123" t="str">
        <f>B185</f>
        <v>AWACS E3 Sentry (radar and command legacy)</v>
      </c>
      <c r="C390" s="51" t="s">
        <v>607</v>
      </c>
      <c r="D390" t="s">
        <v>608</v>
      </c>
      <c r="E390" s="70" t="s">
        <v>35</v>
      </c>
      <c r="F390" s="58" t="s">
        <v>34</v>
      </c>
      <c r="G390" s="176" t="s">
        <v>34</v>
      </c>
      <c r="H390" s="58" t="s">
        <v>34</v>
      </c>
      <c r="I390" s="58" t="s">
        <v>34</v>
      </c>
      <c r="J390" s="70" t="s">
        <v>34</v>
      </c>
      <c r="K390" t="s">
        <v>607</v>
      </c>
      <c r="L390" t="s">
        <v>607</v>
      </c>
      <c r="M390" s="123" t="s">
        <v>34</v>
      </c>
      <c r="N390" s="123" t="s">
        <v>760</v>
      </c>
      <c r="O390" s="31" t="s">
        <v>607</v>
      </c>
      <c r="P390" s="31"/>
      <c r="Q390" s="149"/>
      <c r="R390">
        <f t="shared" si="144"/>
        <v>177</v>
      </c>
      <c r="S390" s="20"/>
      <c r="T390" s="20"/>
      <c r="U390" s="3" t="s">
        <v>34</v>
      </c>
      <c r="V390" s="159" t="s">
        <v>34</v>
      </c>
      <c r="AB390" t="s">
        <v>34</v>
      </c>
    </row>
    <row r="391" spans="1:29" x14ac:dyDescent="0.35">
      <c r="A391">
        <f t="shared" si="137"/>
        <v>178</v>
      </c>
      <c r="B391" s="123" t="str">
        <f>B186</f>
        <v>Boeing E-7 Wedgetail AWACS replacement</v>
      </c>
      <c r="C391" s="51" t="s">
        <v>755</v>
      </c>
      <c r="D391" t="s">
        <v>755</v>
      </c>
      <c r="E391" s="70" t="s">
        <v>35</v>
      </c>
      <c r="F391" s="58" t="s">
        <v>34</v>
      </c>
      <c r="G391" s="176" t="s">
        <v>34</v>
      </c>
      <c r="H391" s="58" t="s">
        <v>34</v>
      </c>
      <c r="I391" s="58" t="s">
        <v>34</v>
      </c>
      <c r="J391" s="70" t="s">
        <v>34</v>
      </c>
      <c r="K391" t="s">
        <v>755</v>
      </c>
      <c r="L391" t="s">
        <v>755</v>
      </c>
      <c r="M391" t="s">
        <v>755</v>
      </c>
      <c r="N391" t="s">
        <v>755</v>
      </c>
      <c r="O391" t="s">
        <v>755</v>
      </c>
      <c r="P391" s="31"/>
      <c r="Q391" s="149"/>
      <c r="R391">
        <f t="shared" si="144"/>
        <v>178</v>
      </c>
      <c r="S391" s="20"/>
      <c r="T391" s="20"/>
      <c r="U391" s="3" t="s">
        <v>756</v>
      </c>
      <c r="V391" s="159" t="s">
        <v>34</v>
      </c>
      <c r="AB391" t="s">
        <v>34</v>
      </c>
    </row>
    <row r="392" spans="1:29" x14ac:dyDescent="0.35">
      <c r="A392">
        <f t="shared" si="137"/>
        <v>179</v>
      </c>
      <c r="B392" s="123" t="str">
        <f>B187</f>
        <v>E-2D Hawkeye Navy version, radar and command aircraft. Every US aircraft carrier has 4 Hawkeye aircraft</v>
      </c>
      <c r="C392" s="51" t="s">
        <v>1288</v>
      </c>
      <c r="D392" s="51" t="s">
        <v>1288</v>
      </c>
      <c r="E392" s="70" t="s">
        <v>35</v>
      </c>
      <c r="F392" s="58" t="s">
        <v>34</v>
      </c>
      <c r="G392" s="176" t="s">
        <v>34</v>
      </c>
      <c r="H392" s="58" t="s">
        <v>34</v>
      </c>
      <c r="I392" s="58" t="s">
        <v>34</v>
      </c>
      <c r="J392" s="70" t="s">
        <v>34</v>
      </c>
      <c r="K392" t="s">
        <v>35</v>
      </c>
      <c r="L392" t="s">
        <v>1288</v>
      </c>
      <c r="M392" t="s">
        <v>1298</v>
      </c>
      <c r="N392" t="s">
        <v>1288</v>
      </c>
      <c r="O392" t="s">
        <v>1288</v>
      </c>
      <c r="P392" s="31"/>
      <c r="Q392" s="149"/>
      <c r="R392">
        <f t="shared" si="144"/>
        <v>179</v>
      </c>
      <c r="S392" s="20"/>
      <c r="T392" s="20"/>
      <c r="U392" s="3"/>
      <c r="V392" s="159" t="s">
        <v>34</v>
      </c>
      <c r="AB392" t="s">
        <v>34</v>
      </c>
    </row>
    <row r="393" spans="1:29" x14ac:dyDescent="0.35">
      <c r="A393">
        <f t="shared" si="137"/>
        <v>180</v>
      </c>
      <c r="B393" s="123" t="str">
        <f>B188</f>
        <v>E-2D Hawkeye Air F. version, radar and command aircraft. Used from land airports has more fuel because less structure is needed when not used on carrier. Increases flight time to 8H up from 6H. Otherwise the same.</v>
      </c>
      <c r="C393" s="51" t="s">
        <v>1287</v>
      </c>
      <c r="D393" s="51" t="s">
        <v>1287</v>
      </c>
      <c r="E393" s="70"/>
      <c r="F393" s="58"/>
      <c r="G393" s="176"/>
      <c r="H393" s="58"/>
      <c r="I393" s="58"/>
      <c r="J393" s="70"/>
      <c r="K393" t="s">
        <v>35</v>
      </c>
      <c r="L393" t="s">
        <v>1287</v>
      </c>
      <c r="M393" t="s">
        <v>1298</v>
      </c>
      <c r="N393" t="s">
        <v>1287</v>
      </c>
      <c r="O393" t="s">
        <v>1287</v>
      </c>
      <c r="P393" s="31"/>
      <c r="Q393" s="149"/>
      <c r="R393">
        <f t="shared" si="144"/>
        <v>180</v>
      </c>
      <c r="S393" s="20"/>
      <c r="T393" s="20"/>
      <c r="U393" s="3"/>
      <c r="V393" s="159" t="s">
        <v>34</v>
      </c>
      <c r="AB393" t="s">
        <v>34</v>
      </c>
    </row>
    <row r="394" spans="1:29" x14ac:dyDescent="0.35">
      <c r="A394">
        <f t="shared" si="137"/>
        <v>181</v>
      </c>
      <c r="B394" s="123" t="str">
        <f>B189</f>
        <v>Saab 340 AEW&amp;C radar and control airplane, 2 pledged for Ukraine by Sweden on May 2024</v>
      </c>
      <c r="C394" s="51" t="s">
        <v>751</v>
      </c>
      <c r="E394" s="70" t="s">
        <v>35</v>
      </c>
      <c r="F394" s="58" t="s">
        <v>34</v>
      </c>
      <c r="G394" s="176" t="s">
        <v>34</v>
      </c>
      <c r="H394" s="58" t="s">
        <v>34</v>
      </c>
      <c r="I394" s="58" t="s">
        <v>34</v>
      </c>
      <c r="J394" s="70" t="s">
        <v>34</v>
      </c>
      <c r="K394" t="s">
        <v>751</v>
      </c>
      <c r="L394" t="s">
        <v>751</v>
      </c>
      <c r="M394" t="s">
        <v>751</v>
      </c>
      <c r="N394" t="s">
        <v>751</v>
      </c>
      <c r="O394" t="s">
        <v>751</v>
      </c>
      <c r="P394" s="31"/>
      <c r="Q394" s="149"/>
      <c r="R394">
        <f t="shared" si="144"/>
        <v>181</v>
      </c>
      <c r="S394" s="20"/>
      <c r="T394" s="20"/>
      <c r="U394" s="3"/>
      <c r="V394" s="159" t="s">
        <v>34</v>
      </c>
      <c r="AB394" t="s">
        <v>34</v>
      </c>
    </row>
    <row r="395" spans="1:29" x14ac:dyDescent="0.35">
      <c r="A395">
        <f t="shared" si="137"/>
        <v>182</v>
      </c>
      <c r="B395" s="493" t="str">
        <f>B190</f>
        <v>Beriev A-50 (Russian AWACS, legacy)</v>
      </c>
      <c r="C395" s="519" t="s">
        <v>604</v>
      </c>
      <c r="D395" s="544" t="s">
        <v>605</v>
      </c>
      <c r="E395" s="508" t="s">
        <v>35</v>
      </c>
      <c r="F395" s="520" t="s">
        <v>34</v>
      </c>
      <c r="G395" s="543" t="s">
        <v>34</v>
      </c>
      <c r="H395" s="520" t="s">
        <v>34</v>
      </c>
      <c r="I395" s="520" t="s">
        <v>34</v>
      </c>
      <c r="J395" s="508" t="s">
        <v>34</v>
      </c>
      <c r="K395" s="534" t="s">
        <v>604</v>
      </c>
      <c r="L395" s="493" t="s">
        <v>606</v>
      </c>
      <c r="M395" s="493" t="s">
        <v>34</v>
      </c>
      <c r="N395" s="493" t="s">
        <v>34</v>
      </c>
      <c r="O395" s="517" t="s">
        <v>604</v>
      </c>
      <c r="P395" s="517" t="s">
        <v>740</v>
      </c>
      <c r="Q395" s="493"/>
      <c r="R395">
        <f t="shared" si="144"/>
        <v>182</v>
      </c>
      <c r="U395" t="s">
        <v>699</v>
      </c>
      <c r="V395" s="159" t="s">
        <v>34</v>
      </c>
      <c r="AB395" t="s">
        <v>34</v>
      </c>
    </row>
    <row r="396" spans="1:29" x14ac:dyDescent="0.35">
      <c r="A396">
        <f t="shared" si="137"/>
        <v>183</v>
      </c>
      <c r="B396" s="493" t="str">
        <f>B191</f>
        <v>Ka-52M Russian combat helicopter no refuel midair</v>
      </c>
      <c r="C396" s="517" t="s">
        <v>619</v>
      </c>
      <c r="D396" s="520" t="s">
        <v>619</v>
      </c>
      <c r="E396" s="508" t="s">
        <v>35</v>
      </c>
      <c r="F396" s="508" t="s">
        <v>35</v>
      </c>
      <c r="G396" s="508" t="s">
        <v>34</v>
      </c>
      <c r="H396" s="508" t="s">
        <v>34</v>
      </c>
      <c r="I396" s="508" t="s">
        <v>34</v>
      </c>
      <c r="J396" s="508" t="s">
        <v>34</v>
      </c>
      <c r="K396" s="493" t="s">
        <v>619</v>
      </c>
      <c r="L396" s="493" t="s">
        <v>619</v>
      </c>
      <c r="M396" s="493" t="s">
        <v>34</v>
      </c>
      <c r="N396" s="493" t="s">
        <v>619</v>
      </c>
      <c r="O396" s="517" t="s">
        <v>620</v>
      </c>
      <c r="P396" s="517" t="s">
        <v>740</v>
      </c>
      <c r="Q396" s="493"/>
      <c r="R396">
        <f t="shared" si="144"/>
        <v>183</v>
      </c>
      <c r="U396" s="3" t="s">
        <v>34</v>
      </c>
      <c r="V396" s="159" t="s">
        <v>34</v>
      </c>
      <c r="AB396" t="s">
        <v>34</v>
      </c>
    </row>
    <row r="397" spans="1:29" x14ac:dyDescent="0.35">
      <c r="A397">
        <f t="shared" si="137"/>
        <v>184</v>
      </c>
      <c r="B397" s="493" t="str">
        <f>B192</f>
        <v xml:space="preserve"> - Khrizantema-9M123 antitank missile</v>
      </c>
      <c r="C397" s="517" t="s">
        <v>613</v>
      </c>
      <c r="D397" s="520" t="s">
        <v>439</v>
      </c>
      <c r="E397" s="508" t="s">
        <v>35</v>
      </c>
      <c r="F397" s="508" t="s">
        <v>35</v>
      </c>
      <c r="G397" s="508" t="s">
        <v>35</v>
      </c>
      <c r="H397" s="508" t="s">
        <v>34</v>
      </c>
      <c r="I397" s="508" t="s">
        <v>34</v>
      </c>
      <c r="J397" s="508" t="s">
        <v>34</v>
      </c>
      <c r="K397" s="493" t="s">
        <v>613</v>
      </c>
      <c r="L397" s="493" t="s">
        <v>613</v>
      </c>
      <c r="M397" s="493" t="s">
        <v>35</v>
      </c>
      <c r="N397" s="493" t="s">
        <v>613</v>
      </c>
      <c r="O397" s="517" t="s">
        <v>439</v>
      </c>
      <c r="P397" s="517"/>
      <c r="Q397" s="493"/>
      <c r="R397">
        <f t="shared" si="144"/>
        <v>184</v>
      </c>
      <c r="U397" s="3" t="s">
        <v>34</v>
      </c>
      <c r="V397" s="159" t="s">
        <v>34</v>
      </c>
      <c r="AB397" t="s">
        <v>34</v>
      </c>
    </row>
    <row r="398" spans="1:29" x14ac:dyDescent="0.35">
      <c r="A398">
        <f t="shared" si="137"/>
        <v>185</v>
      </c>
      <c r="B398" s="493" t="str">
        <f>B193</f>
        <v xml:space="preserve"> - LMUR antitank missile</v>
      </c>
      <c r="C398" s="517" t="s">
        <v>611</v>
      </c>
      <c r="D398" s="545" t="s">
        <v>616</v>
      </c>
      <c r="E398" s="508" t="s">
        <v>35</v>
      </c>
      <c r="F398" s="508" t="s">
        <v>35</v>
      </c>
      <c r="G398" s="508" t="s">
        <v>35</v>
      </c>
      <c r="H398" s="508" t="s">
        <v>34</v>
      </c>
      <c r="I398" s="508" t="s">
        <v>34</v>
      </c>
      <c r="J398" s="508" t="s">
        <v>34</v>
      </c>
      <c r="K398" s="493" t="s">
        <v>611</v>
      </c>
      <c r="L398" s="493" t="s">
        <v>616</v>
      </c>
      <c r="M398" s="493" t="s">
        <v>35</v>
      </c>
      <c r="N398" s="493" t="s">
        <v>616</v>
      </c>
      <c r="O398" s="518" t="s">
        <v>617</v>
      </c>
      <c r="P398" s="517"/>
      <c r="Q398" s="493"/>
      <c r="R398">
        <f t="shared" si="144"/>
        <v>185</v>
      </c>
      <c r="U398" s="3" t="s">
        <v>34</v>
      </c>
      <c r="V398" s="159" t="s">
        <v>34</v>
      </c>
      <c r="AB398" t="s">
        <v>34</v>
      </c>
    </row>
    <row r="399" spans="1:29" x14ac:dyDescent="0.35">
      <c r="A399">
        <f t="shared" si="137"/>
        <v>186</v>
      </c>
      <c r="B399" s="493" t="str">
        <f>B194</f>
        <v>Mi-28NM Russian combat helicopter, no refuel midair</v>
      </c>
      <c r="C399" s="517" t="s">
        <v>622</v>
      </c>
      <c r="D399" s="520" t="s">
        <v>623</v>
      </c>
      <c r="E399" s="508" t="s">
        <v>35</v>
      </c>
      <c r="F399" s="508" t="s">
        <v>35</v>
      </c>
      <c r="G399" s="508" t="s">
        <v>34</v>
      </c>
      <c r="H399" s="508" t="s">
        <v>34</v>
      </c>
      <c r="I399" s="508" t="s">
        <v>34</v>
      </c>
      <c r="J399" s="508" t="s">
        <v>34</v>
      </c>
      <c r="K399" s="493" t="s">
        <v>622</v>
      </c>
      <c r="L399" s="493" t="s">
        <v>622</v>
      </c>
      <c r="M399" s="493" t="s">
        <v>35</v>
      </c>
      <c r="N399" s="493" t="s">
        <v>622</v>
      </c>
      <c r="O399" s="517" t="s">
        <v>622</v>
      </c>
      <c r="P399" s="519" t="s">
        <v>740</v>
      </c>
      <c r="Q399" s="493"/>
      <c r="R399">
        <f t="shared" si="144"/>
        <v>186</v>
      </c>
      <c r="U399" s="3" t="s">
        <v>34</v>
      </c>
      <c r="V399" s="159" t="s">
        <v>34</v>
      </c>
      <c r="AB399" t="s">
        <v>34</v>
      </c>
    </row>
    <row r="400" spans="1:29" x14ac:dyDescent="0.35">
      <c r="A400">
        <f t="shared" si="137"/>
        <v>187</v>
      </c>
      <c r="B400" s="123" t="str">
        <f>B195</f>
        <v>AH-64 Apache US attack helicoper</v>
      </c>
      <c r="C400" s="51" t="s">
        <v>904</v>
      </c>
      <c r="D400" s="51" t="s">
        <v>916</v>
      </c>
      <c r="E400" s="70" t="s">
        <v>35</v>
      </c>
      <c r="F400" s="70" t="s">
        <v>35</v>
      </c>
      <c r="G400" s="70" t="s">
        <v>34</v>
      </c>
      <c r="H400" s="70" t="s">
        <v>34</v>
      </c>
      <c r="I400" s="70" t="s">
        <v>34</v>
      </c>
      <c r="J400" s="70" t="s">
        <v>34</v>
      </c>
      <c r="K400" s="123" t="s">
        <v>904</v>
      </c>
      <c r="L400" s="123" t="s">
        <v>904</v>
      </c>
      <c r="M400" s="123" t="s">
        <v>35</v>
      </c>
      <c r="N400" s="123" t="s">
        <v>904</v>
      </c>
      <c r="O400" s="123" t="s">
        <v>904</v>
      </c>
      <c r="P400" s="85"/>
      <c r="Q400" s="123"/>
      <c r="R400">
        <f t="shared" si="144"/>
        <v>187</v>
      </c>
      <c r="U400" s="3"/>
      <c r="V400" s="159" t="s">
        <v>34</v>
      </c>
      <c r="AB400" t="s">
        <v>34</v>
      </c>
    </row>
    <row r="401" spans="1:28" x14ac:dyDescent="0.35">
      <c r="A401">
        <f t="shared" si="137"/>
        <v>188</v>
      </c>
      <c r="B401" s="123" t="str">
        <f>B196</f>
        <v xml:space="preserve"> - M230, 30mm machine gun 1200 rounds</v>
      </c>
      <c r="C401" s="51" t="s">
        <v>451</v>
      </c>
      <c r="D401" s="58" t="s">
        <v>917</v>
      </c>
      <c r="E401" s="70" t="s">
        <v>35</v>
      </c>
      <c r="F401" s="70" t="s">
        <v>35</v>
      </c>
      <c r="G401" s="70" t="s">
        <v>34</v>
      </c>
      <c r="H401" s="70" t="s">
        <v>34</v>
      </c>
      <c r="I401" s="70" t="s">
        <v>34</v>
      </c>
      <c r="J401" s="70" t="s">
        <v>34</v>
      </c>
      <c r="K401" s="123" t="s">
        <v>451</v>
      </c>
      <c r="L401" s="123" t="s">
        <v>451</v>
      </c>
      <c r="M401" s="123" t="s">
        <v>35</v>
      </c>
      <c r="N401" s="123" t="s">
        <v>451</v>
      </c>
      <c r="O401" s="51" t="s">
        <v>439</v>
      </c>
      <c r="P401" s="85"/>
      <c r="Q401" s="123"/>
      <c r="R401">
        <f t="shared" si="144"/>
        <v>188</v>
      </c>
      <c r="U401" s="3"/>
      <c r="V401" s="159" t="s">
        <v>34</v>
      </c>
      <c r="AB401" t="s">
        <v>34</v>
      </c>
    </row>
    <row r="402" spans="1:28" x14ac:dyDescent="0.35">
      <c r="A402">
        <f t="shared" si="137"/>
        <v>189</v>
      </c>
      <c r="B402" s="123" t="str">
        <f>B197</f>
        <v xml:space="preserve"> - AGM-114 Hellfire missile, any aircraft</v>
      </c>
      <c r="C402" s="51"/>
      <c r="D402" s="58" t="str">
        <f>D365</f>
        <v>https://en.wikipedia.org/wiki/AGM-114_Hellfire</v>
      </c>
      <c r="E402" s="70" t="s">
        <v>88</v>
      </c>
      <c r="F402" s="58" t="s">
        <v>34</v>
      </c>
      <c r="G402" s="176" t="s">
        <v>34</v>
      </c>
      <c r="H402" s="58" t="s">
        <v>34</v>
      </c>
      <c r="I402" s="58" t="s">
        <v>34</v>
      </c>
      <c r="J402" s="70" t="s">
        <v>34</v>
      </c>
      <c r="K402" s="123"/>
      <c r="L402" s="123"/>
      <c r="M402" s="123" t="s">
        <v>35</v>
      </c>
      <c r="N402" s="123"/>
      <c r="O402" s="51"/>
      <c r="P402" s="85"/>
      <c r="Q402" s="123"/>
      <c r="R402">
        <f t="shared" si="144"/>
        <v>189</v>
      </c>
      <c r="U402" s="3"/>
      <c r="V402" s="159" t="s">
        <v>34</v>
      </c>
      <c r="AB402" t="s">
        <v>34</v>
      </c>
    </row>
    <row r="403" spans="1:28" x14ac:dyDescent="0.35">
      <c r="A403">
        <f t="shared" si="137"/>
        <v>190</v>
      </c>
      <c r="B403" s="123" t="str">
        <f>B198</f>
        <v xml:space="preserve"> - AGM-179 JAGM missile any aircraft</v>
      </c>
      <c r="C403" s="51"/>
      <c r="D403" s="58" t="str">
        <f>D366</f>
        <v>https://en.wikipedia.org/wiki/AGM-179_JAGM</v>
      </c>
      <c r="E403" s="70" t="s">
        <v>88</v>
      </c>
      <c r="F403" s="58" t="s">
        <v>34</v>
      </c>
      <c r="G403" s="176" t="s">
        <v>34</v>
      </c>
      <c r="H403" s="58" t="s">
        <v>34</v>
      </c>
      <c r="I403" s="58" t="s">
        <v>34</v>
      </c>
      <c r="J403" s="70" t="s">
        <v>34</v>
      </c>
      <c r="K403" s="123"/>
      <c r="L403" s="123"/>
      <c r="M403" s="123" t="s">
        <v>35</v>
      </c>
      <c r="N403" s="123"/>
      <c r="O403" s="51"/>
      <c r="P403" s="85"/>
      <c r="Q403" s="123"/>
      <c r="R403">
        <f t="shared" si="144"/>
        <v>190</v>
      </c>
      <c r="U403" s="3"/>
      <c r="V403" s="159" t="s">
        <v>34</v>
      </c>
      <c r="AB403" t="s">
        <v>34</v>
      </c>
    </row>
    <row r="404" spans="1:28" x14ac:dyDescent="0.35">
      <c r="A404">
        <f t="shared" si="137"/>
        <v>191</v>
      </c>
      <c r="B404" s="123" t="str">
        <f>B199</f>
        <v>Sikorsky CH-53K-E, heavy lift helicopter, US</v>
      </c>
      <c r="C404" s="51" t="s">
        <v>1218</v>
      </c>
      <c r="D404" s="58"/>
      <c r="E404" s="70" t="s">
        <v>35</v>
      </c>
      <c r="F404" s="58" t="s">
        <v>34</v>
      </c>
      <c r="G404" s="176" t="s">
        <v>34</v>
      </c>
      <c r="H404" s="58" t="s">
        <v>34</v>
      </c>
      <c r="I404" s="58" t="s">
        <v>34</v>
      </c>
      <c r="J404" s="70" t="s">
        <v>34</v>
      </c>
      <c r="K404" s="123" t="s">
        <v>1218</v>
      </c>
      <c r="L404" s="123" t="s">
        <v>1218</v>
      </c>
      <c r="M404" s="123" t="s">
        <v>35</v>
      </c>
      <c r="N404" s="123" t="s">
        <v>1218</v>
      </c>
      <c r="O404" s="123" t="s">
        <v>1218</v>
      </c>
      <c r="P404" s="123" t="s">
        <v>1218</v>
      </c>
      <c r="Q404" s="123"/>
      <c r="R404">
        <f t="shared" si="144"/>
        <v>191</v>
      </c>
      <c r="U404" s="3"/>
      <c r="V404" s="159" t="s">
        <v>34</v>
      </c>
      <c r="AB404" t="s">
        <v>34</v>
      </c>
    </row>
    <row r="405" spans="1:28" x14ac:dyDescent="0.35">
      <c r="A405">
        <f t="shared" si="137"/>
        <v>192</v>
      </c>
      <c r="B405" s="493" t="str">
        <f>B200</f>
        <v>Mi-26 Russian heavy transport helicopter</v>
      </c>
      <c r="C405" s="517" t="s">
        <v>810</v>
      </c>
      <c r="D405" s="546" t="s">
        <v>809</v>
      </c>
      <c r="E405" s="508" t="s">
        <v>35</v>
      </c>
      <c r="F405" s="508" t="s">
        <v>35</v>
      </c>
      <c r="G405" s="508" t="s">
        <v>34</v>
      </c>
      <c r="H405" s="508" t="s">
        <v>34</v>
      </c>
      <c r="I405" s="508" t="s">
        <v>34</v>
      </c>
      <c r="J405" s="508" t="s">
        <v>34</v>
      </c>
      <c r="K405" s="493" t="s">
        <v>810</v>
      </c>
      <c r="L405" s="493" t="s">
        <v>810</v>
      </c>
      <c r="M405" s="493" t="s">
        <v>35</v>
      </c>
      <c r="N405" s="493" t="s">
        <v>810</v>
      </c>
      <c r="O405" s="493" t="s">
        <v>810</v>
      </c>
      <c r="P405" s="519" t="s">
        <v>740</v>
      </c>
      <c r="Q405" s="493"/>
      <c r="R405">
        <f t="shared" si="144"/>
        <v>192</v>
      </c>
      <c r="U405" s="3"/>
      <c r="V405" s="159" t="s">
        <v>34</v>
      </c>
      <c r="AB405" t="s">
        <v>34</v>
      </c>
    </row>
    <row r="406" spans="1:28" x14ac:dyDescent="0.35">
      <c r="A406">
        <f t="shared" si="137"/>
        <v>193</v>
      </c>
      <c r="B406" s="493" t="str">
        <f>B201</f>
        <v>Mil Mi-8 RUS transport and medical helicopter</v>
      </c>
      <c r="C406" s="517" t="s">
        <v>815</v>
      </c>
      <c r="D406" s="546" t="s">
        <v>814</v>
      </c>
      <c r="E406" s="508" t="s">
        <v>35</v>
      </c>
      <c r="F406" s="508" t="s">
        <v>35</v>
      </c>
      <c r="G406" s="508" t="s">
        <v>34</v>
      </c>
      <c r="H406" s="508" t="s">
        <v>34</v>
      </c>
      <c r="I406" s="508" t="s">
        <v>34</v>
      </c>
      <c r="J406" s="508" t="s">
        <v>34</v>
      </c>
      <c r="K406" s="493" t="s">
        <v>815</v>
      </c>
      <c r="L406" s="493" t="s">
        <v>816</v>
      </c>
      <c r="M406" s="493" t="s">
        <v>35</v>
      </c>
      <c r="N406" s="493" t="s">
        <v>817</v>
      </c>
      <c r="O406" s="493" t="s">
        <v>818</v>
      </c>
      <c r="P406" s="517" t="s">
        <v>740</v>
      </c>
      <c r="Q406" s="493"/>
      <c r="R406">
        <f t="shared" si="144"/>
        <v>193</v>
      </c>
      <c r="U406" s="3"/>
      <c r="V406" s="159" t="s">
        <v>34</v>
      </c>
      <c r="AB406" t="s">
        <v>34</v>
      </c>
    </row>
    <row r="407" spans="1:28" x14ac:dyDescent="0.35">
      <c r="A407">
        <f t="shared" si="137"/>
        <v>194</v>
      </c>
      <c r="B407" s="123"/>
      <c r="C407" s="51"/>
      <c r="D407" s="468"/>
      <c r="E407" s="70"/>
      <c r="F407" s="70"/>
      <c r="G407" s="70"/>
      <c r="H407" s="70"/>
      <c r="I407" s="70"/>
      <c r="J407" s="70"/>
      <c r="K407" s="123"/>
      <c r="L407" s="123"/>
      <c r="M407" s="123"/>
      <c r="N407" s="123"/>
      <c r="O407" s="51"/>
      <c r="P407" s="51"/>
      <c r="Q407" s="123"/>
      <c r="R407">
        <f t="shared" si="144"/>
        <v>194</v>
      </c>
      <c r="U407" s="3"/>
      <c r="V407" s="159" t="s">
        <v>34</v>
      </c>
      <c r="AB407" t="s">
        <v>34</v>
      </c>
    </row>
    <row r="408" spans="1:28" x14ac:dyDescent="0.35">
      <c r="A408">
        <f t="shared" si="137"/>
        <v>195</v>
      </c>
      <c r="B408" s="123"/>
      <c r="C408" s="51"/>
      <c r="D408" s="468"/>
      <c r="E408" s="70"/>
      <c r="F408" s="70"/>
      <c r="G408" s="70"/>
      <c r="H408" s="70"/>
      <c r="I408" s="70"/>
      <c r="J408" s="70"/>
      <c r="K408" s="123"/>
      <c r="L408" s="123"/>
      <c r="M408" s="123"/>
      <c r="N408" s="123"/>
      <c r="O408" s="51"/>
      <c r="P408" s="51"/>
      <c r="Q408" s="123"/>
      <c r="R408">
        <f t="shared" si="144"/>
        <v>195</v>
      </c>
      <c r="U408" s="3"/>
      <c r="V408" s="159" t="s">
        <v>34</v>
      </c>
      <c r="AB408" t="s">
        <v>34</v>
      </c>
    </row>
    <row r="409" spans="1:28" x14ac:dyDescent="0.35">
      <c r="A409">
        <f t="shared" si="137"/>
        <v>196</v>
      </c>
      <c r="B409" s="123"/>
      <c r="C409" s="51"/>
      <c r="K409" s="123"/>
      <c r="L409" s="123"/>
      <c r="M409" s="123"/>
      <c r="N409" s="123"/>
      <c r="O409" s="51"/>
      <c r="P409" s="51"/>
      <c r="Q409" s="123"/>
      <c r="R409">
        <f t="shared" si="144"/>
        <v>196</v>
      </c>
      <c r="U409" s="3"/>
      <c r="V409" s="159" t="s">
        <v>34</v>
      </c>
      <c r="AB409" t="s">
        <v>34</v>
      </c>
    </row>
    <row r="410" spans="1:28" x14ac:dyDescent="0.35">
      <c r="A410">
        <f t="shared" ref="A410:A411" si="145">A409+1</f>
        <v>197</v>
      </c>
      <c r="B410" s="123"/>
      <c r="C410" s="51"/>
      <c r="K410" s="123"/>
      <c r="L410" s="123"/>
      <c r="M410" s="123"/>
      <c r="N410" s="51"/>
      <c r="O410" s="51"/>
      <c r="P410" s="51"/>
      <c r="Q410" s="123"/>
      <c r="R410">
        <f t="shared" si="144"/>
        <v>197</v>
      </c>
      <c r="U410" s="3" t="s">
        <v>34</v>
      </c>
      <c r="V410" s="159" t="s">
        <v>34</v>
      </c>
      <c r="AB410" t="s">
        <v>34</v>
      </c>
    </row>
    <row r="411" spans="1:28" ht="15" thickBot="1" x14ac:dyDescent="0.4">
      <c r="A411">
        <f t="shared" si="145"/>
        <v>198</v>
      </c>
      <c r="B411" s="112"/>
      <c r="C411" s="17"/>
      <c r="D411" s="14"/>
      <c r="E411" s="14"/>
      <c r="F411" s="14"/>
      <c r="G411" s="14"/>
      <c r="H411" s="14"/>
      <c r="I411" s="14"/>
      <c r="J411" s="28"/>
      <c r="K411" s="112"/>
      <c r="L411" s="112"/>
      <c r="M411" s="112"/>
      <c r="N411" s="17"/>
      <c r="O411" s="17"/>
      <c r="P411" s="17"/>
      <c r="Q411" s="112"/>
      <c r="R411">
        <f t="shared" si="144"/>
        <v>198</v>
      </c>
      <c r="U411" s="3" t="s">
        <v>34</v>
      </c>
      <c r="V411" s="159" t="s">
        <v>34</v>
      </c>
      <c r="AB411" t="s">
        <v>34</v>
      </c>
    </row>
    <row r="412" spans="1:28" ht="15" thickTop="1" x14ac:dyDescent="0.35"/>
  </sheetData>
  <phoneticPr fontId="8" type="noConversion"/>
  <hyperlinks>
    <hyperlink ref="D218" r:id="rId1" xr:uid="{617574D0-154B-406F-ABED-37EFE6169D16}"/>
    <hyperlink ref="K240" r:id="rId2" xr:uid="{7B3A7752-1FA2-4D2C-9E5C-B1D6915A7BE8}"/>
    <hyperlink ref="D264" r:id="rId3" xr:uid="{1FEDC223-9918-4E8F-8DFB-5B1CAF4D83F5}"/>
    <hyperlink ref="D215" r:id="rId4" xr:uid="{EF57936D-EC83-4F86-BCFB-A44CB978FD11}"/>
    <hyperlink ref="D225" r:id="rId5" xr:uid="{B38E383C-5111-4A91-82C9-62DD88D63D7D}"/>
    <hyperlink ref="D226" r:id="rId6" xr:uid="{FA8A52D7-C316-4F5F-8D6F-6E8079184919}"/>
    <hyperlink ref="D227" r:id="rId7" xr:uid="{A2F160E5-2EF7-46CA-A2EC-43AFE0B26528}"/>
    <hyperlink ref="N263" r:id="rId8" xr:uid="{11AD6390-D6CA-46B7-8CCE-EAEC3260E027}"/>
    <hyperlink ref="N225" r:id="rId9" xr:uid="{5F656278-C68E-4A44-9A3B-68BB8411BD05}"/>
    <hyperlink ref="D231" r:id="rId10" xr:uid="{B9B987A8-AEA7-4550-A0E6-683A46DDDC10}"/>
    <hyperlink ref="D232" r:id="rId11" xr:uid="{BD83CB91-9B8B-4A90-A6B3-DD5B0D252C06}"/>
    <hyperlink ref="D236" r:id="rId12" xr:uid="{9B26B9B4-9FD1-4869-A123-8122593480DE}"/>
    <hyperlink ref="K234" r:id="rId13" xr:uid="{4FEC5E02-4D04-4F2D-A702-AC628E46F278}"/>
    <hyperlink ref="D230" r:id="rId14" xr:uid="{72506C61-A04D-417A-B4E9-831823C53C58}"/>
    <hyperlink ref="N227" r:id="rId15" xr:uid="{22130153-30A8-45C9-8D79-8ACA5A7E5D33}"/>
    <hyperlink ref="K227" r:id="rId16" xr:uid="{1A932006-50E5-4DF3-B107-FEDCCB38F1CB}"/>
    <hyperlink ref="K228" r:id="rId17" xr:uid="{43CDC700-093E-467D-9D0D-F96F24A27B49}"/>
    <hyperlink ref="N215" r:id="rId18" xr:uid="{15FF9207-7404-4172-96C1-2FF619A84BEC}"/>
    <hyperlink ref="L215" r:id="rId19" xr:uid="{4C402D29-91D7-46EC-AE2D-A3377DDE03EA}"/>
    <hyperlink ref="N229" r:id="rId20" xr:uid="{47E2287A-685B-4704-9883-10759C0BCA8E}"/>
    <hyperlink ref="K232" r:id="rId21" xr:uid="{0EF1C889-48D4-496D-86D0-9DA64E2AA5BD}"/>
    <hyperlink ref="L232" r:id="rId22" xr:uid="{F70BC822-09B9-4EF1-B21E-4C7CB3179319}"/>
    <hyperlink ref="M232" r:id="rId23" xr:uid="{4DAB2711-254B-471D-A81D-815BE3B02628}"/>
    <hyperlink ref="N232" r:id="rId24" xr:uid="{FD078366-6F25-4C6E-9FCC-EEC49C2316ED}"/>
    <hyperlink ref="L234:N234" r:id="rId25" display="https://en.wikipedia.org/wiki/CAESAR_self-propelled_howitzer" xr:uid="{B2238D92-7A68-4259-BD78-EBE44CD48CEB}"/>
    <hyperlink ref="N236" r:id="rId26" xr:uid="{467D4DD5-C499-4979-801F-1FCB3C3A168B}"/>
    <hyperlink ref="K239" r:id="rId27" xr:uid="{1AD18A76-8574-4A60-A834-D1753C8CB3F8}"/>
    <hyperlink ref="K352" r:id="rId28" xr:uid="{4AFB8EB0-36E3-4874-B357-DCD70DEF951A}"/>
    <hyperlink ref="K242" r:id="rId29" location="cite_note-Marine_Corps_Gazette-78" xr:uid="{F20F191D-4385-46FC-9489-6AF8EA7D4E9D}"/>
    <hyperlink ref="K241" r:id="rId30" xr:uid="{A6A20127-07A5-4737-94D4-DD82B55002B7}"/>
    <hyperlink ref="K307" r:id="rId31" xr:uid="{F2DCF795-E046-414C-A801-D7C65F990684}"/>
    <hyperlink ref="N294" r:id="rId32" xr:uid="{09B267C0-881C-4244-8560-21B1FEC7CAE9}"/>
    <hyperlink ref="N276" r:id="rId33" xr:uid="{8098B974-A977-4749-98FB-1C54E9CB22D1}"/>
    <hyperlink ref="N245" r:id="rId34" xr:uid="{B7783BFC-8122-492B-BA94-7DB63DAA8C0B}"/>
    <hyperlink ref="D295" r:id="rId35" xr:uid="{F51FBAAB-D04D-4ACF-8EC0-CB6FE6537BC2}"/>
    <hyperlink ref="D294" r:id="rId36" xr:uid="{2B21FD6E-CF11-4239-8865-EDDB9731CD4A}"/>
    <hyperlink ref="K280" r:id="rId37" xr:uid="{B7B9CCB2-D0B7-4846-89CC-25D168007E1E}"/>
    <hyperlink ref="D280" r:id="rId38" xr:uid="{83511785-EC07-42C0-9D1E-6B6366E1CA3D}"/>
    <hyperlink ref="K359" r:id="rId39" location="Specifications" xr:uid="{00EBAA4E-5FB2-4673-B74D-41401ADE7C72}"/>
    <hyperlink ref="N352" r:id="rId40" xr:uid="{59B0F948-216C-4418-A0BF-E651B47E23A3}"/>
    <hyperlink ref="N359" r:id="rId41" xr:uid="{E381960D-C8CA-4690-9846-DF2C6A4BE904}"/>
    <hyperlink ref="N379" r:id="rId42" xr:uid="{83228B1B-8EB8-4DA8-BCD7-DD333604934C}"/>
    <hyperlink ref="D379" r:id="rId43" xr:uid="{A51A0CD7-6B06-40D0-9032-D2B8AAEDB887}"/>
    <hyperlink ref="K379" r:id="rId44" xr:uid="{03BA201E-A61B-4998-875D-58D73CC8112B}"/>
    <hyperlink ref="L379" r:id="rId45" xr:uid="{24747CE4-775B-4BCC-BB6D-63F77608523D}"/>
    <hyperlink ref="K356" r:id="rId46" location="Specifications_(F-35A)" xr:uid="{EF01D706-A42A-49A9-A886-7EAB1F949AAC}"/>
    <hyperlink ref="O383" r:id="rId47" xr:uid="{D68B51FC-5C4C-4090-82A7-A512458238A7}"/>
    <hyperlink ref="N356" r:id="rId48" location="Specifications_(F-35A)" xr:uid="{6EB861CB-B82C-4BA8-8795-B0A2C5B1C5B1}"/>
    <hyperlink ref="D263" r:id="rId49" xr:uid="{9E5D3041-2C73-4891-85A4-AD96291472F2}"/>
    <hyperlink ref="D398" r:id="rId50" xr:uid="{839B3312-1F99-417C-945A-AE0279FFF66C}"/>
    <hyperlink ref="D250" r:id="rId51" xr:uid="{144632DA-B581-48A7-B55B-61C235D3EAAF}"/>
    <hyperlink ref="L286" r:id="rId52" xr:uid="{CB7802C3-FC1F-4C74-AD6D-33327B2CD3EE}"/>
    <hyperlink ref="D306" r:id="rId53" xr:uid="{726E9884-C15C-477C-A837-2F4F029FE5F1}"/>
    <hyperlink ref="J307" r:id="rId54" xr:uid="{2FA69305-28F0-4F75-83D0-712EEF87B9B6}"/>
    <hyperlink ref="D370" r:id="rId55" xr:uid="{5A149C3A-585D-4998-9643-6272A2F88E78}"/>
    <hyperlink ref="G337" r:id="rId56" xr:uid="{54AEEE1D-8184-4F63-A39B-69B2438CBDF2}"/>
    <hyperlink ref="K337" r:id="rId57" xr:uid="{3450BE7C-ADE2-4822-961C-F930685DB75A}"/>
    <hyperlink ref="D337" r:id="rId58" xr:uid="{67076871-7402-482B-B6B9-9ACAACA09695}"/>
    <hyperlink ref="U337" r:id="rId59" xr:uid="{555EC381-19D3-4114-8648-6B938CB28749}"/>
    <hyperlink ref="N336" r:id="rId60" xr:uid="{2111A4EA-FE4D-4CA0-A0A3-A2C3611AC154}"/>
    <hyperlink ref="L336" r:id="rId61" xr:uid="{609D8CA3-4F08-43B7-A3AB-9AFA51516A01}"/>
    <hyperlink ref="L337" r:id="rId62" xr:uid="{5F266D0F-6F81-408D-8A64-081E98A17904}"/>
    <hyperlink ref="D251" r:id="rId63" location="Variants" xr:uid="{C505CA79-EA2C-44D6-B842-D2E3232DA564}"/>
    <hyperlink ref="D360" r:id="rId64" xr:uid="{98E1ADD0-69EB-4884-8BF9-AB9798577E9C}"/>
    <hyperlink ref="D299" r:id="rId65" xr:uid="{D8CCB698-64D5-4E88-9C4B-334CAD5B234B}"/>
    <hyperlink ref="K378" r:id="rId66" location="Specifications_(Su-35S)" xr:uid="{1E3797DA-26AD-41FF-A758-5F569677F403}"/>
    <hyperlink ref="K395" r:id="rId67" xr:uid="{00F24C63-0EE3-42F8-863E-1845AC36623B}"/>
    <hyperlink ref="D395" r:id="rId68" xr:uid="{0FDFBB36-F604-4686-85BF-5BBAB3E166A0}"/>
    <hyperlink ref="AC384" r:id="rId69" location="Operators" xr:uid="{B8A23335-5496-4687-9F94-4591B068CABB}"/>
    <hyperlink ref="P375" r:id="rId70" xr:uid="{015A4595-4D5F-4AB2-B45A-32FFF8B22945}"/>
    <hyperlink ref="K345" r:id="rId71" xr:uid="{915A1228-67D7-4290-B7D5-DF85030239AE}"/>
    <hyperlink ref="K294" r:id="rId72" xr:uid="{13F4CC5D-73C0-43F6-8A79-21A2D802D847}"/>
    <hyperlink ref="K310" r:id="rId73" xr:uid="{DABB6E44-3081-4A51-B3F7-D35456985F61}"/>
    <hyperlink ref="D244" r:id="rId74" xr:uid="{FA16252A-EACF-49E2-BB6D-5594FD1038A5}"/>
    <hyperlink ref="D362" r:id="rId75" xr:uid="{E9D103FB-3A71-40BF-B4A6-D6E296F48D4D}"/>
    <hyperlink ref="D363" r:id="rId76" xr:uid="{F402B5E3-144B-4955-8159-4FC9A84B9EA6}"/>
    <hyperlink ref="D364" r:id="rId77" xr:uid="{98798A1F-202F-4416-B900-25D72B9193F2}"/>
    <hyperlink ref="D365" r:id="rId78" xr:uid="{C7DB2AEA-62F1-48B2-8DF9-8434E8351BD9}"/>
    <hyperlink ref="K367" r:id="rId79" xr:uid="{770DBBDB-C976-48AD-B4BA-7339446934C9}"/>
    <hyperlink ref="C240" r:id="rId80" xr:uid="{E35583CC-C6C9-4E76-A2B6-0FD3A0882F57}"/>
    <hyperlink ref="C234" r:id="rId81" xr:uid="{F7A407B4-94AD-43C5-B2B8-76DC01A7469F}"/>
    <hyperlink ref="C228" r:id="rId82" xr:uid="{E2C3A119-CF20-4E61-81F7-1E3912F25E1A}"/>
    <hyperlink ref="C232" r:id="rId83" xr:uid="{CEB5CDC6-F598-4B99-A95C-B85D2AF966C6}"/>
    <hyperlink ref="C239" r:id="rId84" xr:uid="{CEAAC76C-573D-44E3-8ABA-98ADA7D378ED}"/>
    <hyperlink ref="C352" r:id="rId85" xr:uid="{A02F44C8-00C2-45B9-A72F-6CDEDDE0470A}"/>
    <hyperlink ref="C307" r:id="rId86" xr:uid="{A1EA6270-A3AF-4ADF-8E70-39A71DB9880E}"/>
    <hyperlink ref="C280" r:id="rId87" xr:uid="{697E79A9-C351-4B95-91F6-F61D9E450BCB}"/>
    <hyperlink ref="C359" r:id="rId88" location="Specifications" xr:uid="{A2B9979E-F055-4DCD-814E-D5CC3C9E218C}"/>
    <hyperlink ref="C379" r:id="rId89" xr:uid="{CE08E15B-B20E-46C0-9D00-B6F060358622}"/>
    <hyperlink ref="C356" r:id="rId90" location="Specifications_(F-35A)" xr:uid="{B45239EC-CAEE-464A-BD31-A6E6ACF129C9}"/>
    <hyperlink ref="C337" r:id="rId91" xr:uid="{2D999799-04AF-4D25-8474-2E828AFC4558}"/>
    <hyperlink ref="C378" r:id="rId92" location="Specifications_(Su-35S)" xr:uid="{0ED7947C-6BAA-4153-95F1-EB2250A4C6F0}"/>
    <hyperlink ref="C395" r:id="rId93" xr:uid="{74A60F3D-9E1D-40B2-8C1A-0F7433D5B177}"/>
    <hyperlink ref="C345" r:id="rId94" xr:uid="{D59268DD-CA9E-4070-B5CF-7A376DDC343C}"/>
    <hyperlink ref="C294" r:id="rId95" xr:uid="{C4F9B24D-7E8F-4191-A2AD-1E13E7C9BC49}"/>
    <hyperlink ref="C310" r:id="rId96" xr:uid="{B26B9313-F5FB-4C12-9516-007F90E15CB5}"/>
    <hyperlink ref="C367" r:id="rId97" xr:uid="{A3AB758C-4E42-47EE-9707-19E07A68B4D4}"/>
    <hyperlink ref="S35" r:id="rId98" xr:uid="{4028EC9A-6E9A-4B50-8223-DF2FEE109D8A}"/>
    <hyperlink ref="S29" r:id="rId99" xr:uid="{44B74770-1CA8-40F1-BA38-F87C0D376EAC}"/>
    <hyperlink ref="S27" r:id="rId100" xr:uid="{4AE8ECC5-9C2E-4148-8C80-609CE49AFFFA}"/>
    <hyperlink ref="S34" r:id="rId101" xr:uid="{4F08CE6B-F8AC-4E84-86E8-CF1C107C9744}"/>
    <hyperlink ref="S147" r:id="rId102" xr:uid="{B2C14BAB-0CFC-4191-87A5-051007D183B9}"/>
    <hyperlink ref="S37" r:id="rId103" location="cite_note-Marine_Corps_Gazette-78" xr:uid="{E6F73D96-002F-4F36-852D-690587ACE455}"/>
    <hyperlink ref="S36" r:id="rId104" xr:uid="{B87C2446-851F-44C1-ADA5-09124361F158}"/>
    <hyperlink ref="S102" r:id="rId105" xr:uid="{10834F7C-9103-45B5-8B6A-A4C6DE3EEA16}"/>
    <hyperlink ref="S75" r:id="rId106" xr:uid="{89DF4B78-B1C3-4E1C-8679-AD82297EDA3A}"/>
    <hyperlink ref="S154" r:id="rId107" location="Specifications" xr:uid="{3EB2011D-B0A5-427E-A644-98CE790F235C}"/>
    <hyperlink ref="S174" r:id="rId108" xr:uid="{0891378E-B4B8-424A-9E1A-744D83A82F72}"/>
    <hyperlink ref="S151" r:id="rId109" location="Specifications_(F-35A)" xr:uid="{66AF8EF2-4AFD-4DE7-911C-7FEBA47F2D0D}"/>
    <hyperlink ref="S132" r:id="rId110" xr:uid="{CF2DEC84-0283-4668-87BA-9D75C58DC6AC}"/>
    <hyperlink ref="S173" r:id="rId111" location="Specifications_(Su-35S)" xr:uid="{0130DBC1-A99D-4FD8-9002-62E176016ED7}"/>
    <hyperlink ref="S190" r:id="rId112" xr:uid="{8BBC6CFC-9523-4B09-A4BF-4303D5E71DBE}"/>
    <hyperlink ref="S140" r:id="rId113" xr:uid="{B60ABFB4-D853-4AF6-A356-DBDBB6DADFED}"/>
    <hyperlink ref="S89" r:id="rId114" xr:uid="{E71082F9-8C23-4DED-B08C-C42E147EF7E2}"/>
    <hyperlink ref="S105" r:id="rId115" xr:uid="{8C408869-8CB5-4712-87E5-760C441CAA9C}"/>
    <hyperlink ref="S162" r:id="rId116" xr:uid="{ECC1A5AB-7388-42C6-9960-83BC5E10DEA7}"/>
    <hyperlink ref="S163" r:id="rId117" location="Specifications_(B-52H)" xr:uid="{7C53FC2A-AD00-4D9E-A63A-F4053D98420C}"/>
    <hyperlink ref="S165" r:id="rId118" xr:uid="{7778B6DD-08E4-4F2B-891F-9CCE1B73F655}"/>
    <hyperlink ref="S175" r:id="rId119" xr:uid="{5C882C58-5244-4A78-BB2D-8DB10ECE3EF4}"/>
    <hyperlink ref="S176" r:id="rId120" xr:uid="{862055B4-412C-4474-95F8-D904FED76509}"/>
    <hyperlink ref="S177" r:id="rId121" xr:uid="{1A8B459F-7D34-4921-8ACD-2A80A34B7338}"/>
    <hyperlink ref="S178" r:id="rId122" xr:uid="{9379D962-D506-4B3D-B8EC-0C8B90528DDD}"/>
    <hyperlink ref="S179" r:id="rId123" xr:uid="{10DB5473-7FFB-4A22-8A48-A2F61886DED6}"/>
    <hyperlink ref="S180" r:id="rId124" xr:uid="{40A409DF-36BD-468F-90A7-429F8A091DA0}"/>
    <hyperlink ref="S181" r:id="rId125" xr:uid="{CAA0A9D8-4809-4265-9125-98D05A05FB88}"/>
    <hyperlink ref="S182" r:id="rId126" xr:uid="{FD09F9DC-59BB-4073-9740-FCB3A15A9C56}"/>
    <hyperlink ref="S183" r:id="rId127" xr:uid="{46F8511F-1FA3-477B-8513-0A15510E93BC}"/>
    <hyperlink ref="S185" r:id="rId128" xr:uid="{E0B9724A-30A1-43ED-B6B2-C0F90DEF23A2}"/>
    <hyperlink ref="S186" r:id="rId129" xr:uid="{10AFB4C0-C5DC-4212-9E05-76BC4A7767BB}"/>
    <hyperlink ref="S189" r:id="rId130" xr:uid="{F5AB664F-3EBE-42E9-925B-2AD06B43DBF1}"/>
    <hyperlink ref="S191" r:id="rId131" location="Specifications_(Ka-50)" xr:uid="{BBCCDC31-0EE4-49AA-B469-1650A3F8CDA6}"/>
    <hyperlink ref="S192" r:id="rId132" xr:uid="{92D37ACF-11DB-4C4B-BEA6-65A67416C7B6}"/>
    <hyperlink ref="S193" r:id="rId133" xr:uid="{3CB75E9B-05A9-4596-AD69-EC1499E3233D}"/>
    <hyperlink ref="S194" r:id="rId134" location="Specifications" xr:uid="{0E239A50-489F-4979-AD0E-9A0755C4FF5C}"/>
    <hyperlink ref="S200" r:id="rId135" xr:uid="{CED43C14-38FC-4C17-BCC4-18A1CF2EB509}"/>
    <hyperlink ref="P399" r:id="rId136" xr:uid="{910930F2-2DA0-48FE-A609-5C63C2C78F9C}"/>
    <hyperlink ref="P405" r:id="rId137" xr:uid="{3E74874E-5EB2-4568-91D0-355C41DA0C6B}"/>
    <hyperlink ref="S94" r:id="rId138" xr:uid="{0F08ED40-B9A7-471F-B241-0A6E9D4316E3}"/>
    <hyperlink ref="S90" r:id="rId139" xr:uid="{4B36A7BE-EBEE-49DB-8FDE-AF0341C1118C}"/>
    <hyperlink ref="S13" r:id="rId140" xr:uid="{C26C7448-C69C-46B3-9B7A-0B20C30ED44D}"/>
    <hyperlink ref="S11" r:id="rId141" xr:uid="{3309AA37-91E0-44CB-BD70-C800AEB2F17B}"/>
    <hyperlink ref="S10" r:id="rId142" xr:uid="{996C349E-927F-4641-80E4-BE5E2E20E72E}"/>
    <hyperlink ref="S81" r:id="rId143" xr:uid="{3782F787-8A12-467D-816B-5A61E39CCA5D}"/>
    <hyperlink ref="S71" r:id="rId144" xr:uid="{9D57B306-A23E-4D51-A613-2EE6958CF793}"/>
    <hyperlink ref="S65" r:id="rId145" xr:uid="{E61F96D4-D614-443D-984F-DF4E95C2E1FD}"/>
    <hyperlink ref="S74" r:id="rId146" xr:uid="{18F1BD70-B732-46FC-966C-81711C0AB213}"/>
    <hyperlink ref="S85" r:id="rId147" xr:uid="{8CA1291E-5BD7-4C88-9003-3EFD18B83899}"/>
    <hyperlink ref="S95" r:id="rId148" xr:uid="{40AD5D88-4748-4C3D-AEC9-72C584BA89DA}"/>
    <hyperlink ref="S101" r:id="rId149" xr:uid="{8BB4CFE4-E953-41CD-9C8B-7167BB87C67B}"/>
    <hyperlink ref="S110" r:id="rId150" xr:uid="{790EB790-942E-4D51-9355-87F6C398DF0C}"/>
    <hyperlink ref="S111" r:id="rId151" xr:uid="{7B05C4C2-9A24-4AA9-B752-1BD4EB474A08}"/>
    <hyperlink ref="S112" r:id="rId152" xr:uid="{75E360DF-CC42-4FFB-A3C8-BFB185B86BDF}"/>
    <hyperlink ref="S113" r:id="rId153" xr:uid="{9FE0F37F-A1E4-4F58-9D72-D6FC67AB81E5}"/>
    <hyperlink ref="S114" r:id="rId154" xr:uid="{85E3A806-7290-489E-A421-04A4087FF050}"/>
    <hyperlink ref="S133" r:id="rId155" xr:uid="{26FFF63B-694A-412E-8382-9BDC4B4A76E9}"/>
    <hyperlink ref="S136" r:id="rId156" xr:uid="{A8760F3A-010C-4CC1-9BB9-81F869C9DB45}"/>
    <hyperlink ref="S137" r:id="rId157" xr:uid="{3D1EBB52-B358-4899-9D82-A67DD3A29865}"/>
    <hyperlink ref="U98" r:id="rId158" xr:uid="{21F168C9-3C90-4547-B78A-E229ACFD2543}"/>
    <hyperlink ref="S108" r:id="rId159" xr:uid="{F6AE3CF9-3ED0-4612-8807-A3FAA4E6AAD5}"/>
    <hyperlink ref="S98" r:id="rId160" xr:uid="{653A8153-6AA8-4FCD-859E-E7BCBBC8F57B}"/>
    <hyperlink ref="S168" r:id="rId161" xr:uid="{D685C5C7-4655-47C1-8F9A-9C964CB50896}"/>
    <hyperlink ref="D314" r:id="rId162" xr:uid="{8A42C933-73C3-49C9-8011-E1D960DF5216}"/>
    <hyperlink ref="S109" r:id="rId163" xr:uid="{09649355-A60D-4786-B113-778A5D369782}"/>
    <hyperlink ref="U162" r:id="rId164" xr:uid="{290CAA12-AA65-478A-821A-7A194FEAC21F}"/>
    <hyperlink ref="S48" r:id="rId165" location="Variants" xr:uid="{9F234E02-637E-4232-A1FF-452F1470A13C}"/>
    <hyperlink ref="S50" r:id="rId166" xr:uid="{836B1959-E711-4E73-99C2-9DDF741EFA32}"/>
    <hyperlink ref="S20" r:id="rId167" xr:uid="{C70087B0-999F-44F6-A4D1-974985943B39}"/>
    <hyperlink ref="S21" r:id="rId168" xr:uid="{3776C6C6-A09C-421F-92A3-00D470BDD71E}"/>
    <hyperlink ref="S73" r:id="rId169" xr:uid="{9423A2BA-BC54-46EF-A5E2-74FB54E701D2}"/>
    <hyperlink ref="S106" r:id="rId170" display="https://en.wikipedia.org/wiki/R-360_Neptune" xr:uid="{6C983211-B9BB-42FA-B066-5B8B2E1635F9}"/>
    <hyperlink ref="S148" r:id="rId171" xr:uid="{7209A1E3-1E9A-44AC-AD94-71B054423E2F}"/>
    <hyperlink ref="S149" r:id="rId172" xr:uid="{90E3D162-5923-4439-8404-74D98AC21E28}"/>
    <hyperlink ref="S150" r:id="rId173" xr:uid="{C1159F59-9030-4787-9F1C-FC1609776026}"/>
    <hyperlink ref="S152" r:id="rId174" location="GAU-22/A" xr:uid="{AA4A9D1B-FB2D-4395-8E5E-7B11EA8B15ED}"/>
    <hyperlink ref="S155" r:id="rId175" xr:uid="{9BC5612E-D95F-4448-AD4C-B54EE70F6F39}"/>
    <hyperlink ref="S156" r:id="rId176" location="Operators" xr:uid="{595D154C-A256-4A0B-AB0D-FC7992E80ACA}"/>
    <hyperlink ref="S153" r:id="rId177" xr:uid="{9EDD8392-0413-4664-9519-564852C3D7AB}"/>
    <hyperlink ref="S157" r:id="rId178" xr:uid="{A202727B-7730-41AE-85A9-DF34A498397B}"/>
    <hyperlink ref="S158" r:id="rId179" xr:uid="{F4B71E32-379A-42E9-AF00-7BF720E36167}"/>
    <hyperlink ref="S159" r:id="rId180" xr:uid="{17368AD1-017E-4253-B157-FB99869222D0}"/>
    <hyperlink ref="S160" r:id="rId181" xr:uid="{C6A4BF8E-B1F9-4F08-9B93-D427306ECB7F}"/>
    <hyperlink ref="S161" r:id="rId182" xr:uid="{41DE347E-3357-4243-AF1A-9825EA8DBBF4}"/>
    <hyperlink ref="S119" r:id="rId183" location="Variants" xr:uid="{30AFF80C-007F-48A6-B04E-CC2C59CA16B5}"/>
    <hyperlink ref="D328" r:id="rId184" xr:uid="{D8F4D9B8-F9CE-4EFE-934B-3DE99D5DFEBC}"/>
    <hyperlink ref="S123" r:id="rId185" xr:uid="{96A21CFC-0F53-4634-8E68-2B9D29C0795B}"/>
    <hyperlink ref="S124" r:id="rId186" xr:uid="{ECB76ABD-4D33-49C9-B306-B99B70A5F79F}"/>
    <hyperlink ref="D330" r:id="rId187" xr:uid="{AA0CFA3F-B172-4236-8D2C-ABA1115B5C0E}"/>
    <hyperlink ref="S125" r:id="rId188" xr:uid="{94781020-36A4-4D7E-9D13-16ADECA02397}"/>
    <hyperlink ref="S127" r:id="rId189" xr:uid="{F03B6817-CE8D-4DBD-9D4C-4D1A74AC6B1E}"/>
    <hyperlink ref="S126" r:id="rId190" xr:uid="{0D52E584-4CE6-46DE-B98E-0FF734BF9724}"/>
    <hyperlink ref="S129" r:id="rId191" xr:uid="{B17A238E-AE6E-4220-A13E-4CC9C103BF74}"/>
    <hyperlink ref="S130" r:id="rId192" xr:uid="{762F6758-8E93-434C-A743-D03929A4804C}"/>
    <hyperlink ref="AC132" r:id="rId193" xr:uid="{BA42AC88-76E0-4B70-9EAD-FC19DE62898C}"/>
    <hyperlink ref="S26" r:id="rId194" xr:uid="{525FB342-E391-4279-9773-0E628970611D}"/>
    <hyperlink ref="C227" r:id="rId195" xr:uid="{536F728E-9B1D-4551-B3A5-27246C3A35FC}"/>
    <hyperlink ref="S22" r:id="rId196" xr:uid="{39B943E3-5B6A-4793-B6BC-600B47CAD6E9}"/>
    <hyperlink ref="S23" r:id="rId197" xr:uid="{7DD712F8-E82D-4088-B74B-8D80DCA2AE04}"/>
    <hyperlink ref="S24" r:id="rId198" xr:uid="{5396001B-F1C9-4292-B7EB-856A458B7C35}"/>
    <hyperlink ref="S25" r:id="rId199" xr:uid="{168BE271-8B2A-49D0-878B-ADA246E6DF7D}"/>
    <hyperlink ref="S28" r:id="rId200" xr:uid="{1E3F36BF-9DBA-435B-8824-12910AE6FC48}"/>
    <hyperlink ref="S32" r:id="rId201" xr:uid="{CD8E2A69-1D53-4B10-AB72-E247E770D163}"/>
    <hyperlink ref="S33" r:id="rId202" xr:uid="{15D9DC7C-B5D5-421F-8006-A11DB969CE20}"/>
    <hyperlink ref="D242" r:id="rId203" location="MLRS" xr:uid="{50C520AD-5359-481F-AF99-BECEEA787B56}"/>
    <hyperlink ref="C241" r:id="rId204" location="MLRS" xr:uid="{C1C91C99-F5F4-4B67-8609-C763E668C64D}"/>
    <hyperlink ref="C237" r:id="rId205" xr:uid="{081B9E09-29B2-41A8-A8FB-BC5B8C1D77E2}"/>
    <hyperlink ref="C238" r:id="rId206" xr:uid="{C882A804-7723-4412-8CCE-02B1055FC863}"/>
    <hyperlink ref="C236" r:id="rId207" xr:uid="{E8A788B1-57F0-4621-8FD1-2ED6044224A1}"/>
    <hyperlink ref="C242" r:id="rId208" location="GMLRS" xr:uid="{9DAA3424-6C02-4151-8913-5CB5C41DAF49}"/>
    <hyperlink ref="C243" r:id="rId209" xr:uid="{7BD7A844-5B77-48C1-A007-9924BE0561B3}"/>
    <hyperlink ref="S40" r:id="rId210" xr:uid="{19AE4C1D-8B71-4568-BE94-1B04489018F0}"/>
    <hyperlink ref="S41:S44" r:id="rId211" display="https://en.wikipedia.org/wiki/RPG-7" xr:uid="{4140DBEC-A01C-4D91-BB3B-1ED9A35959D9}"/>
    <hyperlink ref="S45" r:id="rId212" xr:uid="{A08BEC7C-B50A-4AB2-B325-C3D89661A4DC}"/>
    <hyperlink ref="S49" r:id="rId213" xr:uid="{94589A41-F2AF-429C-93AF-A6686E783CD1}"/>
    <hyperlink ref="S51" r:id="rId214" xr:uid="{BE9940EA-A475-4896-BFDA-A9503AAC9027}"/>
    <hyperlink ref="S52" r:id="rId215" location="Production_history" xr:uid="{073BBFB3-97CB-4CE0-98CB-9313073BD748}"/>
    <hyperlink ref="S53" r:id="rId216" xr:uid="{DBCE00A0-447A-464E-B47B-AB08637AC596}"/>
    <hyperlink ref="N270" r:id="rId217" xr:uid="{4A2347A1-29D1-4A75-8AA5-8D276722694B}"/>
    <hyperlink ref="AP73" r:id="rId218" xr:uid="{676C3ECD-B3DB-4017-8613-E206C805605D}"/>
    <hyperlink ref="C245" r:id="rId219" xr:uid="{5DC42055-6EEC-454F-9799-D91533885917}"/>
    <hyperlink ref="N246" r:id="rId220" xr:uid="{D0457A54-2EFF-4F30-A769-9DF8E303753C}"/>
    <hyperlink ref="N247" r:id="rId221" xr:uid="{C8613E91-A557-4545-A8A9-1DCA8E573ED2}"/>
    <hyperlink ref="D246" r:id="rId222" xr:uid="{FC5BD0BD-2AD9-4D4E-9DA4-EE492C075957}"/>
    <hyperlink ref="U58" r:id="rId223" xr:uid="{483B323F-BB6C-4388-8EA1-85660073722E}"/>
    <hyperlink ref="S61" r:id="rId224" xr:uid="{62F04291-E9D7-41A0-9227-E07A1071E2E4}"/>
    <hyperlink ref="S67" r:id="rId225" xr:uid="{33403FB0-60A1-4A0B-95B9-7E9976515EA5}"/>
    <hyperlink ref="S60" r:id="rId226" xr:uid="{DB667D4B-3CB7-4B96-BA8E-519A46E127F6}"/>
    <hyperlink ref="U60" r:id="rId227" xr:uid="{596D3A31-0E23-4651-BB98-203074271BEA}"/>
    <hyperlink ref="U68" r:id="rId228" xr:uid="{849D8956-AAAE-4344-A2C2-C07895419610}"/>
    <hyperlink ref="S68" r:id="rId229" xr:uid="{3C59C683-2948-409C-B574-024BCCDD21DD}"/>
    <hyperlink ref="U75" r:id="rId230" xr:uid="{848563C4-22E9-4FC9-9A72-00F83BF52D36}"/>
    <hyperlink ref="C281" r:id="rId231" xr:uid="{32DBC9B6-6015-4DDC-AF7A-FD98D5C14CE8}"/>
    <hyperlink ref="U77" r:id="rId232" xr:uid="{5B9A37F5-D92F-411B-AFE9-58A2C212C98C}"/>
    <hyperlink ref="C333" r:id="rId233" xr:uid="{17965204-34C4-4B89-AC2F-B72699A0ECDC}"/>
    <hyperlink ref="S128" r:id="rId234" xr:uid="{68DF7935-3082-4E3E-96F5-08F7B1645EE1}"/>
    <hyperlink ref="S77" r:id="rId235" xr:uid="{9FFCEDBE-0CAB-45AC-880E-8D1B9CBC3FF8}"/>
    <hyperlink ref="AC77" r:id="rId236" xr:uid="{C67114CE-FEE6-41BE-8A07-68D0CCCBB3EF}"/>
    <hyperlink ref="U74" r:id="rId237" xr:uid="{DEFB1C70-D4CF-4D49-B4CD-699207AD6202}"/>
    <hyperlink ref="S30" r:id="rId238" xr:uid="{EE3D4D1F-B6DA-4487-B169-4525C0256541}"/>
    <hyperlink ref="D288" r:id="rId239" location=":~:text=Unit%20cost%20US%2421.5m%20%28FY13%29%20US%2431.2m%20%28inc%20R%26D%29%20Developed,a%20Thielert%20Centurion%201.7%20Heavy%20Fuel%20Engine%20%28HFE%29." xr:uid="{7F561D74-6904-4103-A369-AA469488D604}"/>
    <hyperlink ref="D286" r:id="rId240" xr:uid="{3F19ABB6-A251-4210-B6A9-B974B4CCD494}"/>
    <hyperlink ref="M286:O286" r:id="rId241" display="https://en.wikipedia.org/wiki/IAI_Heron" xr:uid="{426E81C1-7563-488A-BCE6-7230C201137D}"/>
    <hyperlink ref="S82" r:id="rId242" xr:uid="{F79E3A17-0348-4493-83E0-94FE1BE41B55}"/>
    <hyperlink ref="S79" r:id="rId243" xr:uid="{93F33007-4F96-44C6-B387-D5ECF45347C6}"/>
    <hyperlink ref="S76" r:id="rId244" xr:uid="{F8873789-307A-4529-87DC-3BA0A6682062}"/>
    <hyperlink ref="U76" r:id="rId245" xr:uid="{475E6EEB-328F-421B-9C7E-9BEC7D8FF5E8}"/>
    <hyperlink ref="AD94" r:id="rId246" xr:uid="{67358D7A-306A-4C26-97BC-18F87E4EF85A}"/>
    <hyperlink ref="AK73" r:id="rId247" xr:uid="{627245A9-A98C-4E5D-903F-A62EA79E8DFD}"/>
    <hyperlink ref="AD95" r:id="rId248" location="Specifications_(WR19)" xr:uid="{D369851D-DE9D-4C3C-AD32-EC7BFAF31876}"/>
    <hyperlink ref="AD106" r:id="rId249" xr:uid="{57423928-7F17-4DAE-96B4-5AB130C1CDBB}"/>
    <hyperlink ref="N301" r:id="rId250" xr:uid="{81C08AA9-C1E5-4E44-8414-E77DFC1B3E9C}"/>
    <hyperlink ref="U94" r:id="rId251" xr:uid="{1A9CC5C7-FCD7-4C7E-9034-7598C06001B4}"/>
    <hyperlink ref="S46" r:id="rId252" location="Variants" xr:uid="{9EF52C70-49EE-4B1F-90C1-7B596BF2F994}"/>
    <hyperlink ref="AC46" r:id="rId253" xr:uid="{B7E49A93-FAC0-4BBF-A7A9-6D06AA6AD5EC}"/>
    <hyperlink ref="AD73" r:id="rId254" xr:uid="{8C2CD531-5120-4378-9DA3-E2B198019FE5}"/>
    <hyperlink ref="AD11" r:id="rId255" xr:uid="{30F2349D-0C1A-4811-9AC1-6E9784D8FF9A}"/>
    <hyperlink ref="AD107" r:id="rId256" xr:uid="{18B2D810-B3C1-4A98-88C1-1EBBB6A8DC7E}"/>
    <hyperlink ref="S107" r:id="rId257" display="https://en.wikipedia.org/wiki/R-360_Neptune" xr:uid="{E70BF649-573B-40CB-993D-3CB9B1DF3386}"/>
    <hyperlink ref="AD108" r:id="rId258" location="Specifications_(WR19)" xr:uid="{38354707-F167-4413-ADA5-0A7E3B7280CF}"/>
    <hyperlink ref="D312" r:id="rId259" xr:uid="{5C1368BC-1C14-4456-8477-6CC23645B0CA}"/>
    <hyperlink ref="AD96" r:id="rId260" location="Specifications_(WR19)" xr:uid="{D0B85AF2-6C31-49FD-8E51-057A1F2BCB29}"/>
    <hyperlink ref="AD97" r:id="rId261" location="Specifications_(WR19)" xr:uid="{413B4A4A-3AFA-41A3-8EA8-F1B21867D5A1}"/>
    <hyperlink ref="S97" r:id="rId262" xr:uid="{D7A5E80F-0933-4F74-BBEC-9E54FE8A4840}"/>
    <hyperlink ref="S96" r:id="rId263" xr:uid="{8932C87F-8FFF-4BA1-8D27-522E1EC8557C}"/>
    <hyperlink ref="D315" r:id="rId264" xr:uid="{6C144E81-139E-4F5C-A550-6C29471451B7}"/>
    <hyperlink ref="S93" r:id="rId265" xr:uid="{3494E67A-5821-413E-86BB-37236213598C}"/>
    <hyperlink ref="S92" r:id="rId266" xr:uid="{B107711E-AE98-48A9-8F1F-EF4D3F5A9B80}"/>
    <hyperlink ref="AC100" r:id="rId267" xr:uid="{8CAC97BE-020E-4288-ABE5-E5F2150F00E1}"/>
    <hyperlink ref="S99" r:id="rId268" xr:uid="{9766E18A-933B-4FA3-A7E9-0680C4B8A050}"/>
    <hyperlink ref="S198" r:id="rId269" xr:uid="{E62F9054-EF89-4D0E-A70B-FBD42E5161B4}"/>
    <hyperlink ref="S199" r:id="rId270" location="Specifications_(CH-53E)" xr:uid="{6FFF4FBA-3FC6-4524-A046-0EE2DBDD1816}"/>
    <hyperlink ref="AD90" r:id="rId271" xr:uid="{3831F782-E688-4DDF-BE40-B86F80650643}"/>
    <hyperlink ref="S91" r:id="rId272" xr:uid="{966BB548-5157-42DF-90F7-8BB61723C44C}"/>
    <hyperlink ref="S15" r:id="rId273" xr:uid="{FE082722-66D7-41E4-8ACA-FD6FFB5D56DD}"/>
    <hyperlink ref="U93" r:id="rId274" xr:uid="{4FBDF2FC-A687-405E-B3EF-439565317788}"/>
    <hyperlink ref="S122" r:id="rId275" xr:uid="{A4AB1C79-3ADE-404A-A215-54274B2300A0}"/>
    <hyperlink ref="D301" r:id="rId276" xr:uid="{F44297A1-B377-47B0-9D5B-4C88CA89EAC3}"/>
    <hyperlink ref="AD14" r:id="rId277" location="Specifications_(WR19)" xr:uid="{18A2371D-D590-4490-9901-ADF304ECC353}"/>
    <hyperlink ref="S14" r:id="rId278" xr:uid="{3D1FCF59-F9E5-4BBB-B4A9-89898FCAB5E4}"/>
    <hyperlink ref="S187" r:id="rId279" xr:uid="{997B0D8F-7BA4-4AE5-838E-C1DEF01D1F21}"/>
    <hyperlink ref="AD187" r:id="rId280" xr:uid="{7129FF7D-EEAE-49AD-A5F2-700048F48D9C}"/>
    <hyperlink ref="S120" r:id="rId281" location="Variants" xr:uid="{60E552AD-5F1F-44E4-B226-45697EEF3537}"/>
    <hyperlink ref="S188" r:id="rId282" xr:uid="{2070266F-2789-4B68-9903-2D7596775445}"/>
    <hyperlink ref="Q297" r:id="rId283" xr:uid="{1D7D4909-190B-41D9-95C7-8647B9174E0A}"/>
    <hyperlink ref="Q327" r:id="rId284" xr:uid="{80FC8C03-19D4-4F75-9450-F9266283FECC}"/>
    <hyperlink ref="S12" r:id="rId285" xr:uid="{83170B39-7A72-4E16-B62D-3E460930A1C3}"/>
    <hyperlink ref="Y220" r:id="rId286" xr:uid="{8A25859D-1F6E-4CB1-8BC7-915AD167DFBD}"/>
    <hyperlink ref="S184" r:id="rId287" xr:uid="{DD29E98B-0B7C-43DE-8F3E-F9C4CB4C9C1E}"/>
    <hyperlink ref="T184" r:id="rId288" xr:uid="{854E75BC-987C-4092-A04F-5A2665D2D0EF}"/>
    <hyperlink ref="T175" r:id="rId289" xr:uid="{8986FD29-5425-4F89-95E8-89BB6D18739E}"/>
    <hyperlink ref="T93" r:id="rId290" xr:uid="{8BE75646-C1B0-4D25-A466-5C9E065A9D09}"/>
    <hyperlink ref="Q380" r:id="rId291" xr:uid="{C0CD4A9D-9857-48F4-A4D7-3F360EEA6585}"/>
  </hyperlinks>
  <pageMargins left="0.7" right="0.7" top="0.75" bottom="0.75" header="0.3" footer="0.3"/>
  <pageSetup paperSize="9" orientation="portrait" verticalDpi="0" r:id="rId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D7B22-C62B-4ACA-A128-13721A0A7328}">
  <dimension ref="A1:M28"/>
  <sheetViews>
    <sheetView zoomScale="140" zoomScaleNormal="140" workbookViewId="0">
      <selection activeCell="B10" sqref="B10"/>
    </sheetView>
  </sheetViews>
  <sheetFormatPr defaultRowHeight="14.5" x14ac:dyDescent="0.35"/>
  <cols>
    <col min="2" max="2" width="39.54296875" customWidth="1"/>
    <col min="3" max="3" width="10.453125" customWidth="1"/>
    <col min="4" max="4" width="48.81640625" customWidth="1"/>
    <col min="6" max="6" width="12.90625" customWidth="1"/>
    <col min="7" max="7" width="13" customWidth="1"/>
    <col min="8" max="8" width="15.6328125" customWidth="1"/>
  </cols>
  <sheetData>
    <row r="1" spans="1:13" ht="28.5" x14ac:dyDescent="0.65">
      <c r="A1" s="1" t="str">
        <f>UkrAid24jan2022ToOct312023!A1</f>
        <v>The game changing weapon no one talks about that directly can stop Russian glider bombs #63/90</v>
      </c>
    </row>
    <row r="2" spans="1:13"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13" x14ac:dyDescent="0.35">
      <c r="A3" s="459" t="str">
        <f>UkrAid24jan2022ToOct312023!A3</f>
        <v>Links to all sources are available in sources table below</v>
      </c>
      <c r="B3" s="461"/>
      <c r="F3" s="159"/>
    </row>
    <row r="4" spans="1:13" x14ac:dyDescent="0.35">
      <c r="F4" s="159"/>
      <c r="M4" t="s">
        <v>1273</v>
      </c>
    </row>
    <row r="5" spans="1:13" ht="24" thickBot="1" x14ac:dyDescent="0.6">
      <c r="B5" s="438" t="s">
        <v>1282</v>
      </c>
      <c r="C5" s="438"/>
      <c r="D5" s="438"/>
      <c r="E5" s="438"/>
      <c r="F5" s="265"/>
      <c r="G5" s="265"/>
      <c r="H5" s="265"/>
      <c r="I5" s="265"/>
      <c r="J5" s="265"/>
      <c r="K5" s="265"/>
      <c r="L5" s="3"/>
    </row>
    <row r="6" spans="1:13" ht="15" thickTop="1" x14ac:dyDescent="0.35">
      <c r="B6" s="439"/>
      <c r="C6" s="440" t="s">
        <v>1266</v>
      </c>
      <c r="D6" s="441" t="s">
        <v>1265</v>
      </c>
      <c r="E6" s="441" t="s">
        <v>775</v>
      </c>
      <c r="F6" s="441" t="s">
        <v>1274</v>
      </c>
      <c r="G6" s="441" t="s">
        <v>1278</v>
      </c>
      <c r="H6" s="441" t="s">
        <v>1280</v>
      </c>
      <c r="I6" s="441"/>
      <c r="J6" s="441"/>
      <c r="K6" s="572"/>
      <c r="L6" s="3"/>
    </row>
    <row r="7" spans="1:13" x14ac:dyDescent="0.35">
      <c r="B7" s="443"/>
      <c r="C7" s="578" t="s">
        <v>1267</v>
      </c>
      <c r="D7" s="444"/>
      <c r="E7" s="444" t="s">
        <v>774</v>
      </c>
      <c r="F7" s="451" t="s">
        <v>1276</v>
      </c>
      <c r="G7" s="444" t="s">
        <v>1279</v>
      </c>
      <c r="H7" s="444" t="s">
        <v>1281</v>
      </c>
      <c r="I7" s="444"/>
      <c r="J7" s="444"/>
      <c r="K7" s="573"/>
      <c r="L7" s="3"/>
    </row>
    <row r="8" spans="1:13" ht="15" thickBot="1" x14ac:dyDescent="0.4">
      <c r="B8" s="447"/>
      <c r="C8" s="447"/>
      <c r="D8" s="448"/>
      <c r="E8" s="579" t="s">
        <v>1268</v>
      </c>
      <c r="F8" s="579" t="s">
        <v>1275</v>
      </c>
      <c r="G8" s="448"/>
      <c r="H8" s="448"/>
      <c r="I8" s="448"/>
      <c r="J8" s="448"/>
      <c r="K8" s="449"/>
      <c r="L8" s="3"/>
    </row>
    <row r="9" spans="1:13" ht="15" thickTop="1" x14ac:dyDescent="0.35">
      <c r="A9">
        <v>1</v>
      </c>
      <c r="B9" s="183" t="s">
        <v>1264</v>
      </c>
      <c r="C9" s="183"/>
      <c r="D9" s="184"/>
      <c r="E9" s="184"/>
      <c r="F9" s="194"/>
      <c r="G9" s="194"/>
      <c r="H9" s="194"/>
      <c r="I9" s="194"/>
      <c r="J9" s="194"/>
      <c r="K9" s="574"/>
      <c r="L9">
        <v>1</v>
      </c>
    </row>
    <row r="10" spans="1:13" x14ac:dyDescent="0.35">
      <c r="A10">
        <f>A9+1</f>
        <v>2</v>
      </c>
      <c r="B10" s="51" t="s">
        <v>1269</v>
      </c>
      <c r="C10" s="420"/>
      <c r="D10" s="159"/>
      <c r="E10" s="159"/>
      <c r="F10" s="159"/>
      <c r="G10" s="42"/>
      <c r="I10" s="174"/>
      <c r="J10" s="174"/>
      <c r="K10" s="166"/>
      <c r="L10">
        <f>L9+1</f>
        <v>2</v>
      </c>
    </row>
    <row r="11" spans="1:13" x14ac:dyDescent="0.35">
      <c r="A11">
        <f t="shared" ref="A11:A27" si="0">A10+1</f>
        <v>3</v>
      </c>
      <c r="B11" s="51" t="s">
        <v>1270</v>
      </c>
      <c r="C11" s="420"/>
      <c r="D11" s="174"/>
      <c r="E11" s="174"/>
      <c r="F11" s="159"/>
      <c r="G11" s="42"/>
      <c r="I11" s="174"/>
      <c r="J11" s="174"/>
      <c r="K11" s="166"/>
      <c r="L11">
        <f t="shared" ref="L11:L27" si="1">L10+1</f>
        <v>3</v>
      </c>
    </row>
    <row r="12" spans="1:13" x14ac:dyDescent="0.35">
      <c r="A12">
        <f>A11+1</f>
        <v>4</v>
      </c>
      <c r="B12" s="51" t="s">
        <v>1271</v>
      </c>
      <c r="C12" s="420"/>
      <c r="D12" s="159"/>
      <c r="E12" s="159"/>
      <c r="F12" s="159"/>
      <c r="G12" s="42"/>
      <c r="I12" s="174"/>
      <c r="J12" s="174"/>
      <c r="K12" s="166"/>
      <c r="L12">
        <f t="shared" si="1"/>
        <v>4</v>
      </c>
    </row>
    <row r="13" spans="1:13" x14ac:dyDescent="0.35">
      <c r="A13">
        <f t="shared" ref="A13:A17" si="2">A12+1</f>
        <v>5</v>
      </c>
      <c r="B13" s="123" t="s">
        <v>1272</v>
      </c>
      <c r="C13" s="42"/>
      <c r="D13" s="159"/>
      <c r="E13" s="159"/>
      <c r="F13" s="174"/>
      <c r="G13" s="70"/>
      <c r="H13" s="457"/>
      <c r="I13" s="174"/>
      <c r="J13" s="174"/>
      <c r="K13" s="166"/>
      <c r="L13">
        <f t="shared" si="1"/>
        <v>5</v>
      </c>
    </row>
    <row r="14" spans="1:13" x14ac:dyDescent="0.35">
      <c r="A14">
        <f t="shared" si="2"/>
        <v>6</v>
      </c>
      <c r="B14" s="123" t="s">
        <v>1277</v>
      </c>
      <c r="C14" s="42"/>
      <c r="D14" s="159"/>
      <c r="E14" s="159"/>
      <c r="F14" s="174"/>
      <c r="G14" s="70"/>
      <c r="H14" s="575"/>
      <c r="I14" s="174"/>
      <c r="J14" s="174"/>
      <c r="K14" s="166"/>
      <c r="L14">
        <f t="shared" si="1"/>
        <v>6</v>
      </c>
    </row>
    <row r="15" spans="1:13" x14ac:dyDescent="0.35">
      <c r="A15">
        <f t="shared" si="2"/>
        <v>7</v>
      </c>
      <c r="B15" s="123"/>
      <c r="C15" s="42"/>
      <c r="D15" s="159"/>
      <c r="E15" s="159"/>
      <c r="F15" s="174"/>
      <c r="G15" s="70"/>
      <c r="H15" s="457"/>
      <c r="I15" s="174"/>
      <c r="J15" s="174"/>
      <c r="K15" s="166"/>
      <c r="L15">
        <f t="shared" si="1"/>
        <v>7</v>
      </c>
    </row>
    <row r="16" spans="1:13" x14ac:dyDescent="0.35">
      <c r="A16">
        <f t="shared" si="2"/>
        <v>8</v>
      </c>
      <c r="B16" s="123"/>
      <c r="C16" s="42"/>
      <c r="D16" s="159"/>
      <c r="E16" s="159"/>
      <c r="F16" s="174"/>
      <c r="G16" s="70"/>
      <c r="H16" s="457"/>
      <c r="I16" s="174"/>
      <c r="J16" s="174"/>
      <c r="K16" s="166"/>
      <c r="L16">
        <f t="shared" si="1"/>
        <v>8</v>
      </c>
    </row>
    <row r="17" spans="1:12" x14ac:dyDescent="0.35">
      <c r="A17">
        <f t="shared" si="2"/>
        <v>9</v>
      </c>
      <c r="B17" s="51"/>
      <c r="C17" s="420"/>
      <c r="D17" s="159"/>
      <c r="E17" s="159"/>
      <c r="F17" s="159"/>
      <c r="G17" s="42"/>
      <c r="I17" s="174"/>
      <c r="J17" s="174"/>
      <c r="K17" s="166"/>
      <c r="L17">
        <f t="shared" si="1"/>
        <v>9</v>
      </c>
    </row>
    <row r="18" spans="1:12" x14ac:dyDescent="0.35">
      <c r="A18">
        <f t="shared" si="0"/>
        <v>10</v>
      </c>
      <c r="B18" s="183" t="s">
        <v>1283</v>
      </c>
      <c r="C18" s="466"/>
      <c r="D18" s="185"/>
      <c r="E18" s="185"/>
      <c r="F18" s="185"/>
      <c r="G18" s="576"/>
      <c r="H18" s="194"/>
      <c r="I18" s="184"/>
      <c r="J18" s="184"/>
      <c r="K18" s="577"/>
      <c r="L18">
        <f t="shared" si="1"/>
        <v>10</v>
      </c>
    </row>
    <row r="19" spans="1:12" x14ac:dyDescent="0.35">
      <c r="A19">
        <f t="shared" si="0"/>
        <v>11</v>
      </c>
      <c r="B19" s="123"/>
      <c r="C19" s="42"/>
      <c r="D19" s="174"/>
      <c r="E19" s="159"/>
      <c r="F19" s="174"/>
      <c r="G19" s="42"/>
      <c r="I19" s="174"/>
      <c r="J19" s="174"/>
      <c r="K19" s="166"/>
      <c r="L19">
        <f t="shared" si="1"/>
        <v>11</v>
      </c>
    </row>
    <row r="20" spans="1:12" x14ac:dyDescent="0.35">
      <c r="A20">
        <f t="shared" si="0"/>
        <v>12</v>
      </c>
      <c r="B20" s="123"/>
      <c r="C20" s="42"/>
      <c r="D20" s="174"/>
      <c r="E20" s="159"/>
      <c r="F20" s="174"/>
      <c r="G20" s="42"/>
      <c r="I20" s="174"/>
      <c r="J20" s="174"/>
      <c r="K20" s="166"/>
      <c r="L20">
        <f t="shared" si="1"/>
        <v>12</v>
      </c>
    </row>
    <row r="21" spans="1:12" x14ac:dyDescent="0.35">
      <c r="A21">
        <f t="shared" si="0"/>
        <v>13</v>
      </c>
      <c r="B21" s="123"/>
      <c r="C21" s="42"/>
      <c r="D21" s="174"/>
      <c r="E21" s="159"/>
      <c r="F21" s="174"/>
      <c r="G21" s="42"/>
      <c r="I21" s="174"/>
      <c r="J21" s="174"/>
      <c r="K21" s="166"/>
      <c r="L21">
        <f t="shared" si="1"/>
        <v>13</v>
      </c>
    </row>
    <row r="22" spans="1:12" x14ac:dyDescent="0.35">
      <c r="A22">
        <f t="shared" si="0"/>
        <v>14</v>
      </c>
      <c r="B22" s="123"/>
      <c r="C22" s="42"/>
      <c r="D22" s="174"/>
      <c r="E22" s="159"/>
      <c r="F22" s="174"/>
      <c r="G22" s="42"/>
      <c r="I22" s="174"/>
      <c r="J22" s="174"/>
      <c r="K22" s="166"/>
      <c r="L22">
        <f t="shared" si="1"/>
        <v>14</v>
      </c>
    </row>
    <row r="23" spans="1:12" x14ac:dyDescent="0.35">
      <c r="A23">
        <f t="shared" si="0"/>
        <v>15</v>
      </c>
      <c r="B23" s="191" t="s">
        <v>1284</v>
      </c>
      <c r="C23" s="194"/>
      <c r="D23" s="194"/>
      <c r="E23" s="194"/>
      <c r="F23" s="194"/>
      <c r="G23" s="194"/>
      <c r="H23" s="194"/>
      <c r="I23" s="194"/>
      <c r="J23" s="194"/>
      <c r="K23" s="574"/>
      <c r="L23">
        <f t="shared" si="1"/>
        <v>15</v>
      </c>
    </row>
    <row r="24" spans="1:12" x14ac:dyDescent="0.35">
      <c r="A24">
        <f t="shared" si="0"/>
        <v>16</v>
      </c>
      <c r="B24" s="123"/>
      <c r="K24" s="25"/>
      <c r="L24">
        <f t="shared" si="1"/>
        <v>16</v>
      </c>
    </row>
    <row r="25" spans="1:12" x14ac:dyDescent="0.35">
      <c r="A25">
        <f t="shared" si="0"/>
        <v>17</v>
      </c>
      <c r="B25" s="123"/>
      <c r="K25" s="25"/>
      <c r="L25">
        <f t="shared" si="1"/>
        <v>17</v>
      </c>
    </row>
    <row r="26" spans="1:12" x14ac:dyDescent="0.35">
      <c r="A26">
        <f t="shared" si="0"/>
        <v>18</v>
      </c>
      <c r="B26" s="123"/>
      <c r="K26" s="25"/>
      <c r="L26">
        <f t="shared" si="1"/>
        <v>18</v>
      </c>
    </row>
    <row r="27" spans="1:12" ht="15" thickBot="1" x14ac:dyDescent="0.4">
      <c r="A27">
        <f t="shared" si="0"/>
        <v>19</v>
      </c>
      <c r="B27" s="112"/>
      <c r="C27" s="14"/>
      <c r="D27" s="14"/>
      <c r="E27" s="14"/>
      <c r="F27" s="14"/>
      <c r="G27" s="14"/>
      <c r="H27" s="14"/>
      <c r="I27" s="14"/>
      <c r="J27" s="14"/>
      <c r="K27" s="28"/>
      <c r="L27">
        <f t="shared" si="1"/>
        <v>19</v>
      </c>
    </row>
    <row r="28" spans="1:12" ht="15" thickTop="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UkrAid24jan2022ToOct312023</vt:lpstr>
      <vt:lpstr>UkrAid24Jan2022To15Jan2024</vt:lpstr>
      <vt:lpstr>PopGDP</vt:lpstr>
      <vt:lpstr>UkrWar_KillRatios</vt:lpstr>
      <vt:lpstr>WeaponsUKRwar</vt:lpstr>
      <vt:lpstr>MissileDroneTech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Mathiesen</dc:creator>
  <cp:lastModifiedBy>Henrik Mathiesen</cp:lastModifiedBy>
  <dcterms:created xsi:type="dcterms:W3CDTF">2015-06-05T18:19:34Z</dcterms:created>
  <dcterms:modified xsi:type="dcterms:W3CDTF">2024-09-16T20:17:45Z</dcterms:modified>
</cp:coreProperties>
</file>