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FD203ABE-3CD7-4E8A-9781-89BE70D8CE8D}" xr6:coauthVersionLast="47" xr6:coauthVersionMax="47" xr10:uidLastSave="{00000000-0000-0000-0000-000000000000}"/>
  <bookViews>
    <workbookView xWindow="-110" yWindow="-110" windowWidth="38620" windowHeight="21100" tabRatio="681" activeTab="1" xr2:uid="{00000000-000D-0000-FFFF-FFFF00000000}"/>
  </bookViews>
  <sheets>
    <sheet name="AI_Models" sheetId="7" r:id="rId1"/>
    <sheet name="KeyChips" sheetId="5" r:id="rId2"/>
    <sheet name="AI_Supercomputers" sheetId="6" r:id="rId3"/>
    <sheet name="FutureAISupercomputers" sheetId="8" r:id="rId4"/>
    <sheet name="AI_Chip_Prod_TFLOPS_GB_RAM" sheetId="10" r:id="rId5"/>
    <sheet name="AI_Chip_Prod_ElecUse" sheetId="11" r:id="rId6"/>
    <sheet name="Calc_Moores_Law" sheetId="2" r:id="rId7"/>
    <sheet name="Calc_nm_Law" sheetId="3" r:id="rId8"/>
    <sheet name="AGI_views" sheetId="13" r:id="rId9"/>
    <sheet name="AI_MegaTrends" sheetId="15" r:id="rId10"/>
    <sheet name="OpenAI5levelsAI" sheetId="14" r:id="rId11"/>
    <sheet name="AI_Data_Sets"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7" i="5" l="1"/>
  <c r="Y38" i="5"/>
  <c r="Y39" i="5"/>
  <c r="L38" i="5"/>
  <c r="X38" i="5"/>
  <c r="I38" i="5"/>
  <c r="Y129" i="5"/>
  <c r="Y130" i="5" s="1"/>
  <c r="B129" i="5"/>
  <c r="B130" i="5"/>
  <c r="B131" i="5"/>
  <c r="C129" i="5"/>
  <c r="E38" i="5"/>
  <c r="B38" i="5"/>
  <c r="B39" i="5"/>
  <c r="C128" i="5" l="1"/>
  <c r="X37" i="5"/>
  <c r="L37" i="5"/>
  <c r="X35" i="5"/>
  <c r="X36" i="5"/>
  <c r="L36" i="5"/>
  <c r="C127" i="5"/>
  <c r="C62" i="13"/>
  <c r="T58" i="7"/>
  <c r="X54" i="7"/>
  <c r="X53" i="7"/>
  <c r="X41" i="7"/>
  <c r="X40" i="7"/>
  <c r="X38" i="7"/>
  <c r="X32" i="7"/>
  <c r="X31" i="7"/>
  <c r="X30" i="7"/>
  <c r="X21" i="7"/>
  <c r="X18" i="7"/>
  <c r="X64" i="7"/>
  <c r="X63" i="7"/>
  <c r="X61" i="7"/>
  <c r="X62" i="7"/>
  <c r="X65" i="7"/>
  <c r="X60" i="7"/>
  <c r="X59" i="7"/>
  <c r="X58" i="7"/>
  <c r="L60" i="7"/>
  <c r="L59" i="7"/>
  <c r="X15" i="7"/>
  <c r="X13" i="7"/>
  <c r="X12" i="7"/>
  <c r="X11" i="7"/>
  <c r="X10" i="7"/>
  <c r="T12" i="7"/>
  <c r="X28" i="7"/>
  <c r="L40" i="7"/>
  <c r="O40" i="7"/>
  <c r="Z40" i="7"/>
  <c r="Z41" i="7"/>
  <c r="C176" i="7"/>
  <c r="B40" i="7"/>
  <c r="B41" i="7"/>
  <c r="X142" i="7"/>
  <c r="X143" i="7"/>
  <c r="X144" i="7"/>
  <c r="C79" i="13" l="1"/>
  <c r="C75" i="13"/>
  <c r="AE65" i="7"/>
  <c r="AC65" i="7" s="1"/>
  <c r="AC64" i="7"/>
  <c r="AC63" i="7"/>
  <c r="AC61" i="7"/>
  <c r="AC62" i="7"/>
  <c r="AC59" i="7"/>
  <c r="AC60" i="7"/>
  <c r="B13" i="15"/>
  <c r="B14" i="15"/>
  <c r="B15" i="15" s="1"/>
  <c r="C41" i="15"/>
  <c r="C42" i="15"/>
  <c r="I70" i="7"/>
  <c r="L64" i="7"/>
  <c r="C100" i="7"/>
  <c r="M65" i="7" s="1"/>
  <c r="C99" i="7"/>
  <c r="M64" i="7" s="1"/>
  <c r="G100" i="7"/>
  <c r="L65" i="7" s="1"/>
  <c r="N65" i="7" s="1"/>
  <c r="C80" i="13"/>
  <c r="C63" i="13"/>
  <c r="C65" i="13"/>
  <c r="C64" i="13"/>
  <c r="C50" i="15"/>
  <c r="C52" i="15"/>
  <c r="C46" i="15"/>
  <c r="A2" i="5"/>
  <c r="A2" i="15" s="1"/>
  <c r="C54" i="15"/>
  <c r="C53" i="15"/>
  <c r="C51" i="15"/>
  <c r="C49" i="15"/>
  <c r="C48" i="15"/>
  <c r="C47" i="15"/>
  <c r="C45" i="15"/>
  <c r="C44" i="15"/>
  <c r="C43" i="15"/>
  <c r="C40" i="15"/>
  <c r="C39" i="15"/>
  <c r="R38" i="15"/>
  <c r="R39" i="15" s="1"/>
  <c r="R40" i="15" s="1"/>
  <c r="R42" i="15" s="1"/>
  <c r="R43" i="15" s="1"/>
  <c r="R44" i="15" s="1"/>
  <c r="R45" i="15" s="1"/>
  <c r="R46" i="15" s="1"/>
  <c r="R47" i="15" s="1"/>
  <c r="R48" i="15" s="1"/>
  <c r="R49" i="15" s="1"/>
  <c r="R50" i="15" s="1"/>
  <c r="R51" i="15" s="1"/>
  <c r="R52" i="15" s="1"/>
  <c r="R53" i="15" s="1"/>
  <c r="R54" i="15" s="1"/>
  <c r="C38" i="15"/>
  <c r="B38" i="15"/>
  <c r="B39" i="15" s="1"/>
  <c r="B40" i="15" s="1"/>
  <c r="B42" i="15" s="1"/>
  <c r="B43" i="15" s="1"/>
  <c r="B44" i="15" s="1"/>
  <c r="B45" i="15" s="1"/>
  <c r="B46" i="15" s="1"/>
  <c r="B47" i="15" s="1"/>
  <c r="B48" i="15" s="1"/>
  <c r="B49" i="15" s="1"/>
  <c r="B50" i="15" s="1"/>
  <c r="B51" i="15" s="1"/>
  <c r="B52" i="15" s="1"/>
  <c r="B53" i="15" s="1"/>
  <c r="B54" i="15" s="1"/>
  <c r="C37" i="15"/>
  <c r="Q36" i="15"/>
  <c r="P36" i="15"/>
  <c r="O36" i="15"/>
  <c r="N36" i="15"/>
  <c r="M36" i="15"/>
  <c r="L36" i="15"/>
  <c r="K36" i="15"/>
  <c r="J36" i="15"/>
  <c r="I36" i="15"/>
  <c r="H36" i="15"/>
  <c r="F36" i="15"/>
  <c r="E36" i="15"/>
  <c r="D36" i="15"/>
  <c r="Q35" i="15"/>
  <c r="P35" i="15"/>
  <c r="O35" i="15"/>
  <c r="N35" i="15"/>
  <c r="M35" i="15"/>
  <c r="L35" i="15"/>
  <c r="K35" i="15"/>
  <c r="J35" i="15"/>
  <c r="I35" i="15"/>
  <c r="H35" i="15"/>
  <c r="G35" i="15"/>
  <c r="F35" i="15"/>
  <c r="E35" i="15"/>
  <c r="D35" i="15"/>
  <c r="Q34" i="15"/>
  <c r="P34" i="15"/>
  <c r="O34" i="15"/>
  <c r="N34" i="15"/>
  <c r="M34" i="15"/>
  <c r="L34" i="15"/>
  <c r="K34" i="15"/>
  <c r="J34" i="15"/>
  <c r="I34" i="15"/>
  <c r="H34" i="15"/>
  <c r="G34" i="15"/>
  <c r="F34" i="15"/>
  <c r="E34" i="15"/>
  <c r="D34" i="15"/>
  <c r="R10" i="15"/>
  <c r="R11" i="15" s="1"/>
  <c r="R12" i="15" s="1"/>
  <c r="R14" i="15" s="1"/>
  <c r="R15" i="15" s="1"/>
  <c r="R16" i="15" s="1"/>
  <c r="R17" i="15" s="1"/>
  <c r="R18" i="15" s="1"/>
  <c r="R19" i="15" s="1"/>
  <c r="R20" i="15" s="1"/>
  <c r="R21" i="15" s="1"/>
  <c r="R22" i="15" s="1"/>
  <c r="R23" i="15" s="1"/>
  <c r="R24" i="15" s="1"/>
  <c r="R25" i="15" s="1"/>
  <c r="B10" i="15"/>
  <c r="B11" i="15" s="1"/>
  <c r="B12" i="15" s="1"/>
  <c r="A3" i="15"/>
  <c r="A1" i="15"/>
  <c r="Q42" i="7"/>
  <c r="Q41" i="7"/>
  <c r="O41" i="7"/>
  <c r="Q15" i="7"/>
  <c r="M51" i="7"/>
  <c r="M46" i="7"/>
  <c r="L51" i="7"/>
  <c r="L46" i="7"/>
  <c r="J46" i="7"/>
  <c r="J51" i="7"/>
  <c r="C182" i="7"/>
  <c r="I51" i="7"/>
  <c r="O51" i="7"/>
  <c r="O46" i="7"/>
  <c r="I46" i="7"/>
  <c r="C187" i="7"/>
  <c r="N46" i="7" l="1"/>
  <c r="N51" i="7"/>
  <c r="N64" i="7"/>
  <c r="B16" i="15"/>
  <c r="B17" i="15" s="1"/>
  <c r="B18" i="15" s="1"/>
  <c r="B19" i="15" s="1"/>
  <c r="B20" i="15" s="1"/>
  <c r="B21" i="15" s="1"/>
  <c r="B22" i="15" s="1"/>
  <c r="B23" i="15" s="1"/>
  <c r="B24" i="15" s="1"/>
  <c r="B25" i="15" s="1"/>
  <c r="R26" i="15"/>
  <c r="R27" i="15" s="1"/>
  <c r="R28" i="15" s="1"/>
  <c r="B26" i="15"/>
  <c r="B27" i="15" s="1"/>
  <c r="B28" i="15" s="1"/>
  <c r="O50" i="7"/>
  <c r="M50" i="7"/>
  <c r="P50" i="7"/>
  <c r="P37" i="7"/>
  <c r="P47" i="7"/>
  <c r="I50" i="7"/>
  <c r="C186" i="7"/>
  <c r="C185" i="7"/>
  <c r="C181" i="7"/>
  <c r="C116" i="5"/>
  <c r="I25" i="5"/>
  <c r="L35" i="5"/>
  <c r="L32" i="5"/>
  <c r="C134" i="5"/>
  <c r="C135" i="5"/>
  <c r="C126" i="5"/>
  <c r="H97" i="5"/>
  <c r="H98" i="5"/>
  <c r="H99" i="5"/>
  <c r="C132" i="5"/>
  <c r="C133" i="5"/>
  <c r="X41" i="5"/>
  <c r="W41" i="5"/>
  <c r="C55" i="13"/>
  <c r="C56" i="13"/>
  <c r="C57" i="13"/>
  <c r="C58" i="13"/>
  <c r="C59" i="13"/>
  <c r="C60" i="13"/>
  <c r="C61" i="13"/>
  <c r="C70" i="13"/>
  <c r="C76" i="13"/>
  <c r="C77" i="13"/>
  <c r="C78" i="13"/>
  <c r="K50" i="13"/>
  <c r="K51" i="13"/>
  <c r="K52" i="13"/>
  <c r="D50" i="13"/>
  <c r="E50" i="13"/>
  <c r="D51" i="13"/>
  <c r="E51" i="13"/>
  <c r="D52" i="13"/>
  <c r="E52" i="13"/>
  <c r="J50" i="13"/>
  <c r="J51" i="13"/>
  <c r="J52" i="13"/>
  <c r="C85" i="13"/>
  <c r="C74" i="13"/>
  <c r="C72" i="13"/>
  <c r="C73" i="13"/>
  <c r="C71" i="13"/>
  <c r="C201" i="7"/>
  <c r="Q58" i="7"/>
  <c r="Q59" i="7" s="1"/>
  <c r="Q36" i="7"/>
  <c r="C172" i="7"/>
  <c r="Q32" i="7"/>
  <c r="Q31" i="7"/>
  <c r="Q30" i="7"/>
  <c r="P142" i="7"/>
  <c r="Q142" i="7"/>
  <c r="P143" i="7"/>
  <c r="Q143" i="7"/>
  <c r="P144" i="7"/>
  <c r="Q144" i="7"/>
  <c r="O10" i="6"/>
  <c r="C173" i="7"/>
  <c r="Q21" i="5"/>
  <c r="L23" i="5"/>
  <c r="I23" i="5"/>
  <c r="C114" i="5"/>
  <c r="A1" i="13"/>
  <c r="A1" i="14"/>
  <c r="F13" i="14"/>
  <c r="F10" i="14"/>
  <c r="E80" i="7"/>
  <c r="E79" i="7"/>
  <c r="E77" i="7"/>
  <c r="I87" i="7"/>
  <c r="I86" i="7"/>
  <c r="I58" i="7"/>
  <c r="L63" i="7"/>
  <c r="L62" i="7"/>
  <c r="B94" i="6"/>
  <c r="X94"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s="1"/>
  <c r="B91" i="6" s="1"/>
  <c r="B92" i="6" s="1"/>
  <c r="B93" i="6" s="1"/>
  <c r="B57" i="6"/>
  <c r="X58" i="6"/>
  <c r="X59" i="6"/>
  <c r="X60" i="6" s="1"/>
  <c r="X61" i="6" s="1"/>
  <c r="X62" i="6" s="1"/>
  <c r="X63" i="6" s="1"/>
  <c r="X64" i="6" s="1"/>
  <c r="X65" i="6" s="1"/>
  <c r="X66" i="6" s="1"/>
  <c r="X67" i="6" s="1"/>
  <c r="X68" i="6" s="1"/>
  <c r="X69" i="6" s="1"/>
  <c r="X70" i="6" s="1"/>
  <c r="X71" i="6" s="1"/>
  <c r="X72" i="6" s="1"/>
  <c r="X73" i="6" s="1"/>
  <c r="X74" i="6" s="1"/>
  <c r="X75" i="6" s="1"/>
  <c r="X76" i="6" s="1"/>
  <c r="X77" i="6" s="1"/>
  <c r="X78" i="6" s="1"/>
  <c r="X79" i="6" s="1"/>
  <c r="X80" i="6" s="1"/>
  <c r="X81" i="6" s="1"/>
  <c r="X82" i="6" s="1"/>
  <c r="X83" i="6" s="1"/>
  <c r="X84" i="6" s="1"/>
  <c r="X85" i="6" s="1"/>
  <c r="X86" i="6" s="1"/>
  <c r="X87" i="6" s="1"/>
  <c r="X88" i="6" s="1"/>
  <c r="X89" i="6" s="1"/>
  <c r="X90" i="6" s="1"/>
  <c r="X91" i="6" s="1"/>
  <c r="X92" i="6" s="1"/>
  <c r="X93" i="6" s="1"/>
  <c r="X57" i="6"/>
  <c r="X11" i="6"/>
  <c r="X12" i="6"/>
  <c r="X13" i="6"/>
  <c r="X14" i="6"/>
  <c r="X15" i="6" s="1"/>
  <c r="X16" i="6" s="1"/>
  <c r="X17" i="6" s="1"/>
  <c r="X18" i="6" s="1"/>
  <c r="X19" i="6" s="1"/>
  <c r="X20" i="6" s="1"/>
  <c r="X21" i="6" s="1"/>
  <c r="X22" i="6" s="1"/>
  <c r="X23" i="6" s="1"/>
  <c r="X24" i="6" s="1"/>
  <c r="X25" i="6" s="1"/>
  <c r="X26" i="6" s="1"/>
  <c r="X27" i="6" s="1"/>
  <c r="X28" i="6" s="1"/>
  <c r="X29" i="6" s="1"/>
  <c r="X30" i="6" s="1"/>
  <c r="X31" i="6" s="1"/>
  <c r="X32" i="6" s="1"/>
  <c r="X33" i="6" s="1"/>
  <c r="X34" i="6" s="1"/>
  <c r="X35" i="6" s="1"/>
  <c r="X36" i="6" s="1"/>
  <c r="X37" i="6" s="1"/>
  <c r="X38" i="6" s="1"/>
  <c r="X39" i="6" s="1"/>
  <c r="X40" i="6" s="1"/>
  <c r="X41" i="6" s="1"/>
  <c r="X42" i="6" s="1"/>
  <c r="X43" i="6" s="1"/>
  <c r="X44" i="6" s="1"/>
  <c r="X45" i="6" s="1"/>
  <c r="X46" i="6" s="1"/>
  <c r="X47" i="6" s="1"/>
  <c r="X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s="1"/>
  <c r="B44" i="6" s="1"/>
  <c r="B45" i="6" s="1"/>
  <c r="B46" i="6" s="1"/>
  <c r="B47" i="6" s="1"/>
  <c r="B10" i="6"/>
  <c r="C199" i="7"/>
  <c r="C200" i="7"/>
  <c r="C98" i="7"/>
  <c r="M63" i="7" s="1"/>
  <c r="C93" i="7"/>
  <c r="J72" i="7"/>
  <c r="I72" i="7"/>
  <c r="R57" i="5"/>
  <c r="G43" i="6"/>
  <c r="C210" i="7"/>
  <c r="C157" i="7"/>
  <c r="C158" i="7"/>
  <c r="C159" i="7"/>
  <c r="J21" i="7"/>
  <c r="J22" i="7"/>
  <c r="J23" i="7"/>
  <c r="J19" i="7"/>
  <c r="J20" i="7"/>
  <c r="J18" i="7"/>
  <c r="H16" i="7"/>
  <c r="I16" i="7" s="1"/>
  <c r="K16" i="7" s="1"/>
  <c r="H18" i="7"/>
  <c r="H21" i="7" s="1"/>
  <c r="C155" i="7"/>
  <c r="AB14" i="7"/>
  <c r="AB12" i="7"/>
  <c r="R17" i="7"/>
  <c r="J17" i="7"/>
  <c r="C156" i="7"/>
  <c r="AD15" i="7"/>
  <c r="AB15" i="7"/>
  <c r="AB11" i="7"/>
  <c r="L15" i="7"/>
  <c r="C153" i="7"/>
  <c r="C154" i="7"/>
  <c r="G51" i="13"/>
  <c r="C87" i="13"/>
  <c r="C88" i="13"/>
  <c r="C84" i="13"/>
  <c r="C83" i="13"/>
  <c r="C69" i="13"/>
  <c r="C68" i="13"/>
  <c r="A3" i="13"/>
  <c r="A3" i="12"/>
  <c r="A3" i="3"/>
  <c r="A3" i="2"/>
  <c r="A3" i="11"/>
  <c r="A3" i="10"/>
  <c r="A3" i="8"/>
  <c r="A3" i="6"/>
  <c r="A3" i="5"/>
  <c r="I65" i="7" l="1"/>
  <c r="I64" i="7"/>
  <c r="N63" i="7"/>
  <c r="I63" i="7"/>
  <c r="E78" i="7"/>
  <c r="H22" i="7"/>
  <c r="I21" i="7"/>
  <c r="K21" i="7" s="1"/>
  <c r="H19" i="7"/>
  <c r="I18" i="7"/>
  <c r="K18" i="7" s="1"/>
  <c r="AB18" i="7"/>
  <c r="H17" i="7"/>
  <c r="I17" i="7" s="1"/>
  <c r="K17" i="7" s="1"/>
  <c r="AB16" i="7"/>
  <c r="L16" i="7"/>
  <c r="O16" i="7"/>
  <c r="O54" i="13"/>
  <c r="O55" i="13" s="1"/>
  <c r="C54" i="13"/>
  <c r="B54" i="13"/>
  <c r="B55" i="13" s="1"/>
  <c r="C53" i="13"/>
  <c r="N52" i="13"/>
  <c r="M52" i="13"/>
  <c r="L52" i="13"/>
  <c r="I52" i="13"/>
  <c r="H52" i="13"/>
  <c r="F52" i="13"/>
  <c r="N51" i="13"/>
  <c r="M51" i="13"/>
  <c r="L51" i="13"/>
  <c r="I51" i="13"/>
  <c r="H51" i="13"/>
  <c r="F51" i="13"/>
  <c r="N50" i="13"/>
  <c r="M50" i="13"/>
  <c r="L50" i="13"/>
  <c r="I50" i="13"/>
  <c r="H50" i="13"/>
  <c r="F50" i="13"/>
  <c r="G50" i="13"/>
  <c r="O10" i="13"/>
  <c r="O11" i="13" s="1"/>
  <c r="O12" i="13" s="1"/>
  <c r="O13" i="13" s="1"/>
  <c r="O14" i="13" s="1"/>
  <c r="O15" i="13" s="1"/>
  <c r="O16" i="13" s="1"/>
  <c r="O17" i="13" s="1"/>
  <c r="O18" i="13" s="1"/>
  <c r="O19" i="13" s="1"/>
  <c r="O20" i="13" s="1"/>
  <c r="O21" i="13" s="1"/>
  <c r="O22" i="13" s="1"/>
  <c r="O23" i="13" s="1"/>
  <c r="O24" i="13" s="1"/>
  <c r="O25" i="13" s="1"/>
  <c r="O26" i="13" s="1"/>
  <c r="O27" i="13" s="1"/>
  <c r="O28" i="13" s="1"/>
  <c r="O29" i="13" s="1"/>
  <c r="O30" i="13" s="1"/>
  <c r="O31" i="13" s="1"/>
  <c r="O32" i="13" s="1"/>
  <c r="O33" i="13" s="1"/>
  <c r="O34" i="13" s="1"/>
  <c r="O35" i="13" s="1"/>
  <c r="O36" i="13" s="1"/>
  <c r="O37" i="13" s="1"/>
  <c r="O38" i="13" s="1"/>
  <c r="O39" i="13" s="1"/>
  <c r="O40" i="13" s="1"/>
  <c r="B10" i="13"/>
  <c r="A2" i="13"/>
  <c r="I10" i="7"/>
  <c r="K10" i="7" s="1"/>
  <c r="I11" i="7"/>
  <c r="K11" i="7" s="1"/>
  <c r="S11" i="7"/>
  <c r="S10" i="7"/>
  <c r="J11" i="7"/>
  <c r="J10" i="7"/>
  <c r="U10" i="7"/>
  <c r="U11" i="7"/>
  <c r="Z10" i="7"/>
  <c r="Z11" i="7" s="1"/>
  <c r="Z12" i="7" s="1"/>
  <c r="B10" i="7"/>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Z146" i="7"/>
  <c r="Z147" i="7" s="1"/>
  <c r="Z148" i="7" s="1"/>
  <c r="Z149" i="7" s="1"/>
  <c r="Z150" i="7" s="1"/>
  <c r="Z151" i="7" s="1"/>
  <c r="Z152" i="7" s="1"/>
  <c r="B146" i="7"/>
  <c r="B147" i="7" s="1"/>
  <c r="B148" i="7" s="1"/>
  <c r="B149" i="7" s="1"/>
  <c r="B150" i="7" s="1"/>
  <c r="B151" i="7" s="1"/>
  <c r="B152" i="7" s="1"/>
  <c r="B153" i="7" s="1"/>
  <c r="B154" i="7" s="1"/>
  <c r="B155" i="7" s="1"/>
  <c r="B156" i="7" s="1"/>
  <c r="B157" i="7" s="1"/>
  <c r="B158" i="7" s="1"/>
  <c r="B159" i="7" s="1"/>
  <c r="B160" i="7" s="1"/>
  <c r="C146" i="7"/>
  <c r="C147" i="7"/>
  <c r="L58" i="7"/>
  <c r="I135" i="7"/>
  <c r="I134" i="7" s="1"/>
  <c r="N58" i="5"/>
  <c r="O44" i="6" s="1"/>
  <c r="J44" i="6"/>
  <c r="K44" i="6" s="1"/>
  <c r="F43" i="6"/>
  <c r="F44" i="6"/>
  <c r="E44" i="6"/>
  <c r="C44" i="6"/>
  <c r="K58" i="5"/>
  <c r="N44" i="6" s="1"/>
  <c r="J58" i="5"/>
  <c r="M44" i="6" s="1"/>
  <c r="D68" i="7"/>
  <c r="C68" i="7"/>
  <c r="C204" i="7" s="1"/>
  <c r="E68" i="7"/>
  <c r="C149" i="5"/>
  <c r="E67" i="7"/>
  <c r="E69" i="7"/>
  <c r="I68" i="7"/>
  <c r="J68" i="7"/>
  <c r="Q3" i="8"/>
  <c r="P41" i="8"/>
  <c r="Q41" i="8"/>
  <c r="P42" i="8"/>
  <c r="Q42" i="8"/>
  <c r="P43" i="8"/>
  <c r="Q43" i="8"/>
  <c r="P15" i="8"/>
  <c r="P16" i="8" s="1"/>
  <c r="P17" i="8" s="1"/>
  <c r="P18" i="8" s="1"/>
  <c r="P19" i="8" s="1"/>
  <c r="P20" i="8" s="1"/>
  <c r="C49" i="8"/>
  <c r="C50" i="8"/>
  <c r="C51" i="8"/>
  <c r="C43" i="8" s="1"/>
  <c r="C52" i="8"/>
  <c r="C53" i="8"/>
  <c r="C48" i="8"/>
  <c r="C56" i="8"/>
  <c r="N14" i="5"/>
  <c r="F13" i="10"/>
  <c r="C13" i="10"/>
  <c r="D16" i="10"/>
  <c r="D17" i="10" s="1"/>
  <c r="D18" i="10" s="1"/>
  <c r="D19" i="10" s="1"/>
  <c r="D20" i="10" s="1"/>
  <c r="D21" i="10" s="1"/>
  <c r="D22" i="10" s="1"/>
  <c r="D23" i="10" s="1"/>
  <c r="D24" i="10" s="1"/>
  <c r="D25" i="10" s="1"/>
  <c r="D26" i="10" s="1"/>
  <c r="D27" i="10" s="1"/>
  <c r="D28" i="10" s="1"/>
  <c r="D29" i="10" s="1"/>
  <c r="D30" i="10" s="1"/>
  <c r="D31" i="10" s="1"/>
  <c r="D32" i="10" s="1"/>
  <c r="D33" i="10" s="1"/>
  <c r="D34" i="10" s="1"/>
  <c r="G69" i="7"/>
  <c r="O38" i="6"/>
  <c r="O37" i="6"/>
  <c r="O59" i="7"/>
  <c r="N54" i="5"/>
  <c r="O48" i="7"/>
  <c r="O47" i="7"/>
  <c r="O15" i="7"/>
  <c r="O142" i="7"/>
  <c r="O143" i="7"/>
  <c r="O144" i="7"/>
  <c r="N10" i="5"/>
  <c r="Q12" i="7" s="1"/>
  <c r="O69" i="7"/>
  <c r="Q69" i="7" s="1"/>
  <c r="J56" i="7"/>
  <c r="J12" i="7"/>
  <c r="J55" i="7"/>
  <c r="J53" i="7"/>
  <c r="J44" i="7"/>
  <c r="J42" i="7"/>
  <c r="J29" i="7"/>
  <c r="J28" i="7"/>
  <c r="K24" i="7"/>
  <c r="I13" i="7"/>
  <c r="K13" i="7" s="1"/>
  <c r="K142" i="7"/>
  <c r="K143" i="7"/>
  <c r="K144" i="7"/>
  <c r="E143" i="7"/>
  <c r="U43" i="7"/>
  <c r="T43" i="7"/>
  <c r="T42" i="7"/>
  <c r="J43" i="7"/>
  <c r="H43" i="7"/>
  <c r="C179" i="7"/>
  <c r="I38" i="7"/>
  <c r="K38" i="7" s="1"/>
  <c r="O38" i="7" s="1"/>
  <c r="J71" i="7"/>
  <c r="T33" i="7"/>
  <c r="C169" i="7"/>
  <c r="J32" i="7"/>
  <c r="J33" i="7"/>
  <c r="J26" i="7"/>
  <c r="J16" i="7"/>
  <c r="I33" i="7"/>
  <c r="F38" i="6"/>
  <c r="C82" i="6"/>
  <c r="C56" i="6"/>
  <c r="E41" i="6"/>
  <c r="D41" i="6"/>
  <c r="C41" i="6"/>
  <c r="P55" i="5"/>
  <c r="P54" i="5"/>
  <c r="O62" i="5"/>
  <c r="E54" i="5"/>
  <c r="D55" i="5"/>
  <c r="C55" i="5"/>
  <c r="L61" i="7"/>
  <c r="C197" i="7"/>
  <c r="C96" i="7"/>
  <c r="M61" i="7" s="1"/>
  <c r="H41" i="6" s="1"/>
  <c r="O45" i="6"/>
  <c r="C46" i="6"/>
  <c r="C93" i="6" s="1"/>
  <c r="C60" i="5"/>
  <c r="L3" i="6"/>
  <c r="K3" i="5"/>
  <c r="I71" i="7"/>
  <c r="L89" i="7"/>
  <c r="I73" i="7" s="1"/>
  <c r="I74" i="7" s="1"/>
  <c r="C207" i="7"/>
  <c r="C208" i="7"/>
  <c r="C209" i="7"/>
  <c r="Y79" i="7"/>
  <c r="T95" i="7"/>
  <c r="T96" i="7" s="1"/>
  <c r="V69" i="7"/>
  <c r="V67" i="7"/>
  <c r="H58" i="7"/>
  <c r="Y80" i="7"/>
  <c r="C97" i="7"/>
  <c r="M62" i="7" s="1"/>
  <c r="C95" i="7"/>
  <c r="M60" i="7" s="1"/>
  <c r="C94" i="7"/>
  <c r="M59" i="7" s="1"/>
  <c r="C198" i="7"/>
  <c r="I56" i="7"/>
  <c r="K56" i="7" s="1"/>
  <c r="I55" i="7"/>
  <c r="C188" i="7"/>
  <c r="C175" i="7"/>
  <c r="C145" i="7"/>
  <c r="H53" i="7"/>
  <c r="AA8" i="2"/>
  <c r="Z12" i="2" s="1"/>
  <c r="R8" i="2"/>
  <c r="Q19" i="2" s="1"/>
  <c r="L45" i="2"/>
  <c r="L46" i="2"/>
  <c r="L47" i="2"/>
  <c r="K47" i="2"/>
  <c r="K46" i="2"/>
  <c r="K45" i="2"/>
  <c r="C47" i="2"/>
  <c r="C46" i="2"/>
  <c r="C45" i="2"/>
  <c r="S8" i="2"/>
  <c r="X51" i="2"/>
  <c r="X50" i="2"/>
  <c r="X49" i="2"/>
  <c r="X48" i="2"/>
  <c r="O51" i="2"/>
  <c r="O50" i="2"/>
  <c r="O49" i="2"/>
  <c r="O48" i="2"/>
  <c r="K18" i="8"/>
  <c r="H24" i="8"/>
  <c r="H25" i="8"/>
  <c r="H26" i="8"/>
  <c r="H27" i="8"/>
  <c r="H28" i="8"/>
  <c r="I17" i="8"/>
  <c r="I14" i="8"/>
  <c r="I15" i="8"/>
  <c r="I16" i="8"/>
  <c r="I13" i="8"/>
  <c r="I12" i="8"/>
  <c r="D51" i="2"/>
  <c r="D50" i="2"/>
  <c r="D49" i="2"/>
  <c r="D48" i="2"/>
  <c r="F8" i="2"/>
  <c r="E8" i="2"/>
  <c r="D21" i="2" s="1"/>
  <c r="H23" i="8" s="1"/>
  <c r="B50" i="2"/>
  <c r="B51" i="2"/>
  <c r="B49" i="2"/>
  <c r="B48" i="2"/>
  <c r="B45" i="11"/>
  <c r="W43" i="8"/>
  <c r="T41" i="8"/>
  <c r="U41" i="8"/>
  <c r="V41" i="8"/>
  <c r="W41" i="8"/>
  <c r="T42" i="8"/>
  <c r="U42" i="8"/>
  <c r="V42" i="8"/>
  <c r="W42" i="8"/>
  <c r="S41" i="8"/>
  <c r="S42" i="8"/>
  <c r="S43" i="8"/>
  <c r="B43" i="10"/>
  <c r="W13" i="8"/>
  <c r="R41" i="8"/>
  <c r="R42" i="8"/>
  <c r="R43" i="8"/>
  <c r="M13" i="10"/>
  <c r="M12" i="10"/>
  <c r="S14" i="8"/>
  <c r="S15" i="8"/>
  <c r="S16" i="8"/>
  <c r="S13" i="8"/>
  <c r="S12" i="8"/>
  <c r="R27" i="8"/>
  <c r="R28" i="8"/>
  <c r="R29" i="8"/>
  <c r="R30" i="8"/>
  <c r="R31" i="8"/>
  <c r="R32" i="8"/>
  <c r="R33" i="8"/>
  <c r="R34" i="8"/>
  <c r="R35" i="8"/>
  <c r="R36" i="8"/>
  <c r="B47" i="8"/>
  <c r="G39" i="11"/>
  <c r="G40" i="11"/>
  <c r="G41" i="11"/>
  <c r="B44" i="11"/>
  <c r="B43" i="11"/>
  <c r="C7" i="8"/>
  <c r="B44" i="8"/>
  <c r="B45" i="8"/>
  <c r="B46" i="8"/>
  <c r="B42" i="10"/>
  <c r="B41" i="10"/>
  <c r="R40" i="10"/>
  <c r="K19" i="8"/>
  <c r="K20" i="8"/>
  <c r="K21" i="8"/>
  <c r="M21" i="8"/>
  <c r="K22" i="8"/>
  <c r="K23" i="8"/>
  <c r="K24" i="8"/>
  <c r="K25" i="8"/>
  <c r="M25" i="8"/>
  <c r="K26" i="8"/>
  <c r="K27" i="8"/>
  <c r="K28" i="8"/>
  <c r="K29" i="8"/>
  <c r="M29" i="8"/>
  <c r="K31" i="8"/>
  <c r="K33" i="8"/>
  <c r="M33" i="8"/>
  <c r="K34" i="8"/>
  <c r="K35" i="8"/>
  <c r="U31" i="6"/>
  <c r="X16" i="5"/>
  <c r="N41" i="8"/>
  <c r="N42" i="8"/>
  <c r="N43" i="8"/>
  <c r="N17" i="8"/>
  <c r="N14" i="8"/>
  <c r="N15" i="8"/>
  <c r="N16" i="8"/>
  <c r="N13" i="8"/>
  <c r="N12" i="8"/>
  <c r="I14" i="6"/>
  <c r="O41" i="8"/>
  <c r="O42" i="8"/>
  <c r="O43" i="8"/>
  <c r="M41" i="8"/>
  <c r="M42" i="8"/>
  <c r="M43" i="8"/>
  <c r="J41" i="8"/>
  <c r="K41" i="8"/>
  <c r="L41" i="8"/>
  <c r="J42" i="8"/>
  <c r="K42" i="8"/>
  <c r="L42" i="8"/>
  <c r="J43" i="8"/>
  <c r="K43" i="8"/>
  <c r="L43" i="8"/>
  <c r="I43" i="8"/>
  <c r="I41" i="8"/>
  <c r="I42" i="8"/>
  <c r="G41" i="8"/>
  <c r="G42" i="8"/>
  <c r="F41" i="8"/>
  <c r="F42" i="8"/>
  <c r="E42" i="8"/>
  <c r="E41" i="8"/>
  <c r="K17" i="8"/>
  <c r="K14" i="8"/>
  <c r="K15" i="8"/>
  <c r="K16" i="8"/>
  <c r="K13" i="8"/>
  <c r="K12" i="8"/>
  <c r="S22" i="6"/>
  <c r="R22" i="6"/>
  <c r="Q22" i="6"/>
  <c r="N22" i="6"/>
  <c r="M22" i="6"/>
  <c r="L22" i="6" s="1"/>
  <c r="M21" i="6"/>
  <c r="H22" i="6"/>
  <c r="J22" i="6" s="1"/>
  <c r="I13" i="5"/>
  <c r="I14" i="5"/>
  <c r="X14" i="5"/>
  <c r="W12" i="5"/>
  <c r="C105" i="5"/>
  <c r="I12" i="6"/>
  <c r="J15" i="8"/>
  <c r="C69" i="6"/>
  <c r="E39" i="11"/>
  <c r="E40" i="11"/>
  <c r="E41" i="11"/>
  <c r="G15" i="11"/>
  <c r="G14" i="11"/>
  <c r="G13" i="11"/>
  <c r="D5" i="11"/>
  <c r="D6" i="11"/>
  <c r="D7" i="11"/>
  <c r="N38" i="10"/>
  <c r="O38" i="10"/>
  <c r="N39" i="10"/>
  <c r="O39" i="10"/>
  <c r="N40" i="10"/>
  <c r="O40" i="10"/>
  <c r="L25" i="10"/>
  <c r="L26" i="10"/>
  <c r="L27" i="10"/>
  <c r="L28" i="10"/>
  <c r="L29" i="10"/>
  <c r="L30" i="10"/>
  <c r="L31" i="10"/>
  <c r="L32" i="10"/>
  <c r="L33" i="10"/>
  <c r="L34" i="10"/>
  <c r="H22" i="10"/>
  <c r="H23" i="10"/>
  <c r="H24" i="10"/>
  <c r="H25" i="10"/>
  <c r="H26" i="10"/>
  <c r="I14" i="10"/>
  <c r="F14" i="10"/>
  <c r="F38" i="10"/>
  <c r="F39" i="10"/>
  <c r="F40" i="10"/>
  <c r="C42" i="8"/>
  <c r="H6" i="2"/>
  <c r="D10" i="3"/>
  <c r="J41" i="3"/>
  <c r="F41" i="3"/>
  <c r="X52" i="2"/>
  <c r="X53" i="2" s="1"/>
  <c r="X54" i="2" s="1"/>
  <c r="X55" i="2" s="1"/>
  <c r="X56" i="2" s="1"/>
  <c r="X57" i="2" s="1"/>
  <c r="X58" i="2" s="1"/>
  <c r="X59" i="2" s="1"/>
  <c r="X60" i="2" s="1"/>
  <c r="X61" i="2" s="1"/>
  <c r="X62" i="2" s="1"/>
  <c r="X63" i="2" s="1"/>
  <c r="X64" i="2" s="1"/>
  <c r="X65" i="2" s="1"/>
  <c r="X66" i="2" s="1"/>
  <c r="X67" i="2" s="1"/>
  <c r="X68" i="2" s="1"/>
  <c r="X69" i="2" s="1"/>
  <c r="X70" i="2" s="1"/>
  <c r="X71" i="2" s="1"/>
  <c r="X72" i="2" s="1"/>
  <c r="X73" i="2" s="1"/>
  <c r="X74" i="2" s="1"/>
  <c r="O52" i="2"/>
  <c r="O53" i="2" s="1"/>
  <c r="O54" i="2" s="1"/>
  <c r="O55" i="2" s="1"/>
  <c r="O56" i="2" s="1"/>
  <c r="O57" i="2" s="1"/>
  <c r="O58" i="2" s="1"/>
  <c r="O59" i="2" s="1"/>
  <c r="O60" i="2" s="1"/>
  <c r="O61" i="2" s="1"/>
  <c r="O62" i="2" s="1"/>
  <c r="O63" i="2" s="1"/>
  <c r="O64" i="2" s="1"/>
  <c r="O65" i="2" s="1"/>
  <c r="O66" i="2" s="1"/>
  <c r="O67" i="2" s="1"/>
  <c r="O68" i="2" s="1"/>
  <c r="O69" i="2" s="1"/>
  <c r="O70" i="2" s="1"/>
  <c r="O71" i="2" s="1"/>
  <c r="O72" i="2" s="1"/>
  <c r="O73" i="2" s="1"/>
  <c r="O74" i="2" s="1"/>
  <c r="O75" i="2" s="1"/>
  <c r="O76" i="2" s="1"/>
  <c r="O77" i="2" s="1"/>
  <c r="O78" i="2" s="1"/>
  <c r="O79" i="2" s="1"/>
  <c r="B52" i="2"/>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A1" i="3"/>
  <c r="A1" i="2"/>
  <c r="A1" i="11"/>
  <c r="A1" i="10"/>
  <c r="A1" i="8"/>
  <c r="A1" i="12"/>
  <c r="J16" i="5"/>
  <c r="I13" i="6"/>
  <c r="J17" i="8" s="1"/>
  <c r="F17" i="8" s="1"/>
  <c r="J16" i="8"/>
  <c r="U48" i="7"/>
  <c r="U49" i="7" s="1"/>
  <c r="X39" i="5"/>
  <c r="M48" i="7"/>
  <c r="M47" i="7"/>
  <c r="L48" i="7"/>
  <c r="J48" i="7"/>
  <c r="I48" i="7"/>
  <c r="I47" i="7"/>
  <c r="D48" i="7"/>
  <c r="D47" i="7"/>
  <c r="K33" i="5"/>
  <c r="M37" i="6"/>
  <c r="H37" i="6"/>
  <c r="J37" i="6" s="1"/>
  <c r="D37" i="6"/>
  <c r="E37" i="6" s="1"/>
  <c r="C37" i="6"/>
  <c r="S38" i="6"/>
  <c r="R38" i="6"/>
  <c r="Q38" i="6"/>
  <c r="P38" i="6"/>
  <c r="N38" i="6"/>
  <c r="M38" i="6"/>
  <c r="H38" i="6"/>
  <c r="J38" i="6" s="1"/>
  <c r="E38" i="6"/>
  <c r="C38" i="6"/>
  <c r="C85" i="6" s="1"/>
  <c r="R59" i="5"/>
  <c r="A1" i="6"/>
  <c r="A1" i="5"/>
  <c r="X15" i="5"/>
  <c r="X13" i="5"/>
  <c r="X10" i="5"/>
  <c r="X51" i="5"/>
  <c r="X49" i="5"/>
  <c r="X48" i="5"/>
  <c r="X47" i="5"/>
  <c r="X46" i="5"/>
  <c r="X12" i="5"/>
  <c r="H43" i="6"/>
  <c r="J43" i="6" s="1"/>
  <c r="K43" i="6" s="1"/>
  <c r="M69" i="7"/>
  <c r="J66" i="7"/>
  <c r="K45" i="6"/>
  <c r="C69" i="7"/>
  <c r="Y67" i="7"/>
  <c r="U67" i="7"/>
  <c r="J71" i="5"/>
  <c r="D67" i="7"/>
  <c r="O23" i="6"/>
  <c r="P23" i="6"/>
  <c r="Q23" i="6"/>
  <c r="R23" i="6"/>
  <c r="O24" i="6"/>
  <c r="P24" i="6"/>
  <c r="Q24" i="6"/>
  <c r="R24" i="6"/>
  <c r="N23" i="6"/>
  <c r="N24" i="6"/>
  <c r="M23" i="6"/>
  <c r="L23" i="6" s="1"/>
  <c r="M24" i="6"/>
  <c r="L24" i="6" s="1"/>
  <c r="H23" i="6"/>
  <c r="J23" i="6" s="1"/>
  <c r="H24" i="6"/>
  <c r="J24" i="6" s="1"/>
  <c r="C70" i="6"/>
  <c r="C71" i="6"/>
  <c r="C72" i="6"/>
  <c r="T26" i="7"/>
  <c r="T29" i="7"/>
  <c r="I29" i="7"/>
  <c r="C165" i="7"/>
  <c r="I26" i="7"/>
  <c r="C67" i="7"/>
  <c r="E43" i="6"/>
  <c r="C43" i="6"/>
  <c r="V57" i="5"/>
  <c r="U57" i="5"/>
  <c r="R43" i="6" s="1"/>
  <c r="T57" i="5"/>
  <c r="Q43" i="6" s="1"/>
  <c r="S57" i="5"/>
  <c r="P43" i="6" s="1"/>
  <c r="L32" i="6"/>
  <c r="L31" i="6"/>
  <c r="C148" i="5"/>
  <c r="K57" i="5"/>
  <c r="J67" i="7" s="1"/>
  <c r="P56" i="5"/>
  <c r="G56" i="5"/>
  <c r="K56" i="5"/>
  <c r="N12" i="6"/>
  <c r="N13" i="6"/>
  <c r="N14" i="6"/>
  <c r="N11" i="6"/>
  <c r="N45" i="6"/>
  <c r="J69" i="7"/>
  <c r="E56" i="5"/>
  <c r="D56" i="5"/>
  <c r="C56" i="5"/>
  <c r="C147" i="5" s="1"/>
  <c r="E42" i="6"/>
  <c r="D66" i="7" s="1"/>
  <c r="F42" i="6"/>
  <c r="E66" i="7" s="1"/>
  <c r="G42" i="6"/>
  <c r="D42" i="6"/>
  <c r="C42" i="6"/>
  <c r="C39" i="6"/>
  <c r="C86" i="6" s="1"/>
  <c r="T32" i="7"/>
  <c r="T31" i="7"/>
  <c r="T28" i="7"/>
  <c r="T27" i="7"/>
  <c r="T15" i="7"/>
  <c r="J47" i="7" l="1"/>
  <c r="J50" i="7"/>
  <c r="V54" i="5"/>
  <c r="V59" i="5" s="1"/>
  <c r="AB58" i="7"/>
  <c r="AB65" i="7"/>
  <c r="O41" i="13"/>
  <c r="O42" i="13" s="1"/>
  <c r="O43" i="13" s="1"/>
  <c r="O44" i="13" s="1"/>
  <c r="Q21" i="7"/>
  <c r="Q18" i="7"/>
  <c r="B11" i="13"/>
  <c r="B12" i="13" s="1"/>
  <c r="B13" i="13" s="1"/>
  <c r="B14" i="13" s="1"/>
  <c r="B15" i="13" s="1"/>
  <c r="B16" i="13" s="1"/>
  <c r="B17" i="13" s="1"/>
  <c r="O56" i="13"/>
  <c r="O57" i="13" s="1"/>
  <c r="O58" i="13" s="1"/>
  <c r="O59" i="13" s="1"/>
  <c r="O60" i="13" s="1"/>
  <c r="O61" i="13" s="1"/>
  <c r="B56" i="13"/>
  <c r="B57" i="13" s="1"/>
  <c r="B58" i="13" s="1"/>
  <c r="B59" i="13" s="1"/>
  <c r="B60" i="13" s="1"/>
  <c r="B61" i="13" s="1"/>
  <c r="B39" i="7"/>
  <c r="B42" i="7" s="1"/>
  <c r="B43" i="7" s="1"/>
  <c r="B44" i="7" s="1"/>
  <c r="B45" i="7" s="1"/>
  <c r="B46" i="7" s="1"/>
  <c r="B47" i="7" s="1"/>
  <c r="B48" i="7" s="1"/>
  <c r="B49" i="7" s="1"/>
  <c r="B50" i="7" s="1"/>
  <c r="B51" i="7" s="1"/>
  <c r="B52" i="7" s="1"/>
  <c r="B53" i="7" s="1"/>
  <c r="B54" i="7" s="1"/>
  <c r="H64" i="7"/>
  <c r="AB64" i="7" s="1"/>
  <c r="H62" i="7"/>
  <c r="AB62" i="7" s="1"/>
  <c r="H63" i="7"/>
  <c r="AB63" i="7" s="1"/>
  <c r="I85" i="7"/>
  <c r="I84" i="7"/>
  <c r="I62" i="7"/>
  <c r="M14" i="10"/>
  <c r="J57" i="5"/>
  <c r="J62" i="5" s="1"/>
  <c r="L21" i="7"/>
  <c r="O21" i="7"/>
  <c r="O18" i="7"/>
  <c r="L18" i="7"/>
  <c r="K60" i="5"/>
  <c r="H20" i="7"/>
  <c r="I20" i="7" s="1"/>
  <c r="K20" i="7" s="1"/>
  <c r="I19" i="7"/>
  <c r="K19" i="7" s="1"/>
  <c r="AB19" i="7"/>
  <c r="H23" i="7"/>
  <c r="I23" i="7" s="1"/>
  <c r="K23" i="7" s="1"/>
  <c r="I22" i="7"/>
  <c r="K22" i="7" s="1"/>
  <c r="O17" i="7"/>
  <c r="L17" i="7"/>
  <c r="B161" i="7"/>
  <c r="B162" i="7" s="1"/>
  <c r="B163" i="7" s="1"/>
  <c r="B164" i="7" s="1"/>
  <c r="B165" i="7" s="1"/>
  <c r="B166" i="7" s="1"/>
  <c r="B167" i="7" s="1"/>
  <c r="B168" i="7" s="1"/>
  <c r="B169" i="7" s="1"/>
  <c r="B170" i="7" s="1"/>
  <c r="B171" i="7" s="1"/>
  <c r="B172" i="7" s="1"/>
  <c r="B173" i="7" s="1"/>
  <c r="Z153" i="7"/>
  <c r="Z154" i="7" s="1"/>
  <c r="Z155" i="7" s="1"/>
  <c r="Z156" i="7" s="1"/>
  <c r="Z157" i="7" s="1"/>
  <c r="Z158" i="7" s="1"/>
  <c r="Z159" i="7" s="1"/>
  <c r="Z160" i="7" s="1"/>
  <c r="Z161" i="7" s="1"/>
  <c r="O11" i="7"/>
  <c r="L11" i="7"/>
  <c r="L10" i="7"/>
  <c r="O10" i="7"/>
  <c r="D12" i="2"/>
  <c r="Q17" i="2"/>
  <c r="Q21" i="2"/>
  <c r="R18" i="8" s="1"/>
  <c r="Q22" i="2"/>
  <c r="Q23" i="2"/>
  <c r="Q24" i="2"/>
  <c r="Q25" i="2"/>
  <c r="Q26" i="2"/>
  <c r="Q20" i="2"/>
  <c r="Q27" i="2"/>
  <c r="Q12" i="2"/>
  <c r="Q28" i="2"/>
  <c r="Q29" i="2"/>
  <c r="Z21" i="2"/>
  <c r="Q14" i="2"/>
  <c r="Q13" i="2"/>
  <c r="Q16" i="2"/>
  <c r="Q18" i="2"/>
  <c r="Q15" i="2"/>
  <c r="O68" i="7"/>
  <c r="C91" i="6"/>
  <c r="O22" i="6"/>
  <c r="P9" i="8"/>
  <c r="P21" i="8"/>
  <c r="O13" i="7"/>
  <c r="O56" i="7"/>
  <c r="O24" i="7"/>
  <c r="L38" i="7"/>
  <c r="K55" i="7"/>
  <c r="L56" i="7"/>
  <c r="K29" i="7"/>
  <c r="K33" i="7"/>
  <c r="O33" i="7" s="1"/>
  <c r="L13" i="7"/>
  <c r="K26" i="7"/>
  <c r="O26" i="7" s="1"/>
  <c r="N46" i="6"/>
  <c r="J70" i="7"/>
  <c r="AB71" i="7" s="1"/>
  <c r="J73" i="7"/>
  <c r="J74" i="7" s="1"/>
  <c r="H61" i="7"/>
  <c r="L41" i="6" s="1"/>
  <c r="X54" i="5"/>
  <c r="I61" i="7"/>
  <c r="R55" i="5"/>
  <c r="V55" i="5"/>
  <c r="S41" i="6"/>
  <c r="N60" i="7"/>
  <c r="N62" i="7"/>
  <c r="N61" i="7"/>
  <c r="I60" i="7"/>
  <c r="H59" i="7"/>
  <c r="AB59" i="7" s="1"/>
  <c r="H60" i="7"/>
  <c r="AB60" i="7" s="1"/>
  <c r="T72" i="7"/>
  <c r="M46" i="6"/>
  <c r="L40" i="6"/>
  <c r="J60" i="5"/>
  <c r="C151" i="5"/>
  <c r="S17" i="8"/>
  <c r="T17" i="8" s="1"/>
  <c r="T71" i="7"/>
  <c r="T48" i="7"/>
  <c r="T70" i="7"/>
  <c r="T97" i="7"/>
  <c r="I54" i="5"/>
  <c r="I59" i="7"/>
  <c r="N48" i="7"/>
  <c r="F16" i="8"/>
  <c r="F15" i="8"/>
  <c r="G17" i="8"/>
  <c r="L18" i="8"/>
  <c r="T16" i="8"/>
  <c r="D13" i="2"/>
  <c r="D14" i="2"/>
  <c r="D15" i="2"/>
  <c r="D16" i="2"/>
  <c r="H18" i="8" s="1"/>
  <c r="D18" i="2"/>
  <c r="H20" i="8" s="1"/>
  <c r="D17" i="2"/>
  <c r="H19" i="8" s="1"/>
  <c r="D19" i="2"/>
  <c r="H21" i="8" s="1"/>
  <c r="D20" i="2"/>
  <c r="H22" i="8" s="1"/>
  <c r="T15" i="8"/>
  <c r="K9" i="8"/>
  <c r="L16" i="8"/>
  <c r="L17" i="8"/>
  <c r="L19" i="8"/>
  <c r="L15" i="8"/>
  <c r="E17" i="8"/>
  <c r="E16" i="8"/>
  <c r="E15" i="8"/>
  <c r="N37" i="6"/>
  <c r="N43" i="6"/>
  <c r="W57" i="5"/>
  <c r="X57" i="5"/>
  <c r="S43" i="6"/>
  <c r="U43" i="6" s="1"/>
  <c r="S40" i="6"/>
  <c r="C90" i="6"/>
  <c r="M67" i="7"/>
  <c r="T43" i="6"/>
  <c r="L67" i="7"/>
  <c r="C203" i="7"/>
  <c r="C57" i="7"/>
  <c r="H41" i="7"/>
  <c r="I35" i="7"/>
  <c r="K35" i="7" s="1"/>
  <c r="I28" i="7"/>
  <c r="K28" i="7" s="1"/>
  <c r="I30" i="7"/>
  <c r="K30" i="7" s="1"/>
  <c r="I31" i="7"/>
  <c r="K31" i="7" s="1"/>
  <c r="O31" i="7" s="1"/>
  <c r="I32" i="7"/>
  <c r="I27" i="7"/>
  <c r="K27" i="7" s="1"/>
  <c r="O27" i="7" s="1"/>
  <c r="I25" i="7"/>
  <c r="K25" i="7" s="1"/>
  <c r="O25" i="7" s="1"/>
  <c r="J30" i="5"/>
  <c r="I14" i="7"/>
  <c r="K14" i="7" s="1"/>
  <c r="O14" i="7" s="1"/>
  <c r="I12" i="7"/>
  <c r="K12" i="7" s="1"/>
  <c r="I17" i="5"/>
  <c r="I18" i="5"/>
  <c r="I19" i="5"/>
  <c r="I20" i="5"/>
  <c r="I21" i="5"/>
  <c r="I22" i="5"/>
  <c r="I24" i="5"/>
  <c r="I26" i="5"/>
  <c r="I11" i="5"/>
  <c r="I12" i="5"/>
  <c r="I10" i="5"/>
  <c r="I51" i="5"/>
  <c r="I47" i="5"/>
  <c r="I48" i="5"/>
  <c r="I49" i="5"/>
  <c r="I46" i="5"/>
  <c r="V40" i="5"/>
  <c r="R40" i="5" s="1"/>
  <c r="S8" i="6"/>
  <c r="R8" i="6"/>
  <c r="M16" i="5"/>
  <c r="H12" i="6"/>
  <c r="H13" i="6"/>
  <c r="H14" i="6"/>
  <c r="H11" i="6"/>
  <c r="H42" i="6" s="1"/>
  <c r="I11" i="6"/>
  <c r="R21" i="6"/>
  <c r="Q21" i="6"/>
  <c r="P21" i="6"/>
  <c r="O21" i="6"/>
  <c r="Q37" i="7" s="1"/>
  <c r="N21" i="6"/>
  <c r="N19" i="6"/>
  <c r="N18" i="6"/>
  <c r="M19" i="6"/>
  <c r="C68" i="6"/>
  <c r="H21" i="6"/>
  <c r="J21" i="6" s="1"/>
  <c r="H18" i="6"/>
  <c r="G21" i="6"/>
  <c r="C60" i="6"/>
  <c r="C61" i="6"/>
  <c r="C89" i="6"/>
  <c r="J19" i="6"/>
  <c r="O19" i="6"/>
  <c r="P19" i="6"/>
  <c r="Q19" i="6"/>
  <c r="R19" i="6"/>
  <c r="C66" i="6"/>
  <c r="X32" i="5"/>
  <c r="U33" i="5"/>
  <c r="L50" i="7" s="1"/>
  <c r="N50" i="7" s="1"/>
  <c r="M144" i="7"/>
  <c r="C152" i="7"/>
  <c r="U53" i="7"/>
  <c r="J38" i="7"/>
  <c r="A16" i="5"/>
  <c r="S38" i="7"/>
  <c r="T38" i="7" s="1"/>
  <c r="C174" i="7"/>
  <c r="C168" i="7"/>
  <c r="C162" i="7"/>
  <c r="X19" i="5"/>
  <c r="C110" i="5"/>
  <c r="J35" i="7"/>
  <c r="S53" i="6"/>
  <c r="S54" i="6"/>
  <c r="C59" i="6"/>
  <c r="C58" i="6"/>
  <c r="C104" i="5"/>
  <c r="V97" i="5"/>
  <c r="V98" i="5"/>
  <c r="V99" i="5"/>
  <c r="C107" i="5"/>
  <c r="C108" i="5"/>
  <c r="Q50" i="7" l="1"/>
  <c r="Q47" i="7"/>
  <c r="O35" i="7"/>
  <c r="L35" i="7"/>
  <c r="B62" i="13"/>
  <c r="B63" i="13" s="1"/>
  <c r="B64" i="13" s="1"/>
  <c r="B65" i="13" s="1"/>
  <c r="B66" i="13" s="1"/>
  <c r="B67" i="13" s="1"/>
  <c r="B68" i="13" s="1"/>
  <c r="B69" i="13" s="1"/>
  <c r="B70" i="13" s="1"/>
  <c r="B71" i="13" s="1"/>
  <c r="B72" i="13" s="1"/>
  <c r="B73" i="13" s="1"/>
  <c r="B74" i="13" s="1"/>
  <c r="B75" i="13" s="1"/>
  <c r="B76" i="13" s="1"/>
  <c r="B77" i="13" s="1"/>
  <c r="B78" i="13" s="1"/>
  <c r="B79" i="13" s="1"/>
  <c r="B80" i="13" s="1"/>
  <c r="B81" i="13" s="1"/>
  <c r="B82" i="13" s="1"/>
  <c r="B83" i="13" s="1"/>
  <c r="B84" i="13" s="1"/>
  <c r="B85" i="13" s="1"/>
  <c r="B86" i="13" s="1"/>
  <c r="B87" i="13" s="1"/>
  <c r="B88" i="13" s="1"/>
  <c r="B18" i="13"/>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J78" i="7"/>
  <c r="J64" i="7"/>
  <c r="J65" i="7"/>
  <c r="J62" i="7"/>
  <c r="AB61" i="7"/>
  <c r="O63" i="13"/>
  <c r="O64" i="13" s="1"/>
  <c r="O65" i="13" s="1"/>
  <c r="O66" i="13" s="1"/>
  <c r="O67" i="13" s="1"/>
  <c r="O68" i="13" s="1"/>
  <c r="O69" i="13" s="1"/>
  <c r="O70" i="13" s="1"/>
  <c r="O71" i="13" s="1"/>
  <c r="O72" i="13" s="1"/>
  <c r="O73" i="13" s="1"/>
  <c r="O74" i="13" s="1"/>
  <c r="O76" i="13" s="1"/>
  <c r="O77" i="13" s="1"/>
  <c r="O78" i="13" s="1"/>
  <c r="O80" i="13" s="1"/>
  <c r="O81" i="13" s="1"/>
  <c r="O82" i="13" s="1"/>
  <c r="O83" i="13" s="1"/>
  <c r="B174" i="7"/>
  <c r="B175" i="7" s="1"/>
  <c r="T74" i="7"/>
  <c r="T73" i="7"/>
  <c r="J58" i="7"/>
  <c r="J63" i="7"/>
  <c r="I67" i="7"/>
  <c r="Y77" i="7" s="1"/>
  <c r="Y78" i="7" s="1"/>
  <c r="N57" i="5"/>
  <c r="L22" i="7"/>
  <c r="O22" i="7"/>
  <c r="L23" i="7"/>
  <c r="O23" i="7"/>
  <c r="L19" i="7"/>
  <c r="O19" i="7"/>
  <c r="L20" i="7"/>
  <c r="O20" i="7"/>
  <c r="J59" i="7"/>
  <c r="J61" i="7"/>
  <c r="K55" i="5" s="1"/>
  <c r="J60" i="7"/>
  <c r="AB73" i="7"/>
  <c r="AB72" i="7"/>
  <c r="Z162" i="7"/>
  <c r="Z163" i="7" s="1"/>
  <c r="Z164" i="7" s="1"/>
  <c r="Z165" i="7" s="1"/>
  <c r="Z166" i="7" s="1"/>
  <c r="Z167" i="7" s="1"/>
  <c r="Z168" i="7" s="1"/>
  <c r="Z169" i="7" s="1"/>
  <c r="Z170" i="7" s="1"/>
  <c r="Z171" i="7" s="1"/>
  <c r="Z172" i="7" s="1"/>
  <c r="Z173" i="7" s="1"/>
  <c r="L12" i="7"/>
  <c r="O12" i="7"/>
  <c r="L16" i="2"/>
  <c r="L17" i="2" s="1"/>
  <c r="L18" i="2" s="1"/>
  <c r="L19" i="2" s="1"/>
  <c r="L20" i="2" s="1"/>
  <c r="L21" i="2" s="1"/>
  <c r="L22" i="2" s="1"/>
  <c r="L23" i="2" s="1"/>
  <c r="L24" i="2" s="1"/>
  <c r="L25" i="2" s="1"/>
  <c r="L26" i="2" s="1"/>
  <c r="L27" i="2" s="1"/>
  <c r="H17" i="8"/>
  <c r="P22" i="8"/>
  <c r="O30" i="7"/>
  <c r="L55" i="7"/>
  <c r="L31" i="7"/>
  <c r="L27" i="7"/>
  <c r="K32" i="7"/>
  <c r="O32" i="7" s="1"/>
  <c r="L28" i="7"/>
  <c r="L30" i="7"/>
  <c r="L33" i="7"/>
  <c r="L29" i="7"/>
  <c r="L25" i="7"/>
  <c r="L14" i="7"/>
  <c r="L26" i="7"/>
  <c r="J55" i="5"/>
  <c r="M41" i="6"/>
  <c r="I55" i="5"/>
  <c r="M19" i="8"/>
  <c r="M18" i="8"/>
  <c r="M17" i="8"/>
  <c r="D16" i="8"/>
  <c r="D17" i="8"/>
  <c r="M16" i="8"/>
  <c r="X33" i="5"/>
  <c r="L47" i="7"/>
  <c r="N47" i="7" s="1"/>
  <c r="R37" i="6"/>
  <c r="S55" i="6"/>
  <c r="R12" i="6"/>
  <c r="N67" i="7"/>
  <c r="O14" i="6"/>
  <c r="L19" i="6"/>
  <c r="L21" i="6"/>
  <c r="X40" i="5"/>
  <c r="I30" i="5"/>
  <c r="M56" i="5"/>
  <c r="M57" i="5"/>
  <c r="J56" i="5"/>
  <c r="I56" i="5" s="1"/>
  <c r="C193" i="7"/>
  <c r="N42" i="6"/>
  <c r="P11" i="6"/>
  <c r="P42" i="6" s="1"/>
  <c r="I42" i="6"/>
  <c r="M11" i="6"/>
  <c r="O11" i="6"/>
  <c r="J14" i="6"/>
  <c r="V34" i="5"/>
  <c r="X34" i="5" s="1"/>
  <c r="I16" i="5"/>
  <c r="O12" i="6"/>
  <c r="S13" i="6"/>
  <c r="P12" i="6"/>
  <c r="Q13" i="6"/>
  <c r="J13" i="6"/>
  <c r="Q12" i="6"/>
  <c r="R13" i="6"/>
  <c r="S12" i="6"/>
  <c r="P13" i="6"/>
  <c r="M13" i="6"/>
  <c r="M12" i="6"/>
  <c r="O13" i="6"/>
  <c r="J11" i="6"/>
  <c r="P14" i="6"/>
  <c r="Q11" i="6"/>
  <c r="Q42" i="6" s="1"/>
  <c r="T56" i="5" s="1"/>
  <c r="Q14" i="6"/>
  <c r="R11" i="6"/>
  <c r="S11" i="6"/>
  <c r="R14" i="6"/>
  <c r="S14" i="6"/>
  <c r="M14" i="6"/>
  <c r="J12" i="6"/>
  <c r="Y101" i="5"/>
  <c r="Y102" i="5" s="1"/>
  <c r="Y103" i="5" s="1"/>
  <c r="Y104" i="5" s="1"/>
  <c r="B101" i="5"/>
  <c r="B102" i="5" s="1"/>
  <c r="B103" i="5" s="1"/>
  <c r="B104" i="5" s="1"/>
  <c r="B10" i="5"/>
  <c r="B11" i="5" s="1"/>
  <c r="B12" i="5" s="1"/>
  <c r="C80" i="6"/>
  <c r="I33" i="6"/>
  <c r="Q32" i="6"/>
  <c r="U32" i="6" s="1"/>
  <c r="C79" i="6"/>
  <c r="R30" i="5"/>
  <c r="X30" i="5" s="1"/>
  <c r="N30" i="5"/>
  <c r="Q30" i="5"/>
  <c r="C121" i="5"/>
  <c r="U14" i="7"/>
  <c r="U13" i="7"/>
  <c r="J14" i="7"/>
  <c r="J15" i="7"/>
  <c r="J24" i="7" s="1"/>
  <c r="C171" i="7"/>
  <c r="C150" i="7"/>
  <c r="U60" i="7"/>
  <c r="U63" i="7" s="1"/>
  <c r="U59" i="7"/>
  <c r="U61" i="7" s="1"/>
  <c r="U64" i="7" s="1"/>
  <c r="I54" i="7"/>
  <c r="I53" i="7"/>
  <c r="J54" i="7"/>
  <c r="H54" i="7"/>
  <c r="C190" i="7"/>
  <c r="C189" i="7"/>
  <c r="S42" i="7"/>
  <c r="S43" i="7" s="1"/>
  <c r="U42" i="7"/>
  <c r="J41" i="7"/>
  <c r="C178" i="7"/>
  <c r="U25" i="7"/>
  <c r="U56" i="7"/>
  <c r="T56" i="7"/>
  <c r="T55" i="7"/>
  <c r="C192" i="7"/>
  <c r="C191" i="7"/>
  <c r="W47" i="5"/>
  <c r="W46" i="5"/>
  <c r="Q46" i="5"/>
  <c r="O47" i="5"/>
  <c r="Q47" i="5" s="1"/>
  <c r="C138" i="5"/>
  <c r="J14" i="8"/>
  <c r="J13" i="8"/>
  <c r="R28" i="6"/>
  <c r="R18" i="6"/>
  <c r="Q28" i="6"/>
  <c r="P28" i="6"/>
  <c r="E13" i="8" s="1"/>
  <c r="O28" i="6"/>
  <c r="N28" i="6"/>
  <c r="M28" i="6"/>
  <c r="H28" i="6"/>
  <c r="J28" i="6" s="1"/>
  <c r="G28" i="6"/>
  <c r="C75" i="6"/>
  <c r="C76" i="6"/>
  <c r="R25" i="6"/>
  <c r="N20" i="5"/>
  <c r="O15" i="6"/>
  <c r="N25" i="6"/>
  <c r="M25" i="6"/>
  <c r="U34" i="7"/>
  <c r="U41" i="7"/>
  <c r="U44" i="7"/>
  <c r="U31" i="7"/>
  <c r="U30" i="7"/>
  <c r="U27" i="7"/>
  <c r="U24" i="7"/>
  <c r="H25" i="6"/>
  <c r="J25" i="6" s="1"/>
  <c r="C164" i="7"/>
  <c r="U142" i="7"/>
  <c r="U143" i="7"/>
  <c r="U144" i="7"/>
  <c r="R27" i="6"/>
  <c r="Q27" i="6"/>
  <c r="P27" i="6"/>
  <c r="T27" i="6" s="1"/>
  <c r="P15" i="6"/>
  <c r="E12" i="8" s="1"/>
  <c r="O27" i="6"/>
  <c r="N27" i="6"/>
  <c r="M27" i="6"/>
  <c r="H27" i="6"/>
  <c r="J27" i="6" s="1"/>
  <c r="G27" i="6"/>
  <c r="C74" i="6"/>
  <c r="J15" i="5"/>
  <c r="T94" i="7"/>
  <c r="U18" i="5"/>
  <c r="C109" i="5"/>
  <c r="C118" i="5"/>
  <c r="X26" i="5"/>
  <c r="C112" i="5"/>
  <c r="C117" i="5"/>
  <c r="U17" i="5"/>
  <c r="Q20" i="5"/>
  <c r="X21" i="5"/>
  <c r="X20" i="5"/>
  <c r="C111" i="5"/>
  <c r="C115" i="5"/>
  <c r="C113" i="5"/>
  <c r="P18" i="6"/>
  <c r="E14" i="8" s="1"/>
  <c r="Q18" i="6"/>
  <c r="O18" i="6"/>
  <c r="N26" i="6"/>
  <c r="I26" i="6"/>
  <c r="C73" i="6"/>
  <c r="H26" i="6"/>
  <c r="G26" i="6"/>
  <c r="D58" i="7"/>
  <c r="D40" i="6" s="1"/>
  <c r="E40" i="6" s="1"/>
  <c r="O59" i="5"/>
  <c r="G20" i="6"/>
  <c r="C67" i="6"/>
  <c r="M18" i="6"/>
  <c r="J18" i="6"/>
  <c r="G18" i="6"/>
  <c r="C65" i="6"/>
  <c r="M40" i="11"/>
  <c r="N40" i="11"/>
  <c r="O40" i="11"/>
  <c r="M41" i="11"/>
  <c r="N41" i="11"/>
  <c r="O41" i="11"/>
  <c r="M30" i="11"/>
  <c r="M16" i="11"/>
  <c r="M13" i="11"/>
  <c r="W15" i="6"/>
  <c r="V53" i="6"/>
  <c r="V54" i="6"/>
  <c r="V55" i="6"/>
  <c r="W53" i="6"/>
  <c r="W54" i="6"/>
  <c r="W55" i="6"/>
  <c r="F51" i="6"/>
  <c r="E21" i="11"/>
  <c r="E22" i="11"/>
  <c r="E23" i="11"/>
  <c r="E24" i="11"/>
  <c r="E25" i="11"/>
  <c r="E26" i="11"/>
  <c r="E27" i="11"/>
  <c r="E28" i="11"/>
  <c r="F28" i="10"/>
  <c r="L38" i="10"/>
  <c r="L39" i="10"/>
  <c r="L40" i="10"/>
  <c r="Z27" i="2"/>
  <c r="Z28" i="2" s="1"/>
  <c r="Z29" i="2" s="1"/>
  <c r="Z30" i="2" s="1"/>
  <c r="Z31" i="2" s="1"/>
  <c r="Z32" i="2" s="1"/>
  <c r="Z33" i="2" s="1"/>
  <c r="Z34" i="2" s="1"/>
  <c r="Z23" i="2"/>
  <c r="Z24" i="2" s="1"/>
  <c r="Z25" i="2" s="1"/>
  <c r="D55" i="6"/>
  <c r="E55" i="6"/>
  <c r="P36" i="6"/>
  <c r="W28" i="5"/>
  <c r="J30" i="7"/>
  <c r="J31" i="7"/>
  <c r="J34" i="7"/>
  <c r="J27" i="7"/>
  <c r="J25" i="7"/>
  <c r="I136" i="7"/>
  <c r="D131" i="7"/>
  <c r="N10" i="6"/>
  <c r="N34" i="6"/>
  <c r="N30" i="6"/>
  <c r="N17" i="6"/>
  <c r="N16" i="6"/>
  <c r="N36" i="6"/>
  <c r="N15" i="6"/>
  <c r="M15" i="6"/>
  <c r="G16" i="6"/>
  <c r="G36" i="6"/>
  <c r="G15" i="6"/>
  <c r="E36" i="6"/>
  <c r="E15" i="6"/>
  <c r="I16" i="6"/>
  <c r="E16" i="6"/>
  <c r="A2" i="12"/>
  <c r="B10" i="12"/>
  <c r="B11" i="12" s="1"/>
  <c r="B12" i="12" s="1"/>
  <c r="B13" i="12" s="1"/>
  <c r="B14" i="12" s="1"/>
  <c r="B15" i="12" s="1"/>
  <c r="B16" i="12" s="1"/>
  <c r="B17" i="12" s="1"/>
  <c r="B18" i="12" s="1"/>
  <c r="B19" i="12" s="1"/>
  <c r="B20" i="12" s="1"/>
  <c r="B21" i="12" s="1"/>
  <c r="B22" i="12" s="1"/>
  <c r="B23" i="12" s="1"/>
  <c r="B24" i="12" s="1"/>
  <c r="B25" i="12" s="1"/>
  <c r="B26" i="12" s="1"/>
  <c r="N53" i="6"/>
  <c r="N54" i="6"/>
  <c r="N55" i="6"/>
  <c r="C63" i="6"/>
  <c r="C83" i="6"/>
  <c r="H16" i="6"/>
  <c r="J142" i="7"/>
  <c r="J143" i="7"/>
  <c r="J144" i="7"/>
  <c r="J13" i="7"/>
  <c r="X11" i="5"/>
  <c r="W10" i="5"/>
  <c r="Q10" i="5"/>
  <c r="C101" i="5"/>
  <c r="J12" i="8"/>
  <c r="W32" i="5"/>
  <c r="C84" i="6"/>
  <c r="K97" i="5"/>
  <c r="K98" i="5"/>
  <c r="K99" i="5"/>
  <c r="C40" i="6"/>
  <c r="C87" i="6" s="1"/>
  <c r="C54" i="5"/>
  <c r="Y118" i="7"/>
  <c r="F45" i="6"/>
  <c r="R38" i="10"/>
  <c r="R39" i="10"/>
  <c r="R12" i="10"/>
  <c r="S79" i="7"/>
  <c r="C66" i="7"/>
  <c r="C202" i="7" s="1"/>
  <c r="J29" i="5"/>
  <c r="M17" i="6"/>
  <c r="N34" i="5"/>
  <c r="C14" i="11"/>
  <c r="C16" i="11"/>
  <c r="C18" i="11"/>
  <c r="C29" i="11"/>
  <c r="C13" i="11"/>
  <c r="F12" i="10"/>
  <c r="L36" i="6"/>
  <c r="M41" i="7"/>
  <c r="R42" i="11"/>
  <c r="R13" i="11" s="1"/>
  <c r="S12" i="11"/>
  <c r="K42" i="11"/>
  <c r="K13" i="11" s="1"/>
  <c r="S39" i="11"/>
  <c r="S40" i="11"/>
  <c r="S41" i="11"/>
  <c r="F41" i="11"/>
  <c r="D41" i="11"/>
  <c r="F40" i="11"/>
  <c r="D40" i="11"/>
  <c r="F39" i="11"/>
  <c r="D39" i="11"/>
  <c r="L12" i="11"/>
  <c r="L40" i="11"/>
  <c r="L41" i="11"/>
  <c r="Q41" i="11"/>
  <c r="P41" i="11"/>
  <c r="J41" i="11"/>
  <c r="I41" i="11"/>
  <c r="H41" i="11"/>
  <c r="C41" i="11"/>
  <c r="Q40" i="11"/>
  <c r="P40" i="11"/>
  <c r="J40" i="11"/>
  <c r="I40" i="11"/>
  <c r="H40" i="11"/>
  <c r="C40" i="11"/>
  <c r="Q39" i="11"/>
  <c r="P39" i="11"/>
  <c r="J39" i="11"/>
  <c r="I39" i="11"/>
  <c r="H39" i="11"/>
  <c r="C39" i="11"/>
  <c r="A2" i="11"/>
  <c r="C45" i="6"/>
  <c r="C92" i="6" s="1"/>
  <c r="Q15" i="6"/>
  <c r="R15" i="6"/>
  <c r="R36" i="6"/>
  <c r="Q36" i="6"/>
  <c r="M36" i="6"/>
  <c r="O36" i="6"/>
  <c r="M29" i="6"/>
  <c r="H36" i="6"/>
  <c r="H15" i="6"/>
  <c r="J15" i="6" s="1"/>
  <c r="C62" i="6"/>
  <c r="C146" i="5"/>
  <c r="C88" i="6"/>
  <c r="U30" i="6"/>
  <c r="I112" i="7"/>
  <c r="I110" i="7"/>
  <c r="I107" i="7"/>
  <c r="I88" i="7"/>
  <c r="I106" i="7"/>
  <c r="C195" i="7"/>
  <c r="M38" i="10"/>
  <c r="M39" i="10"/>
  <c r="C38" i="10"/>
  <c r="E38" i="10"/>
  <c r="G38" i="10"/>
  <c r="H38" i="10"/>
  <c r="I38" i="10"/>
  <c r="J38" i="10"/>
  <c r="K38" i="10"/>
  <c r="C39" i="10"/>
  <c r="E39" i="10"/>
  <c r="G39" i="10"/>
  <c r="H39" i="10"/>
  <c r="I39" i="10"/>
  <c r="J39" i="10"/>
  <c r="K39" i="10"/>
  <c r="C40" i="10"/>
  <c r="E40" i="10"/>
  <c r="G40" i="10"/>
  <c r="H40" i="10"/>
  <c r="I40" i="10"/>
  <c r="N142" i="7"/>
  <c r="N143" i="7"/>
  <c r="I109" i="7"/>
  <c r="C196" i="7"/>
  <c r="C144" i="7"/>
  <c r="C143" i="7"/>
  <c r="C142" i="7"/>
  <c r="C166" i="7"/>
  <c r="Y47" i="7"/>
  <c r="S13" i="7"/>
  <c r="T13" i="7" s="1"/>
  <c r="D69" i="7"/>
  <c r="O15" i="5"/>
  <c r="Q15" i="5" s="1"/>
  <c r="I12" i="10"/>
  <c r="M40" i="10"/>
  <c r="Q39" i="10"/>
  <c r="Q38" i="10"/>
  <c r="A2" i="10"/>
  <c r="L53" i="6"/>
  <c r="L54" i="6"/>
  <c r="L55" i="6"/>
  <c r="J29" i="6"/>
  <c r="M34" i="6"/>
  <c r="M110" i="7"/>
  <c r="I105" i="7"/>
  <c r="I104" i="7"/>
  <c r="C194" i="7"/>
  <c r="C184" i="7"/>
  <c r="L24" i="7"/>
  <c r="AA43" i="2"/>
  <c r="P52" i="5"/>
  <c r="X28" i="5"/>
  <c r="L97" i="5"/>
  <c r="L98" i="5"/>
  <c r="L99" i="5"/>
  <c r="M99" i="5"/>
  <c r="I34" i="7"/>
  <c r="K34" i="7" s="1"/>
  <c r="O34" i="7" s="1"/>
  <c r="G82" i="5"/>
  <c r="G81" i="5"/>
  <c r="G80" i="5"/>
  <c r="G79" i="5"/>
  <c r="R53" i="6"/>
  <c r="R54" i="6"/>
  <c r="R55" i="6"/>
  <c r="D45" i="6"/>
  <c r="AC7" i="2"/>
  <c r="AC12" i="2" s="1"/>
  <c r="AC6" i="2"/>
  <c r="T7" i="2"/>
  <c r="T6" i="2"/>
  <c r="H7" i="2"/>
  <c r="E40" i="2"/>
  <c r="I6" i="2" s="1"/>
  <c r="G12" i="2"/>
  <c r="G8" i="2"/>
  <c r="G3" i="11" s="1"/>
  <c r="Y91" i="2"/>
  <c r="P89" i="2"/>
  <c r="S12" i="2"/>
  <c r="F12" i="2"/>
  <c r="R12" i="2"/>
  <c r="O12" i="2"/>
  <c r="O13" i="2" s="1"/>
  <c r="O14" i="2" s="1"/>
  <c r="O15" i="2" s="1"/>
  <c r="O16" i="2" s="1"/>
  <c r="O17" i="2" s="1"/>
  <c r="O18" i="2" s="1"/>
  <c r="O19" i="2" s="1"/>
  <c r="O20" i="2" s="1"/>
  <c r="O21" i="2" s="1"/>
  <c r="O22" i="2" s="1"/>
  <c r="O23" i="2" s="1"/>
  <c r="O24" i="2" s="1"/>
  <c r="O25" i="2" s="1"/>
  <c r="O26" i="2" s="1"/>
  <c r="O27" i="2" s="1"/>
  <c r="O28" i="2" s="1"/>
  <c r="O29" i="2" s="1"/>
  <c r="O30" i="2" s="1"/>
  <c r="O31" i="2" s="1"/>
  <c r="O32" i="2" s="1"/>
  <c r="O33" i="2" s="1"/>
  <c r="O34" i="2" s="1"/>
  <c r="O35" i="2" s="1"/>
  <c r="O36" i="2" s="1"/>
  <c r="O37" i="2" s="1"/>
  <c r="O38" i="2" s="1"/>
  <c r="O39" i="2" s="1"/>
  <c r="E34" i="5"/>
  <c r="E36" i="5" s="1"/>
  <c r="E33" i="5"/>
  <c r="E35" i="5" s="1"/>
  <c r="E37" i="5" s="1"/>
  <c r="F90" i="5"/>
  <c r="E90" i="5"/>
  <c r="M33" i="5"/>
  <c r="R34" i="6"/>
  <c r="R17" i="6"/>
  <c r="R10" i="6"/>
  <c r="U97" i="5"/>
  <c r="U98" i="5"/>
  <c r="U99" i="5"/>
  <c r="AA12" i="2"/>
  <c r="X12" i="2"/>
  <c r="X13" i="2" s="1"/>
  <c r="X14" i="2" s="1"/>
  <c r="X15" i="2" s="1"/>
  <c r="X16" i="2" s="1"/>
  <c r="X17" i="2" s="1"/>
  <c r="X18" i="2" s="1"/>
  <c r="X19" i="2" s="1"/>
  <c r="X20" i="2" s="1"/>
  <c r="X21" i="2" s="1"/>
  <c r="X22" i="2" s="1"/>
  <c r="X23" i="2" s="1"/>
  <c r="X24" i="2" s="1"/>
  <c r="X25" i="2" s="1"/>
  <c r="X26" i="2" s="1"/>
  <c r="X27" i="2" s="1"/>
  <c r="X28" i="2" s="1"/>
  <c r="X29" i="2" s="1"/>
  <c r="X30" i="2" s="1"/>
  <c r="X31" i="2" s="1"/>
  <c r="X32" i="2" s="1"/>
  <c r="X33" i="2" s="1"/>
  <c r="X34" i="2" s="1"/>
  <c r="K11" i="3"/>
  <c r="J11" i="3"/>
  <c r="G11" i="3"/>
  <c r="F11" i="3"/>
  <c r="E12" i="2"/>
  <c r="B12" i="2"/>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C150" i="5"/>
  <c r="Z13" i="7"/>
  <c r="Z14" i="7" s="1"/>
  <c r="Z15" i="7" s="1"/>
  <c r="Z16" i="7" s="1"/>
  <c r="Z17" i="7" s="1"/>
  <c r="Z18" i="7" s="1"/>
  <c r="Z19" i="7" s="1"/>
  <c r="Z20" i="7" s="1"/>
  <c r="Z21" i="7" s="1"/>
  <c r="Z22" i="7" s="1"/>
  <c r="Z23" i="7" s="1"/>
  <c r="Z24" i="7" s="1"/>
  <c r="Z25" i="7" s="1"/>
  <c r="Z26" i="7" s="1"/>
  <c r="Z27" i="7" s="1"/>
  <c r="Z28" i="7" s="1"/>
  <c r="Z29" i="7" s="1"/>
  <c r="Z30" i="7" s="1"/>
  <c r="Z31" i="7" s="1"/>
  <c r="Z32" i="7" s="1"/>
  <c r="Z33" i="7" s="1"/>
  <c r="Z34" i="7" s="1"/>
  <c r="Z35" i="7" s="1"/>
  <c r="Z36" i="7" s="1"/>
  <c r="Z37" i="7" s="1"/>
  <c r="Z38" i="7" s="1"/>
  <c r="Y44" i="7"/>
  <c r="L41" i="7"/>
  <c r="T29" i="6"/>
  <c r="C11" i="3"/>
  <c r="A2" i="8"/>
  <c r="L10" i="3"/>
  <c r="L73" i="3" s="1"/>
  <c r="H10" i="3"/>
  <c r="F73" i="3" s="1"/>
  <c r="Y24" i="7"/>
  <c r="R24" i="7"/>
  <c r="S24" i="7"/>
  <c r="T24" i="7" s="1"/>
  <c r="V24" i="7"/>
  <c r="W24" i="7"/>
  <c r="H24" i="7"/>
  <c r="C148" i="7"/>
  <c r="C149" i="7"/>
  <c r="C151" i="7"/>
  <c r="C160" i="7"/>
  <c r="C161" i="7"/>
  <c r="C163" i="7"/>
  <c r="C167" i="7"/>
  <c r="C170" i="7"/>
  <c r="C177" i="7"/>
  <c r="C180" i="7"/>
  <c r="C183" i="7"/>
  <c r="C205" i="7"/>
  <c r="C206" i="7"/>
  <c r="O34" i="6"/>
  <c r="M142" i="7"/>
  <c r="M143" i="7"/>
  <c r="T142" i="7"/>
  <c r="T143" i="7"/>
  <c r="T144" i="7"/>
  <c r="P34" i="6"/>
  <c r="Q34" i="6"/>
  <c r="H34" i="6"/>
  <c r="C81" i="6"/>
  <c r="L142" i="7"/>
  <c r="L143" i="7"/>
  <c r="L144" i="7"/>
  <c r="F80" i="5"/>
  <c r="F81" i="5"/>
  <c r="F82" i="5"/>
  <c r="F79" i="5"/>
  <c r="D142" i="7"/>
  <c r="E142" i="7"/>
  <c r="F142" i="7"/>
  <c r="G142" i="7"/>
  <c r="H142" i="7"/>
  <c r="I142" i="7"/>
  <c r="R142" i="7"/>
  <c r="S142" i="7"/>
  <c r="V142" i="7"/>
  <c r="W142" i="7"/>
  <c r="Y142" i="7"/>
  <c r="D143" i="7"/>
  <c r="G143" i="7"/>
  <c r="H143" i="7"/>
  <c r="I143" i="7"/>
  <c r="R143" i="7"/>
  <c r="S143" i="7"/>
  <c r="V143" i="7"/>
  <c r="W143" i="7"/>
  <c r="Y143" i="7"/>
  <c r="D144" i="7"/>
  <c r="H144" i="7"/>
  <c r="I144" i="7"/>
  <c r="R144" i="7"/>
  <c r="S144" i="7"/>
  <c r="V144" i="7"/>
  <c r="W144" i="7"/>
  <c r="Y144" i="7"/>
  <c r="F53" i="6"/>
  <c r="P17" i="6"/>
  <c r="Q51" i="5"/>
  <c r="H30" i="6"/>
  <c r="W17" i="5"/>
  <c r="Q17" i="5"/>
  <c r="C77" i="6"/>
  <c r="C137" i="5"/>
  <c r="C139" i="5"/>
  <c r="C140" i="5"/>
  <c r="C102" i="5"/>
  <c r="C103" i="5"/>
  <c r="C106" i="5"/>
  <c r="C119" i="5"/>
  <c r="C123" i="5"/>
  <c r="C124" i="5"/>
  <c r="C125" i="5"/>
  <c r="C130" i="5"/>
  <c r="C131" i="5"/>
  <c r="C141" i="5"/>
  <c r="C142" i="5"/>
  <c r="C120" i="5"/>
  <c r="C143" i="5"/>
  <c r="O31" i="6"/>
  <c r="Q10" i="6"/>
  <c r="P10" i="6"/>
  <c r="N99" i="5"/>
  <c r="N97" i="5"/>
  <c r="N98" i="5"/>
  <c r="C97" i="5"/>
  <c r="D97" i="5"/>
  <c r="E97" i="5"/>
  <c r="F97" i="5"/>
  <c r="G97" i="5"/>
  <c r="J97" i="5"/>
  <c r="I97" i="5"/>
  <c r="M97" i="5"/>
  <c r="O97" i="5"/>
  <c r="P97" i="5"/>
  <c r="Q97" i="5"/>
  <c r="R97" i="5"/>
  <c r="S97" i="5"/>
  <c r="T97" i="5"/>
  <c r="W97" i="5"/>
  <c r="X97" i="5"/>
  <c r="D98" i="5"/>
  <c r="E98" i="5"/>
  <c r="F98" i="5"/>
  <c r="G98" i="5"/>
  <c r="J98" i="5"/>
  <c r="I98" i="5"/>
  <c r="M98" i="5"/>
  <c r="O98" i="5"/>
  <c r="P98" i="5"/>
  <c r="Q98" i="5"/>
  <c r="R98" i="5"/>
  <c r="S98" i="5"/>
  <c r="T98" i="5"/>
  <c r="W98" i="5"/>
  <c r="X98" i="5"/>
  <c r="J99" i="5"/>
  <c r="I99" i="5"/>
  <c r="O99" i="5"/>
  <c r="Q99" i="5"/>
  <c r="S99" i="5"/>
  <c r="T99" i="5"/>
  <c r="W99" i="5"/>
  <c r="X99" i="5"/>
  <c r="T29" i="5"/>
  <c r="C57" i="6"/>
  <c r="C78" i="6"/>
  <c r="C64" i="6"/>
  <c r="C53" i="6"/>
  <c r="D53" i="6"/>
  <c r="E53" i="6"/>
  <c r="G53" i="6"/>
  <c r="H53" i="6"/>
  <c r="I53" i="6"/>
  <c r="J53" i="6"/>
  <c r="K53" i="6"/>
  <c r="M53" i="6"/>
  <c r="O53" i="6"/>
  <c r="P53" i="6"/>
  <c r="Q53" i="6"/>
  <c r="T53" i="6"/>
  <c r="U53" i="6"/>
  <c r="C54" i="6"/>
  <c r="D54" i="6"/>
  <c r="E54" i="6"/>
  <c r="G54" i="6"/>
  <c r="H54" i="6"/>
  <c r="I54" i="6"/>
  <c r="J54" i="6"/>
  <c r="K54" i="6"/>
  <c r="M54" i="6"/>
  <c r="O54" i="6"/>
  <c r="P54" i="6"/>
  <c r="Q54" i="6"/>
  <c r="T54" i="6"/>
  <c r="U54" i="6"/>
  <c r="G55" i="6"/>
  <c r="H55" i="6"/>
  <c r="I55" i="6"/>
  <c r="J55" i="6"/>
  <c r="K55" i="6"/>
  <c r="M55" i="6"/>
  <c r="O55" i="6"/>
  <c r="P55" i="6"/>
  <c r="Q55" i="6"/>
  <c r="T55" i="6"/>
  <c r="U55" i="6"/>
  <c r="H17" i="6"/>
  <c r="J17" i="6" s="1"/>
  <c r="H31" i="6"/>
  <c r="H10" i="6"/>
  <c r="J10" i="6" s="1"/>
  <c r="B176" i="7" l="1"/>
  <c r="B177" i="7" s="1"/>
  <c r="B178" i="7" s="1"/>
  <c r="B179" i="7" s="1"/>
  <c r="B180" i="7" s="1"/>
  <c r="B181" i="7" s="1"/>
  <c r="B182" i="7" s="1"/>
  <c r="B183" i="7" s="1"/>
  <c r="B184" i="7" s="1"/>
  <c r="B185" i="7" s="1"/>
  <c r="B186" i="7" s="1"/>
  <c r="B187" i="7" s="1"/>
  <c r="B188" i="7" s="1"/>
  <c r="B189" i="7" s="1"/>
  <c r="T65" i="7"/>
  <c r="T64" i="7"/>
  <c r="T63" i="7"/>
  <c r="T62" i="7"/>
  <c r="T61" i="7"/>
  <c r="T60" i="7"/>
  <c r="O84" i="13"/>
  <c r="O85" i="13" s="1"/>
  <c r="O86" i="13" s="1"/>
  <c r="O87" i="13" s="1"/>
  <c r="O88" i="13" s="1"/>
  <c r="O25" i="6"/>
  <c r="Q29" i="7"/>
  <c r="Z174" i="7"/>
  <c r="Z175" i="7" s="1"/>
  <c r="Z39" i="7"/>
  <c r="Z42" i="7" s="1"/>
  <c r="Z43" i="7" s="1"/>
  <c r="Z44" i="7" s="1"/>
  <c r="Z45" i="7" s="1"/>
  <c r="Z46" i="7" s="1"/>
  <c r="Z47" i="7" s="1"/>
  <c r="Z48" i="7" s="1"/>
  <c r="Z49" i="7" s="1"/>
  <c r="Z50" i="7" s="1"/>
  <c r="Z51" i="7" s="1"/>
  <c r="T59" i="7"/>
  <c r="U7" i="8"/>
  <c r="P7" i="10"/>
  <c r="N41" i="6"/>
  <c r="AB74" i="7"/>
  <c r="I18" i="8"/>
  <c r="P23" i="8"/>
  <c r="R13" i="10"/>
  <c r="W14" i="8"/>
  <c r="K66" i="7"/>
  <c r="L34" i="7"/>
  <c r="K53" i="7"/>
  <c r="K54" i="7"/>
  <c r="O54" i="7" s="1"/>
  <c r="L32" i="7"/>
  <c r="I57" i="5"/>
  <c r="J59" i="5"/>
  <c r="Q88" i="5"/>
  <c r="U62" i="7"/>
  <c r="U65" i="7" s="1"/>
  <c r="W69" i="7"/>
  <c r="W67" i="7"/>
  <c r="T14" i="8"/>
  <c r="F14" i="8"/>
  <c r="T13" i="8"/>
  <c r="F13" i="8"/>
  <c r="T12" i="8"/>
  <c r="F12" i="8"/>
  <c r="L14" i="8"/>
  <c r="K30" i="8"/>
  <c r="D7" i="8"/>
  <c r="D8" i="8" s="1"/>
  <c r="A12" i="10"/>
  <c r="F8" i="10"/>
  <c r="N12" i="11"/>
  <c r="M14" i="11"/>
  <c r="K14" i="11"/>
  <c r="S13" i="11"/>
  <c r="M17" i="11"/>
  <c r="L12" i="8"/>
  <c r="L13" i="8"/>
  <c r="D14" i="11"/>
  <c r="D13" i="8"/>
  <c r="X29" i="5"/>
  <c r="B105" i="5"/>
  <c r="B106" i="5" s="1"/>
  <c r="B107" i="5" s="1"/>
  <c r="B108" i="5" s="1"/>
  <c r="B109" i="5" s="1"/>
  <c r="B110" i="5" s="1"/>
  <c r="B111" i="5" s="1"/>
  <c r="B112" i="5" s="1"/>
  <c r="B113" i="5" s="1"/>
  <c r="Y105" i="5"/>
  <c r="Y106" i="5" s="1"/>
  <c r="Y107" i="5" s="1"/>
  <c r="Y108" i="5" s="1"/>
  <c r="Y109" i="5" s="1"/>
  <c r="Y110" i="5" s="1"/>
  <c r="Y111" i="5" s="1"/>
  <c r="Y112" i="5" s="1"/>
  <c r="Y113" i="5" s="1"/>
  <c r="V22" i="6"/>
  <c r="W22" i="6"/>
  <c r="D14" i="8"/>
  <c r="D15" i="8"/>
  <c r="X17" i="5"/>
  <c r="M43" i="6"/>
  <c r="M45" i="6" s="1"/>
  <c r="I15" i="5"/>
  <c r="W37" i="6"/>
  <c r="W38" i="6"/>
  <c r="V38" i="6"/>
  <c r="V37" i="6"/>
  <c r="I13" i="10"/>
  <c r="J12" i="10"/>
  <c r="M31" i="11"/>
  <c r="E29" i="11"/>
  <c r="F30" i="10"/>
  <c r="E30" i="11"/>
  <c r="E13" i="11"/>
  <c r="H21" i="10"/>
  <c r="G16" i="11"/>
  <c r="D27" i="2"/>
  <c r="D34" i="2"/>
  <c r="D28" i="2"/>
  <c r="D29" i="2"/>
  <c r="D30" i="2"/>
  <c r="D31" i="2"/>
  <c r="D32" i="2"/>
  <c r="D33" i="2"/>
  <c r="V43" i="6"/>
  <c r="V40" i="6"/>
  <c r="V12" i="6"/>
  <c r="V14" i="6"/>
  <c r="V11" i="6"/>
  <c r="V41" i="6"/>
  <c r="V34" i="6"/>
  <c r="V13" i="6"/>
  <c r="W43" i="6"/>
  <c r="W11" i="6"/>
  <c r="W41" i="6"/>
  <c r="W14" i="6"/>
  <c r="W12" i="6"/>
  <c r="W13" i="6"/>
  <c r="W40" i="6"/>
  <c r="N58" i="7"/>
  <c r="S56" i="5"/>
  <c r="S42" i="6"/>
  <c r="L66" i="7"/>
  <c r="R42" i="6"/>
  <c r="L12" i="6"/>
  <c r="L13" i="6"/>
  <c r="L14" i="6"/>
  <c r="O42" i="6"/>
  <c r="O66" i="7" s="1"/>
  <c r="L11" i="6"/>
  <c r="Q26" i="6"/>
  <c r="J42" i="6"/>
  <c r="U34" i="5"/>
  <c r="V23" i="6"/>
  <c r="W24" i="6"/>
  <c r="W23" i="6"/>
  <c r="V24" i="6"/>
  <c r="H33" i="6"/>
  <c r="J33" i="6" s="1"/>
  <c r="I69" i="7"/>
  <c r="L25" i="6"/>
  <c r="L28" i="6"/>
  <c r="L27" i="6"/>
  <c r="L34" i="6"/>
  <c r="L29" i="6"/>
  <c r="L18" i="6"/>
  <c r="L15" i="6"/>
  <c r="J28" i="5"/>
  <c r="I28" i="5" s="1"/>
  <c r="L17" i="6"/>
  <c r="J36" i="6"/>
  <c r="I15" i="7"/>
  <c r="M42" i="6"/>
  <c r="K33" i="6"/>
  <c r="M33" i="6"/>
  <c r="I29" i="5"/>
  <c r="W21" i="6"/>
  <c r="V21" i="6"/>
  <c r="W19" i="6"/>
  <c r="V19" i="6"/>
  <c r="Y10" i="5"/>
  <c r="B13" i="5"/>
  <c r="B14" i="5" s="1"/>
  <c r="X18" i="5"/>
  <c r="N12" i="10"/>
  <c r="J26" i="6"/>
  <c r="H32" i="6"/>
  <c r="J32" i="6" s="1"/>
  <c r="O32" i="6"/>
  <c r="W25" i="6"/>
  <c r="W28" i="6"/>
  <c r="V28" i="6"/>
  <c r="O26" i="6"/>
  <c r="V25" i="6"/>
  <c r="V27" i="6"/>
  <c r="W27" i="6"/>
  <c r="U27" i="6"/>
  <c r="H40" i="6"/>
  <c r="O40" i="6"/>
  <c r="O16" i="6"/>
  <c r="M26" i="6"/>
  <c r="P26" i="6"/>
  <c r="W26" i="6"/>
  <c r="V26" i="6"/>
  <c r="O20" i="6"/>
  <c r="H20" i="6"/>
  <c r="L69" i="7"/>
  <c r="S45" i="6" s="1"/>
  <c r="U45" i="6" s="1"/>
  <c r="N20" i="6"/>
  <c r="R20" i="6"/>
  <c r="V18" i="6"/>
  <c r="V36" i="6"/>
  <c r="V10" i="6"/>
  <c r="W17" i="6"/>
  <c r="W18" i="6"/>
  <c r="W10" i="6"/>
  <c r="W34" i="6"/>
  <c r="L13" i="11"/>
  <c r="W36" i="6"/>
  <c r="V17" i="6"/>
  <c r="K54" i="5"/>
  <c r="N40" i="6"/>
  <c r="Z15" i="2"/>
  <c r="AD13" i="2"/>
  <c r="Z13" i="2"/>
  <c r="Z14" i="2"/>
  <c r="Z18" i="2"/>
  <c r="Z20" i="2"/>
  <c r="Z17" i="2"/>
  <c r="Z16" i="2"/>
  <c r="Z19" i="2"/>
  <c r="R13" i="2"/>
  <c r="R26" i="8"/>
  <c r="R24" i="8"/>
  <c r="R23" i="8"/>
  <c r="R22" i="8"/>
  <c r="R21" i="8"/>
  <c r="R20" i="8"/>
  <c r="R19" i="8"/>
  <c r="R25" i="8"/>
  <c r="L14" i="10"/>
  <c r="M15" i="10" s="1"/>
  <c r="H19" i="10"/>
  <c r="H14" i="10"/>
  <c r="I15" i="10" s="1"/>
  <c r="H20" i="10"/>
  <c r="H18" i="10"/>
  <c r="H17" i="10"/>
  <c r="AA42" i="2"/>
  <c r="R16" i="6"/>
  <c r="J16" i="6"/>
  <c r="Q16" i="6"/>
  <c r="J34" i="6"/>
  <c r="P16" i="6"/>
  <c r="M16" i="6"/>
  <c r="M40" i="6"/>
  <c r="C145" i="5"/>
  <c r="M10" i="6"/>
  <c r="J90" i="5"/>
  <c r="R14" i="11"/>
  <c r="P39" i="10"/>
  <c r="P38" i="10"/>
  <c r="D59" i="7"/>
  <c r="U34" i="6"/>
  <c r="I89" i="7"/>
  <c r="Y59" i="7"/>
  <c r="N41" i="7"/>
  <c r="V7" i="8"/>
  <c r="Q7" i="10"/>
  <c r="G83" i="5"/>
  <c r="J54" i="5"/>
  <c r="T8" i="2"/>
  <c r="AC8" i="2"/>
  <c r="T12" i="2"/>
  <c r="H8" i="2"/>
  <c r="H12" i="2"/>
  <c r="J6" i="2"/>
  <c r="I7" i="2"/>
  <c r="I8" i="2" s="1"/>
  <c r="G13" i="2"/>
  <c r="G14" i="2" s="1"/>
  <c r="G15" i="2" s="1"/>
  <c r="G16" i="2" s="1"/>
  <c r="G17" i="2" s="1"/>
  <c r="G18" i="2" s="1"/>
  <c r="G9" i="2" s="1"/>
  <c r="F13" i="2"/>
  <c r="F14" i="2" s="1"/>
  <c r="F15" i="2" s="1"/>
  <c r="F16" i="2" s="1"/>
  <c r="F17" i="2" s="1"/>
  <c r="S13" i="2"/>
  <c r="S14" i="2" s="1"/>
  <c r="S15" i="2" s="1"/>
  <c r="S16" i="2" s="1"/>
  <c r="S17" i="2" s="1"/>
  <c r="S18" i="2" s="1"/>
  <c r="S19" i="2" s="1"/>
  <c r="S20" i="2" s="1"/>
  <c r="S21" i="2" s="1"/>
  <c r="S22" i="2" s="1"/>
  <c r="S23" i="2" s="1"/>
  <c r="O89" i="2"/>
  <c r="X91" i="2"/>
  <c r="X93" i="2" s="1"/>
  <c r="Y17" i="6"/>
  <c r="Y36" i="6"/>
  <c r="Y15" i="6"/>
  <c r="G12" i="3"/>
  <c r="G13" i="3" s="1"/>
  <c r="G14" i="3" s="1"/>
  <c r="G15" i="3" s="1"/>
  <c r="G16" i="3" s="1"/>
  <c r="G17" i="3" s="1"/>
  <c r="G18" i="3" s="1"/>
  <c r="G19" i="3" s="1"/>
  <c r="G20" i="3" s="1"/>
  <c r="G21" i="3" s="1"/>
  <c r="G22" i="3" s="1"/>
  <c r="G23" i="3" s="1"/>
  <c r="G24" i="3" s="1"/>
  <c r="G25" i="3" s="1"/>
  <c r="G26" i="3" s="1"/>
  <c r="G27" i="3" s="1"/>
  <c r="G28" i="3" s="1"/>
  <c r="K12" i="3"/>
  <c r="K13" i="3" s="1"/>
  <c r="K14" i="3" s="1"/>
  <c r="K15" i="3" s="1"/>
  <c r="K16" i="3" s="1"/>
  <c r="K17" i="3" s="1"/>
  <c r="K18" i="3" s="1"/>
  <c r="K19" i="3" s="1"/>
  <c r="K20" i="3" s="1"/>
  <c r="K21" i="3" s="1"/>
  <c r="K22" i="3" s="1"/>
  <c r="K23" i="3" s="1"/>
  <c r="K24" i="3" s="1"/>
  <c r="H73" i="3"/>
  <c r="T34" i="6"/>
  <c r="J76" i="3"/>
  <c r="J79" i="3"/>
  <c r="J82" i="3"/>
  <c r="F76" i="3"/>
  <c r="F79" i="3"/>
  <c r="F82" i="3"/>
  <c r="J31" i="6"/>
  <c r="A2" i="6"/>
  <c r="W51" i="5"/>
  <c r="F83" i="5"/>
  <c r="W15" i="5"/>
  <c r="W11" i="5"/>
  <c r="Q11" i="5"/>
  <c r="W49" i="5"/>
  <c r="Q49" i="5"/>
  <c r="Q32" i="5"/>
  <c r="Q48" i="5"/>
  <c r="Q12" i="5"/>
  <c r="Q28" i="5"/>
  <c r="Q29" i="5"/>
  <c r="W48" i="5"/>
  <c r="I36" i="5" l="1"/>
  <c r="I37" i="5"/>
  <c r="H51" i="7"/>
  <c r="H46" i="7"/>
  <c r="H50" i="7"/>
  <c r="H47" i="7"/>
  <c r="H48" i="7"/>
  <c r="Z176" i="7"/>
  <c r="Z177" i="7" s="1"/>
  <c r="Z178" i="7" s="1"/>
  <c r="Z179" i="7" s="1"/>
  <c r="Z180" i="7" s="1"/>
  <c r="Z181" i="7" s="1"/>
  <c r="Z182" i="7" s="1"/>
  <c r="Z183" i="7" s="1"/>
  <c r="Z184" i="7" s="1"/>
  <c r="Z185" i="7" s="1"/>
  <c r="Z186" i="7" s="1"/>
  <c r="Z187" i="7" s="1"/>
  <c r="Z188" i="7" s="1"/>
  <c r="Z189" i="7" s="1"/>
  <c r="Z190" i="7" s="1"/>
  <c r="B190" i="7"/>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I35" i="5"/>
  <c r="I34" i="5"/>
  <c r="Y114" i="5"/>
  <c r="Y115" i="5" s="1"/>
  <c r="B114" i="5"/>
  <c r="B115" i="5" s="1"/>
  <c r="H29" i="10"/>
  <c r="H31" i="8"/>
  <c r="H33" i="10"/>
  <c r="H35" i="8"/>
  <c r="H34" i="10"/>
  <c r="H36" i="8"/>
  <c r="H32" i="10"/>
  <c r="H34" i="8"/>
  <c r="H31" i="10"/>
  <c r="H33" i="8"/>
  <c r="I19" i="8"/>
  <c r="G18" i="8"/>
  <c r="V18" i="8" s="1"/>
  <c r="H30" i="10"/>
  <c r="H32" i="8"/>
  <c r="H28" i="10"/>
  <c r="H30" i="8"/>
  <c r="H27" i="10"/>
  <c r="H29" i="8"/>
  <c r="S24" i="2"/>
  <c r="S25" i="2" s="1"/>
  <c r="S26" i="2" s="1"/>
  <c r="S27" i="2" s="1"/>
  <c r="S28" i="2" s="1"/>
  <c r="S29" i="2" s="1"/>
  <c r="S30" i="2" s="1"/>
  <c r="S31" i="2" s="1"/>
  <c r="S32" i="2" s="1"/>
  <c r="S33" i="2" s="1"/>
  <c r="S34" i="2" s="1"/>
  <c r="S35" i="2" s="1"/>
  <c r="S36" i="2" s="1"/>
  <c r="S37" i="2" s="1"/>
  <c r="S38" i="2" s="1"/>
  <c r="S39" i="2" s="1"/>
  <c r="S9" i="2"/>
  <c r="P24" i="8"/>
  <c r="R14" i="10"/>
  <c r="W15" i="8"/>
  <c r="I44" i="7"/>
  <c r="K44" i="7" s="1"/>
  <c r="L38" i="6"/>
  <c r="I39" i="5"/>
  <c r="I33" i="5"/>
  <c r="I32" i="5"/>
  <c r="I42" i="7"/>
  <c r="K42" i="7" s="1"/>
  <c r="O42" i="7" s="1"/>
  <c r="I43" i="7"/>
  <c r="L37" i="6"/>
  <c r="I41" i="7"/>
  <c r="O43" i="6"/>
  <c r="O67" i="7"/>
  <c r="L54" i="7"/>
  <c r="L53" i="7"/>
  <c r="U12" i="8"/>
  <c r="L28" i="2"/>
  <c r="L29" i="2" s="1"/>
  <c r="L30" i="2" s="1"/>
  <c r="L31" i="2" s="1"/>
  <c r="L32" i="2" s="1"/>
  <c r="L33" i="2" s="1"/>
  <c r="L34" i="2" s="1"/>
  <c r="L10" i="2" s="1"/>
  <c r="L15" i="10"/>
  <c r="M16" i="10" s="1"/>
  <c r="R17" i="8"/>
  <c r="U17" i="8"/>
  <c r="U15" i="8"/>
  <c r="U16" i="8"/>
  <c r="U14" i="8"/>
  <c r="U13" i="8"/>
  <c r="K32" i="8"/>
  <c r="O12" i="10"/>
  <c r="P12" i="10" s="1"/>
  <c r="K12" i="10"/>
  <c r="H15" i="10"/>
  <c r="I16" i="10" s="1"/>
  <c r="M32" i="11"/>
  <c r="N13" i="11"/>
  <c r="M19" i="11"/>
  <c r="M9" i="11" s="1"/>
  <c r="R15" i="11"/>
  <c r="K15" i="11"/>
  <c r="V16" i="8"/>
  <c r="B15" i="5"/>
  <c r="L22" i="10"/>
  <c r="L24" i="10"/>
  <c r="L23" i="10"/>
  <c r="H16" i="10"/>
  <c r="U18" i="2"/>
  <c r="U19" i="2" s="1"/>
  <c r="L17" i="10"/>
  <c r="L16" i="10"/>
  <c r="K13" i="2"/>
  <c r="K14" i="2" s="1"/>
  <c r="L18" i="10"/>
  <c r="L19" i="10"/>
  <c r="L20" i="10"/>
  <c r="L21" i="10"/>
  <c r="E13" i="2"/>
  <c r="E14" i="2" s="1"/>
  <c r="E15" i="2" s="1"/>
  <c r="E16" i="2" s="1"/>
  <c r="E17" i="2" s="1"/>
  <c r="E18" i="2" s="1"/>
  <c r="M14" i="8"/>
  <c r="M15" i="8"/>
  <c r="M13" i="8"/>
  <c r="V15" i="8"/>
  <c r="V13" i="8"/>
  <c r="V12" i="8"/>
  <c r="V14" i="8"/>
  <c r="G17" i="11"/>
  <c r="N18" i="8" s="1"/>
  <c r="L43" i="6"/>
  <c r="V17" i="8"/>
  <c r="V16" i="6"/>
  <c r="G13" i="10"/>
  <c r="E14" i="11"/>
  <c r="E15" i="11"/>
  <c r="E31" i="11"/>
  <c r="AD14" i="2"/>
  <c r="AD15" i="2" s="1"/>
  <c r="AD16" i="2" s="1"/>
  <c r="AD17" i="2" s="1"/>
  <c r="AD18" i="2" s="1"/>
  <c r="AC13" i="2"/>
  <c r="AC14" i="2" s="1"/>
  <c r="AC15" i="2" s="1"/>
  <c r="AC16" i="2" s="1"/>
  <c r="AC17" i="2" s="1"/>
  <c r="AC18" i="2" s="1"/>
  <c r="AA13" i="2"/>
  <c r="AA14" i="2" s="1"/>
  <c r="AA15" i="2" s="1"/>
  <c r="AA16" i="2" s="1"/>
  <c r="AA17" i="2" s="1"/>
  <c r="AA18" i="2" s="1"/>
  <c r="W45" i="6"/>
  <c r="V56" i="5"/>
  <c r="V45" i="6"/>
  <c r="V42" i="6"/>
  <c r="W42" i="6"/>
  <c r="I59" i="5"/>
  <c r="AA54" i="5"/>
  <c r="N56" i="5"/>
  <c r="H67" i="7"/>
  <c r="R45" i="6"/>
  <c r="U56" i="5"/>
  <c r="L26" i="6"/>
  <c r="I66" i="7"/>
  <c r="H66" i="7" s="1"/>
  <c r="L42" i="6"/>
  <c r="L10" i="6"/>
  <c r="L16" i="6"/>
  <c r="H69" i="7"/>
  <c r="U33" i="6"/>
  <c r="Y11" i="5"/>
  <c r="Y12" i="5" s="1"/>
  <c r="O33" i="6"/>
  <c r="T3" i="6"/>
  <c r="I20" i="6"/>
  <c r="V20" i="6"/>
  <c r="W20" i="6"/>
  <c r="W16" i="6"/>
  <c r="J13" i="10"/>
  <c r="I12" i="2"/>
  <c r="J12" i="2" s="1"/>
  <c r="R14" i="2"/>
  <c r="R15" i="2" s="1"/>
  <c r="R16" i="2" s="1"/>
  <c r="R17" i="2" s="1"/>
  <c r="R18" i="2" s="1"/>
  <c r="R19" i="2" s="1"/>
  <c r="R20" i="2" s="1"/>
  <c r="R21" i="2" s="1"/>
  <c r="R22" i="2" s="1"/>
  <c r="R23" i="2" s="1"/>
  <c r="T13" i="2"/>
  <c r="T14" i="2" s="1"/>
  <c r="T15" i="2" s="1"/>
  <c r="T16" i="2" s="1"/>
  <c r="T17" i="2" s="1"/>
  <c r="T18" i="2" s="1"/>
  <c r="T19" i="2" s="1"/>
  <c r="T20" i="2" s="1"/>
  <c r="T21" i="2" s="1"/>
  <c r="T22" i="2" s="1"/>
  <c r="T23" i="2" s="1"/>
  <c r="R42" i="2"/>
  <c r="L14" i="5" s="1"/>
  <c r="AB7" i="2"/>
  <c r="AB8" i="2" s="1"/>
  <c r="G52" i="5"/>
  <c r="P40" i="10"/>
  <c r="Q40" i="10"/>
  <c r="N59" i="7"/>
  <c r="J41" i="6"/>
  <c r="K41" i="6" s="1"/>
  <c r="U41" i="6" s="1"/>
  <c r="M34" i="5"/>
  <c r="I90" i="5"/>
  <c r="S14" i="11"/>
  <c r="L14" i="11"/>
  <c r="G19" i="2"/>
  <c r="G20" i="2" s="1"/>
  <c r="G21" i="2" s="1"/>
  <c r="G22" i="2" s="1"/>
  <c r="G23" i="2" s="1"/>
  <c r="G24" i="2" s="1"/>
  <c r="G25" i="2" s="1"/>
  <c r="G26" i="2" s="1"/>
  <c r="G27" i="2" s="1"/>
  <c r="G28" i="2" s="1"/>
  <c r="G29" i="2" s="1"/>
  <c r="G30" i="2" s="1"/>
  <c r="G31" i="2" s="1"/>
  <c r="G32" i="2" s="1"/>
  <c r="G33" i="2" s="1"/>
  <c r="G34" i="2" s="1"/>
  <c r="J81" i="5"/>
  <c r="J40" i="6"/>
  <c r="F18" i="2"/>
  <c r="F9" i="2" s="1"/>
  <c r="C83" i="8"/>
  <c r="B83" i="8"/>
  <c r="J7" i="2"/>
  <c r="K25" i="3"/>
  <c r="K26" i="3" s="1"/>
  <c r="K27" i="3" s="1"/>
  <c r="K28" i="3" s="1"/>
  <c r="K29" i="3" s="1"/>
  <c r="K30" i="3" s="1"/>
  <c r="K31" i="3" s="1"/>
  <c r="K32" i="3" s="1"/>
  <c r="K33" i="3" s="1"/>
  <c r="O91" i="2"/>
  <c r="O93" i="2"/>
  <c r="O95" i="2"/>
  <c r="C88" i="2"/>
  <c r="C94" i="2"/>
  <c r="E88" i="2"/>
  <c r="X97" i="2"/>
  <c r="B79" i="3"/>
  <c r="D73" i="3"/>
  <c r="B91" i="8"/>
  <c r="B88" i="8"/>
  <c r="B85" i="8"/>
  <c r="X95" i="2"/>
  <c r="C90" i="2"/>
  <c r="C92" i="2"/>
  <c r="B73" i="3"/>
  <c r="B82" i="3"/>
  <c r="B76" i="3"/>
  <c r="B116" i="5" l="1"/>
  <c r="B117" i="5" s="1"/>
  <c r="B118" i="5" s="1"/>
  <c r="B119" i="5" s="1"/>
  <c r="B120" i="5" s="1"/>
  <c r="B121" i="5" s="1"/>
  <c r="B122" i="5" s="1"/>
  <c r="B123" i="5" s="1"/>
  <c r="B124" i="5" s="1"/>
  <c r="B125" i="5" s="1"/>
  <c r="B126" i="5" s="1"/>
  <c r="Y116" i="5"/>
  <c r="Y117" i="5" s="1"/>
  <c r="Y118" i="5" s="1"/>
  <c r="Y119" i="5" s="1"/>
  <c r="Y120" i="5" s="1"/>
  <c r="Y121" i="5" s="1"/>
  <c r="Y122" i="5" s="1"/>
  <c r="Y123" i="5" s="1"/>
  <c r="Y124" i="5" s="1"/>
  <c r="Y125" i="5" s="1"/>
  <c r="B55" i="7"/>
  <c r="B56" i="7" s="1"/>
  <c r="B57" i="7" s="1"/>
  <c r="B58" i="7" s="1"/>
  <c r="B59" i="7" s="1"/>
  <c r="B60" i="7" s="1"/>
  <c r="B61" i="7" s="1"/>
  <c r="B62" i="7" s="1"/>
  <c r="B63" i="7" s="1"/>
  <c r="B64" i="7" s="1"/>
  <c r="B65" i="7" s="1"/>
  <c r="B66" i="7" s="1"/>
  <c r="B67" i="7" s="1"/>
  <c r="B68" i="7" s="1"/>
  <c r="B69" i="7" s="1"/>
  <c r="B70" i="7" s="1"/>
  <c r="B71" i="7" s="1"/>
  <c r="B72" i="7" s="1"/>
  <c r="B73" i="7" s="1"/>
  <c r="B74" i="7" s="1"/>
  <c r="Z191" i="7"/>
  <c r="Z192" i="7" s="1"/>
  <c r="Z193" i="7" s="1"/>
  <c r="Z194" i="7" s="1"/>
  <c r="Z195" i="7" s="1"/>
  <c r="Z196" i="7" s="1"/>
  <c r="Z197" i="7" s="1"/>
  <c r="Z198" i="7" s="1"/>
  <c r="Z199" i="7" s="1"/>
  <c r="Z200" i="7" s="1"/>
  <c r="Z201" i="7" s="1"/>
  <c r="Z202" i="7" s="1"/>
  <c r="Z203" i="7" s="1"/>
  <c r="Z204" i="7" s="1"/>
  <c r="Z205" i="7" s="1"/>
  <c r="Z206" i="7" s="1"/>
  <c r="Z207" i="7" s="1"/>
  <c r="Z208" i="7" s="1"/>
  <c r="Z209" i="7" s="1"/>
  <c r="Z210" i="7" s="1"/>
  <c r="Z52" i="7"/>
  <c r="I20" i="8"/>
  <c r="I21" i="8" s="1"/>
  <c r="I22" i="8" s="1"/>
  <c r="G19" i="8"/>
  <c r="S10" i="2"/>
  <c r="S11" i="2"/>
  <c r="R24" i="2"/>
  <c r="R25" i="2" s="1"/>
  <c r="R26" i="2" s="1"/>
  <c r="R27" i="2" s="1"/>
  <c r="R28" i="2" s="1"/>
  <c r="R29" i="2" s="1"/>
  <c r="R30" i="2" s="1"/>
  <c r="R31" i="2" s="1"/>
  <c r="R32" i="2" s="1"/>
  <c r="R33" i="2" s="1"/>
  <c r="R34" i="2" s="1"/>
  <c r="R35" i="2" s="1"/>
  <c r="R36" i="2" s="1"/>
  <c r="R37" i="2" s="1"/>
  <c r="R38" i="2" s="1"/>
  <c r="R39" i="2" s="1"/>
  <c r="R9" i="2"/>
  <c r="AA19" i="2"/>
  <c r="AA20" i="2" s="1"/>
  <c r="AA21" i="2" s="1"/>
  <c r="AA22" i="2" s="1"/>
  <c r="AA23" i="2" s="1"/>
  <c r="AA24" i="2" s="1"/>
  <c r="AA25" i="2" s="1"/>
  <c r="AA26" i="2" s="1"/>
  <c r="AA27" i="2" s="1"/>
  <c r="AA28" i="2" s="1"/>
  <c r="AA29" i="2" s="1"/>
  <c r="AA30" i="2" s="1"/>
  <c r="AA31" i="2" s="1"/>
  <c r="AA32" i="2" s="1"/>
  <c r="AA33" i="2" s="1"/>
  <c r="AA34" i="2" s="1"/>
  <c r="AA9" i="2"/>
  <c r="AD19" i="2"/>
  <c r="AD20" i="2" s="1"/>
  <c r="AD21" i="2" s="1"/>
  <c r="AD22" i="2" s="1"/>
  <c r="AD23" i="2" s="1"/>
  <c r="AD24" i="2" s="1"/>
  <c r="AD25" i="2" s="1"/>
  <c r="AD26" i="2" s="1"/>
  <c r="AD27" i="2" s="1"/>
  <c r="AD28" i="2" s="1"/>
  <c r="AD29" i="2" s="1"/>
  <c r="AD30" i="2" s="1"/>
  <c r="AD31" i="2" s="1"/>
  <c r="AD32" i="2" s="1"/>
  <c r="AD33" i="2" s="1"/>
  <c r="AD34" i="2" s="1"/>
  <c r="AD9" i="2"/>
  <c r="AC19" i="2"/>
  <c r="AC20" i="2" s="1"/>
  <c r="AC21" i="2" s="1"/>
  <c r="AC22" i="2" s="1"/>
  <c r="AC23" i="2" s="1"/>
  <c r="AC24" i="2" s="1"/>
  <c r="AC25" i="2" s="1"/>
  <c r="AC26" i="2" s="1"/>
  <c r="AC27" i="2" s="1"/>
  <c r="AC28" i="2" s="1"/>
  <c r="AC29" i="2" s="1"/>
  <c r="AC30" i="2" s="1"/>
  <c r="AC31" i="2" s="1"/>
  <c r="AC32" i="2" s="1"/>
  <c r="AC33" i="2" s="1"/>
  <c r="AC34" i="2" s="1"/>
  <c r="AC9" i="2"/>
  <c r="T24" i="2"/>
  <c r="T25" i="2" s="1"/>
  <c r="T26" i="2" s="1"/>
  <c r="T27" i="2" s="1"/>
  <c r="T28" i="2" s="1"/>
  <c r="T29" i="2" s="1"/>
  <c r="T30" i="2" s="1"/>
  <c r="T31" i="2" s="1"/>
  <c r="T32" i="2" s="1"/>
  <c r="T33" i="2" s="1"/>
  <c r="T34" i="2" s="1"/>
  <c r="T35" i="2" s="1"/>
  <c r="T36" i="2" s="1"/>
  <c r="T37" i="2" s="1"/>
  <c r="T38" i="2" s="1"/>
  <c r="T39" i="2" s="1"/>
  <c r="T9" i="2"/>
  <c r="P25" i="8"/>
  <c r="R15" i="10"/>
  <c r="W16" i="8"/>
  <c r="K43" i="7"/>
  <c r="L42" i="7"/>
  <c r="L44" i="7"/>
  <c r="O44" i="7"/>
  <c r="L45" i="6"/>
  <c r="S18" i="8"/>
  <c r="T18" i="8" s="1"/>
  <c r="U18" i="8" s="1"/>
  <c r="E19" i="2"/>
  <c r="E20" i="2" s="1"/>
  <c r="E21" i="2" s="1"/>
  <c r="E22" i="2" s="1"/>
  <c r="E23" i="2" s="1"/>
  <c r="E24" i="2" s="1"/>
  <c r="E25" i="2" s="1"/>
  <c r="E26" i="2" s="1"/>
  <c r="E27" i="2" s="1"/>
  <c r="E28" i="2" s="1"/>
  <c r="E29" i="2" s="1"/>
  <c r="E30" i="2" s="1"/>
  <c r="E31" i="2" s="1"/>
  <c r="E9" i="2"/>
  <c r="G10" i="2"/>
  <c r="G11" i="2"/>
  <c r="Q12" i="10"/>
  <c r="M17" i="10"/>
  <c r="M18" i="10" s="1"/>
  <c r="M8" i="10" s="1"/>
  <c r="E16" i="11"/>
  <c r="K13" i="10"/>
  <c r="E18" i="8"/>
  <c r="F18" i="8"/>
  <c r="F14" i="11"/>
  <c r="S15" i="11"/>
  <c r="M34" i="11"/>
  <c r="M20" i="11"/>
  <c r="R16" i="11"/>
  <c r="N14" i="11"/>
  <c r="K16" i="11"/>
  <c r="O3" i="8"/>
  <c r="K22" i="6"/>
  <c r="I17" i="10"/>
  <c r="I18" i="10" s="1"/>
  <c r="X55" i="5"/>
  <c r="G18" i="11"/>
  <c r="N19" i="8" s="1"/>
  <c r="K38" i="6"/>
  <c r="E32" i="11"/>
  <c r="E17" i="11"/>
  <c r="L34" i="5"/>
  <c r="L13" i="5"/>
  <c r="L19" i="5"/>
  <c r="L18" i="5"/>
  <c r="L12" i="5"/>
  <c r="L20" i="5"/>
  <c r="L21" i="5"/>
  <c r="L39" i="5"/>
  <c r="L16" i="5"/>
  <c r="L47" i="5"/>
  <c r="L52" i="5"/>
  <c r="L11" i="5"/>
  <c r="L57" i="5"/>
  <c r="L51" i="5"/>
  <c r="L26" i="5"/>
  <c r="L22" i="5"/>
  <c r="L24" i="5"/>
  <c r="L33" i="5"/>
  <c r="L17" i="5"/>
  <c r="L46" i="5"/>
  <c r="L48" i="5"/>
  <c r="L49" i="5"/>
  <c r="L10" i="5"/>
  <c r="L29" i="5"/>
  <c r="L56" i="5"/>
  <c r="L15" i="5"/>
  <c r="U20" i="2"/>
  <c r="K15" i="2"/>
  <c r="K16" i="2" s="1"/>
  <c r="K42" i="6"/>
  <c r="X59" i="5"/>
  <c r="J20" i="6"/>
  <c r="K20" i="6" s="1"/>
  <c r="K24" i="6"/>
  <c r="K23" i="6"/>
  <c r="L59" i="5"/>
  <c r="P59" i="5" s="1"/>
  <c r="K21" i="6"/>
  <c r="K37" i="6"/>
  <c r="K12" i="6"/>
  <c r="K14" i="6"/>
  <c r="K13" i="6"/>
  <c r="K11" i="6"/>
  <c r="U11" i="6" s="1"/>
  <c r="K28" i="6"/>
  <c r="K19" i="6"/>
  <c r="B16" i="5"/>
  <c r="Y13" i="5"/>
  <c r="Y14" i="5" s="1"/>
  <c r="Y15" i="5" s="1"/>
  <c r="Y16" i="5" s="1"/>
  <c r="Y17" i="5" s="1"/>
  <c r="Y18" i="5" s="1"/>
  <c r="Y19" i="5" s="1"/>
  <c r="Y20" i="5" s="1"/>
  <c r="Y21" i="5" s="1"/>
  <c r="Y22" i="5" s="1"/>
  <c r="Y23" i="5" s="1"/>
  <c r="Y24" i="5" s="1"/>
  <c r="K15" i="6"/>
  <c r="U15" i="6" s="1"/>
  <c r="K25" i="6"/>
  <c r="K10" i="6"/>
  <c r="K36" i="6"/>
  <c r="H3" i="11"/>
  <c r="H13" i="11" s="1"/>
  <c r="K17" i="6"/>
  <c r="M3" i="7"/>
  <c r="K16" i="6"/>
  <c r="K18" i="6"/>
  <c r="K26" i="6"/>
  <c r="P20" i="6"/>
  <c r="M20" i="6"/>
  <c r="C17" i="11"/>
  <c r="N13" i="10"/>
  <c r="J8" i="2"/>
  <c r="I38" i="2"/>
  <c r="H13" i="2"/>
  <c r="I13" i="2" s="1"/>
  <c r="J13" i="2" s="1"/>
  <c r="K40" i="6"/>
  <c r="U40" i="6" s="1"/>
  <c r="C18" i="10"/>
  <c r="L15" i="11"/>
  <c r="I24" i="7"/>
  <c r="F19" i="2"/>
  <c r="F20" i="2" s="1"/>
  <c r="F21" i="2" s="1"/>
  <c r="F22" i="2" s="1"/>
  <c r="F23" i="2" s="1"/>
  <c r="F24" i="2" s="1"/>
  <c r="F25" i="2" s="1"/>
  <c r="F26" i="2" s="1"/>
  <c r="F27" i="2" s="1"/>
  <c r="F28" i="2" s="1"/>
  <c r="F29" i="2" s="1"/>
  <c r="F30" i="2" s="1"/>
  <c r="F31" i="2" s="1"/>
  <c r="F32" i="2" s="1"/>
  <c r="F33" i="2" s="1"/>
  <c r="F34" i="2" s="1"/>
  <c r="AB12" i="2"/>
  <c r="H14" i="2"/>
  <c r="I14" i="2" s="1"/>
  <c r="J14" i="2" s="1"/>
  <c r="C12" i="3"/>
  <c r="C13" i="3" s="1"/>
  <c r="C14" i="3" s="1"/>
  <c r="C15" i="3" s="1"/>
  <c r="C16" i="3" s="1"/>
  <c r="C17" i="3" s="1"/>
  <c r="Y126" i="5" l="1"/>
  <c r="Y127" i="5" s="1"/>
  <c r="Y128" i="5" s="1"/>
  <c r="Y131" i="5" s="1"/>
  <c r="Y132" i="5" s="1"/>
  <c r="Y133" i="5" s="1"/>
  <c r="Y134" i="5" s="1"/>
  <c r="Y135" i="5" s="1"/>
  <c r="Y136" i="5" s="1"/>
  <c r="Y137" i="5" s="1"/>
  <c r="Y138" i="5" s="1"/>
  <c r="Y139" i="5" s="1"/>
  <c r="Y140" i="5" s="1"/>
  <c r="Y141" i="5" s="1"/>
  <c r="Y142" i="5" s="1"/>
  <c r="Y143" i="5" s="1"/>
  <c r="Y144" i="5" s="1"/>
  <c r="Y145" i="5" s="1"/>
  <c r="Y146" i="5" s="1"/>
  <c r="Y147" i="5" s="1"/>
  <c r="Y148" i="5" s="1"/>
  <c r="Y149" i="5" s="1"/>
  <c r="Y150" i="5" s="1"/>
  <c r="Y151" i="5" s="1"/>
  <c r="B127" i="5"/>
  <c r="Y25" i="5"/>
  <c r="Y26" i="5" s="1"/>
  <c r="Y27" i="5" s="1"/>
  <c r="Y28" i="5" s="1"/>
  <c r="Y29" i="5" s="1"/>
  <c r="Y30" i="5" s="1"/>
  <c r="Y31" i="5" s="1"/>
  <c r="Y32" i="5" s="1"/>
  <c r="Y33" i="5" s="1"/>
  <c r="Y34" i="5" s="1"/>
  <c r="Y35" i="5" s="1"/>
  <c r="M18" i="7"/>
  <c r="N18" i="7" s="1"/>
  <c r="M21" i="7"/>
  <c r="N21" i="7" s="1"/>
  <c r="M22" i="7"/>
  <c r="N22" i="7" s="1"/>
  <c r="M23" i="7"/>
  <c r="N23" i="7" s="1"/>
  <c r="M19" i="7"/>
  <c r="N19" i="7" s="1"/>
  <c r="M20" i="7"/>
  <c r="N20" i="7" s="1"/>
  <c r="M17" i="7"/>
  <c r="N17" i="7" s="1"/>
  <c r="M16" i="7"/>
  <c r="M15" i="7"/>
  <c r="M11" i="7"/>
  <c r="N11" i="7" s="1"/>
  <c r="M10" i="7"/>
  <c r="N10" i="7" s="1"/>
  <c r="M12" i="7"/>
  <c r="N12" i="7" s="1"/>
  <c r="H30" i="2"/>
  <c r="I30" i="2" s="1"/>
  <c r="J30" i="2" s="1"/>
  <c r="R11" i="2"/>
  <c r="R10" i="2"/>
  <c r="T10" i="2"/>
  <c r="T11" i="2"/>
  <c r="AC10" i="2"/>
  <c r="AC11" i="2"/>
  <c r="AD10" i="2"/>
  <c r="AD11" i="2"/>
  <c r="AA10" i="2"/>
  <c r="AA11" i="2"/>
  <c r="P26" i="8"/>
  <c r="O18" i="8"/>
  <c r="Q18" i="8" s="1"/>
  <c r="O16" i="8"/>
  <c r="Q16" i="8" s="1"/>
  <c r="R16" i="10"/>
  <c r="W17" i="8"/>
  <c r="O43" i="7"/>
  <c r="L43" i="7"/>
  <c r="M42" i="7"/>
  <c r="N42" i="7" s="1"/>
  <c r="M44" i="7"/>
  <c r="N44" i="7" s="1"/>
  <c r="M56" i="7"/>
  <c r="M35" i="7"/>
  <c r="M43" i="7"/>
  <c r="M55" i="7"/>
  <c r="M34" i="7"/>
  <c r="M54" i="7"/>
  <c r="N54" i="7" s="1"/>
  <c r="M53" i="7"/>
  <c r="N53" i="7" s="1"/>
  <c r="M33" i="7"/>
  <c r="M31" i="7"/>
  <c r="N31" i="7" s="1"/>
  <c r="M27" i="7"/>
  <c r="N27" i="7" s="1"/>
  <c r="M30" i="7"/>
  <c r="N30" i="7" s="1"/>
  <c r="M28" i="7"/>
  <c r="M29" i="7"/>
  <c r="M32" i="7"/>
  <c r="M13" i="7"/>
  <c r="M25" i="7"/>
  <c r="M14" i="7"/>
  <c r="M26" i="7"/>
  <c r="M38" i="7"/>
  <c r="N38" i="7" s="1"/>
  <c r="S19" i="8"/>
  <c r="T19" i="8" s="1"/>
  <c r="U19" i="8" s="1"/>
  <c r="I23" i="8"/>
  <c r="F10" i="2"/>
  <c r="F11" i="2"/>
  <c r="I13" i="11"/>
  <c r="J13" i="11" s="1"/>
  <c r="M19" i="10"/>
  <c r="M20" i="10" s="1"/>
  <c r="M21" i="10" s="1"/>
  <c r="M22" i="10" s="1"/>
  <c r="M23" i="10" s="1"/>
  <c r="M24" i="10" s="1"/>
  <c r="M25" i="10" s="1"/>
  <c r="M26" i="10" s="1"/>
  <c r="M27" i="10" s="1"/>
  <c r="M28" i="10" s="1"/>
  <c r="M29" i="10" s="1"/>
  <c r="M30" i="10" s="1"/>
  <c r="M31" i="10" s="1"/>
  <c r="M32" i="10" s="1"/>
  <c r="M33" i="10" s="1"/>
  <c r="M34" i="10" s="1"/>
  <c r="O13" i="10"/>
  <c r="D18" i="8"/>
  <c r="E19" i="8"/>
  <c r="F19" i="8"/>
  <c r="S16" i="11"/>
  <c r="K17" i="11"/>
  <c r="R17" i="11"/>
  <c r="M22" i="11"/>
  <c r="M35" i="11"/>
  <c r="M11" i="11" s="1"/>
  <c r="I19" i="10"/>
  <c r="I20" i="10" s="1"/>
  <c r="I21" i="10" s="1"/>
  <c r="I22" i="10" s="1"/>
  <c r="I23" i="10" s="1"/>
  <c r="I24" i="10" s="1"/>
  <c r="I25" i="10" s="1"/>
  <c r="I26" i="10" s="1"/>
  <c r="I27" i="10" s="1"/>
  <c r="I28" i="10" s="1"/>
  <c r="I29" i="10" s="1"/>
  <c r="I30" i="10" s="1"/>
  <c r="I31" i="10" s="1"/>
  <c r="I32" i="10" s="1"/>
  <c r="I33" i="10" s="1"/>
  <c r="I34" i="10" s="1"/>
  <c r="I8" i="10"/>
  <c r="O19" i="8"/>
  <c r="Q19" i="8" s="1"/>
  <c r="U22" i="6"/>
  <c r="O12" i="8"/>
  <c r="O13" i="8"/>
  <c r="O14" i="8"/>
  <c r="Q14" i="8" s="1"/>
  <c r="O15" i="8"/>
  <c r="O17" i="8"/>
  <c r="Q17" i="8" s="1"/>
  <c r="G19" i="11"/>
  <c r="H14" i="11"/>
  <c r="U38" i="6"/>
  <c r="T16" i="6"/>
  <c r="U16" i="6"/>
  <c r="U37" i="6"/>
  <c r="E33" i="11"/>
  <c r="E18" i="11"/>
  <c r="Q52" i="5"/>
  <c r="U21" i="2"/>
  <c r="U12" i="6"/>
  <c r="U14" i="6"/>
  <c r="U13" i="6"/>
  <c r="T42" i="6"/>
  <c r="U42" i="6"/>
  <c r="R56" i="5"/>
  <c r="X56" i="5" s="1"/>
  <c r="M66" i="7"/>
  <c r="N66" i="7" s="1"/>
  <c r="U26" i="6"/>
  <c r="L20" i="6"/>
  <c r="T23" i="6"/>
  <c r="U23" i="6"/>
  <c r="U24" i="6"/>
  <c r="T24" i="6"/>
  <c r="T12" i="6"/>
  <c r="T11" i="6"/>
  <c r="T13" i="6"/>
  <c r="T14" i="6"/>
  <c r="T21" i="6"/>
  <c r="U21" i="6"/>
  <c r="T28" i="6"/>
  <c r="U28" i="6"/>
  <c r="T19" i="6"/>
  <c r="U19" i="6"/>
  <c r="B17" i="5"/>
  <c r="T17" i="6"/>
  <c r="U17" i="6"/>
  <c r="U18" i="6"/>
  <c r="T15" i="6"/>
  <c r="U25" i="6"/>
  <c r="U10" i="6"/>
  <c r="T10" i="6"/>
  <c r="T18" i="6"/>
  <c r="T20" i="6"/>
  <c r="U20" i="6"/>
  <c r="T26" i="6"/>
  <c r="U36" i="6"/>
  <c r="T36" i="6"/>
  <c r="L16" i="11"/>
  <c r="N15" i="11"/>
  <c r="C19" i="11"/>
  <c r="E32" i="2"/>
  <c r="H31" i="2"/>
  <c r="I31" i="2" s="1"/>
  <c r="J31" i="2" s="1"/>
  <c r="Q13" i="10"/>
  <c r="AB13" i="2"/>
  <c r="AB14" i="2" s="1"/>
  <c r="AB15" i="2" s="1"/>
  <c r="AB16" i="2" s="1"/>
  <c r="AB17" i="2" s="1"/>
  <c r="AB18" i="2" s="1"/>
  <c r="H15" i="2"/>
  <c r="I15" i="2" s="1"/>
  <c r="J15" i="2" s="1"/>
  <c r="C18" i="3"/>
  <c r="C19" i="3" s="1"/>
  <c r="C20" i="3" s="1"/>
  <c r="C21" i="3" s="1"/>
  <c r="B128" i="5" l="1"/>
  <c r="B132" i="5" s="1"/>
  <c r="B133" i="5" s="1"/>
  <c r="B134" i="5" s="1"/>
  <c r="B135" i="5" s="1"/>
  <c r="B136" i="5" s="1"/>
  <c r="B137" i="5" s="1"/>
  <c r="B138" i="5" s="1"/>
  <c r="B139" i="5" s="1"/>
  <c r="B140" i="5" s="1"/>
  <c r="B141" i="5" s="1"/>
  <c r="B142" i="5" s="1"/>
  <c r="B143" i="5" s="1"/>
  <c r="B144" i="5" s="1"/>
  <c r="B145" i="5" s="1"/>
  <c r="B146" i="5" s="1"/>
  <c r="B147" i="5" s="1"/>
  <c r="B148" i="5" s="1"/>
  <c r="B149" i="5" s="1"/>
  <c r="B150" i="5" s="1"/>
  <c r="B151" i="5" s="1"/>
  <c r="Y36" i="5"/>
  <c r="Y40" i="5" s="1"/>
  <c r="Y41" i="5" s="1"/>
  <c r="Y42" i="5" s="1"/>
  <c r="Y43" i="5" s="1"/>
  <c r="Y44" i="5" s="1"/>
  <c r="Y45" i="5" s="1"/>
  <c r="Y46" i="5" s="1"/>
  <c r="Y47" i="5" s="1"/>
  <c r="Y48" i="5" s="1"/>
  <c r="Y49" i="5" s="1"/>
  <c r="Y50" i="5" s="1"/>
  <c r="Y51" i="5" s="1"/>
  <c r="Y52" i="5" s="1"/>
  <c r="Y53" i="5" s="1"/>
  <c r="Y54" i="5" s="1"/>
  <c r="Y55" i="5" s="1"/>
  <c r="Y56" i="5" s="1"/>
  <c r="Y57" i="5" s="1"/>
  <c r="Y58" i="5" s="1"/>
  <c r="Y59" i="5" s="1"/>
  <c r="Y60" i="5" s="1"/>
  <c r="Z53" i="7"/>
  <c r="Z54" i="7" s="1"/>
  <c r="Z55" i="7" s="1"/>
  <c r="Z56" i="7" s="1"/>
  <c r="Z57" i="7" s="1"/>
  <c r="Z58" i="7" s="1"/>
  <c r="Z59" i="7" s="1"/>
  <c r="Z60" i="7" s="1"/>
  <c r="Z61" i="7" s="1"/>
  <c r="Z62" i="7" s="1"/>
  <c r="Z63" i="7" s="1"/>
  <c r="Z64" i="7" s="1"/>
  <c r="Z65" i="7" s="1"/>
  <c r="Z66" i="7" s="1"/>
  <c r="Z67" i="7" s="1"/>
  <c r="Z68" i="7" s="1"/>
  <c r="Z69" i="7" s="1"/>
  <c r="Z70" i="7" s="1"/>
  <c r="Z71" i="7" s="1"/>
  <c r="Z72" i="7" s="1"/>
  <c r="Z73" i="7" s="1"/>
  <c r="Z74" i="7" s="1"/>
  <c r="AB19" i="2"/>
  <c r="AB20" i="2" s="1"/>
  <c r="AB21" i="2" s="1"/>
  <c r="AB23" i="2" s="1"/>
  <c r="AB24" i="2" s="1"/>
  <c r="AB25" i="2" s="1"/>
  <c r="AB26" i="2" s="1"/>
  <c r="AB27" i="2" s="1"/>
  <c r="AB28" i="2" s="1"/>
  <c r="AB29" i="2" s="1"/>
  <c r="AB30" i="2" s="1"/>
  <c r="AB31" i="2" s="1"/>
  <c r="AB32" i="2" s="1"/>
  <c r="AB33" i="2" s="1"/>
  <c r="AB34" i="2" s="1"/>
  <c r="AB9" i="2"/>
  <c r="P27" i="8"/>
  <c r="Q15" i="8"/>
  <c r="R17" i="10"/>
  <c r="W18" i="8"/>
  <c r="N43" i="7"/>
  <c r="N34" i="7"/>
  <c r="N55" i="7"/>
  <c r="N35" i="7"/>
  <c r="N56" i="7"/>
  <c r="N33" i="7"/>
  <c r="N28" i="7"/>
  <c r="N32" i="7"/>
  <c r="N29" i="7"/>
  <c r="N26" i="7"/>
  <c r="N25" i="7"/>
  <c r="N15" i="7"/>
  <c r="M24" i="7"/>
  <c r="N24" i="7" s="1"/>
  <c r="N14" i="7"/>
  <c r="N16" i="7"/>
  <c r="S20" i="8"/>
  <c r="S21" i="8" s="1"/>
  <c r="S22" i="8" s="1"/>
  <c r="S23" i="8" s="1"/>
  <c r="S24" i="8" s="1"/>
  <c r="S25" i="8" s="1"/>
  <c r="S26" i="8" s="1"/>
  <c r="S27" i="8" s="1"/>
  <c r="S28" i="8" s="1"/>
  <c r="S29" i="8" s="1"/>
  <c r="S30" i="8" s="1"/>
  <c r="S31" i="8" s="1"/>
  <c r="S32" i="8" s="1"/>
  <c r="S33" i="8" s="1"/>
  <c r="S34" i="8" s="1"/>
  <c r="S35" i="8" s="1"/>
  <c r="S36" i="8" s="1"/>
  <c r="I24" i="8"/>
  <c r="M9" i="10"/>
  <c r="M10" i="10"/>
  <c r="I9" i="10"/>
  <c r="I10" i="10"/>
  <c r="I14" i="11"/>
  <c r="V19" i="8"/>
  <c r="D19" i="8"/>
  <c r="M10" i="11"/>
  <c r="N20" i="8"/>
  <c r="N9" i="8" s="1"/>
  <c r="G9" i="11"/>
  <c r="K18" i="11"/>
  <c r="M23" i="11"/>
  <c r="N16" i="11"/>
  <c r="R18" i="11"/>
  <c r="S17" i="11"/>
  <c r="W56" i="5"/>
  <c r="G20" i="11"/>
  <c r="N21" i="8" s="1"/>
  <c r="E34" i="11"/>
  <c r="F34" i="10"/>
  <c r="E19" i="11"/>
  <c r="U22" i="2"/>
  <c r="K17" i="2"/>
  <c r="K18" i="2" s="1"/>
  <c r="K9" i="2" s="1"/>
  <c r="B18" i="5"/>
  <c r="P13" i="10"/>
  <c r="C20" i="11"/>
  <c r="H32" i="2"/>
  <c r="I32" i="2" s="1"/>
  <c r="J32" i="2" s="1"/>
  <c r="E33" i="2"/>
  <c r="E34" i="2" s="1"/>
  <c r="C20" i="10"/>
  <c r="L17" i="11"/>
  <c r="H16" i="2"/>
  <c r="I16" i="2" s="1"/>
  <c r="J16" i="2" s="1"/>
  <c r="AB10" i="2" l="1"/>
  <c r="AB11" i="2"/>
  <c r="P28" i="8"/>
  <c r="F10" i="10"/>
  <c r="R18" i="10"/>
  <c r="W19" i="8"/>
  <c r="S9" i="8"/>
  <c r="I25" i="8"/>
  <c r="E11" i="2"/>
  <c r="E10" i="2"/>
  <c r="S11" i="8"/>
  <c r="S10" i="8"/>
  <c r="K36" i="8"/>
  <c r="F9" i="10"/>
  <c r="E9" i="11"/>
  <c r="N17" i="11"/>
  <c r="S18" i="11"/>
  <c r="R19" i="11"/>
  <c r="M20" i="8"/>
  <c r="M25" i="11"/>
  <c r="E35" i="11"/>
  <c r="E11" i="11" s="1"/>
  <c r="E20" i="11"/>
  <c r="G21" i="11"/>
  <c r="N22" i="8" s="1"/>
  <c r="U23" i="2"/>
  <c r="U9" i="2" s="1"/>
  <c r="B19" i="5"/>
  <c r="N13" i="7"/>
  <c r="C21" i="11"/>
  <c r="H33" i="2"/>
  <c r="I33" i="2" s="1"/>
  <c r="J33" i="2" s="1"/>
  <c r="H34" i="2"/>
  <c r="C21" i="10"/>
  <c r="L18" i="11"/>
  <c r="H17" i="2"/>
  <c r="I17" i="2" s="1"/>
  <c r="J17" i="2" s="1"/>
  <c r="P29" i="8" l="1"/>
  <c r="W20" i="8"/>
  <c r="R19" i="10"/>
  <c r="R8" i="10"/>
  <c r="I26" i="8"/>
  <c r="I34" i="2"/>
  <c r="H11" i="2"/>
  <c r="K10" i="8"/>
  <c r="K11" i="8"/>
  <c r="E10" i="11"/>
  <c r="M26" i="11"/>
  <c r="L20" i="8"/>
  <c r="R21" i="11"/>
  <c r="S19" i="11"/>
  <c r="S9" i="11" s="1"/>
  <c r="N18" i="11"/>
  <c r="G22" i="11"/>
  <c r="N23" i="8" s="1"/>
  <c r="U24" i="2"/>
  <c r="K19" i="2"/>
  <c r="B20" i="5"/>
  <c r="C22" i="11"/>
  <c r="C22" i="10"/>
  <c r="L19" i="11"/>
  <c r="L9" i="11" s="1"/>
  <c r="P30" i="8" l="1"/>
  <c r="R20" i="10"/>
  <c r="W21" i="8"/>
  <c r="W9" i="8"/>
  <c r="I27" i="8"/>
  <c r="J34" i="2"/>
  <c r="I11" i="2"/>
  <c r="N19" i="11"/>
  <c r="L9" i="8"/>
  <c r="J20" i="8"/>
  <c r="L21" i="8"/>
  <c r="S20" i="11"/>
  <c r="R22" i="11"/>
  <c r="M22" i="8"/>
  <c r="M28" i="11"/>
  <c r="G23" i="11"/>
  <c r="N24" i="8" s="1"/>
  <c r="K20" i="2"/>
  <c r="U25" i="2"/>
  <c r="B21" i="5"/>
  <c r="C23" i="11"/>
  <c r="C23" i="10"/>
  <c r="L20" i="11"/>
  <c r="H18" i="2"/>
  <c r="H19" i="2"/>
  <c r="I19" i="2" s="1"/>
  <c r="J19" i="2" s="1"/>
  <c r="P31" i="8" l="1"/>
  <c r="R21" i="10"/>
  <c r="W22" i="8"/>
  <c r="T20" i="8"/>
  <c r="U20" i="8" s="1"/>
  <c r="G20" i="8"/>
  <c r="I28" i="8"/>
  <c r="I18" i="2"/>
  <c r="H9" i="2"/>
  <c r="H10" i="2"/>
  <c r="J11" i="2"/>
  <c r="J9" i="8"/>
  <c r="N9" i="11"/>
  <c r="M29" i="11"/>
  <c r="R23" i="11"/>
  <c r="M23" i="8"/>
  <c r="N20" i="11"/>
  <c r="S21" i="11"/>
  <c r="J21" i="8"/>
  <c r="L22" i="8"/>
  <c r="G24" i="11"/>
  <c r="N25" i="8" s="1"/>
  <c r="U26" i="2"/>
  <c r="K21" i="2"/>
  <c r="B22" i="5"/>
  <c r="B23" i="5" s="1"/>
  <c r="B24" i="5" s="1"/>
  <c r="B25" i="5" s="1"/>
  <c r="B26" i="5" s="1"/>
  <c r="C24" i="11"/>
  <c r="C24" i="10"/>
  <c r="L21" i="11"/>
  <c r="H20" i="2"/>
  <c r="I20" i="2" s="1"/>
  <c r="J20" i="2" s="1"/>
  <c r="P32" i="8" l="1"/>
  <c r="R22" i="10"/>
  <c r="W23" i="8"/>
  <c r="T21" i="8"/>
  <c r="U21" i="8" s="1"/>
  <c r="G21" i="8"/>
  <c r="I29" i="8"/>
  <c r="J18" i="2"/>
  <c r="I9" i="2"/>
  <c r="I10" i="2"/>
  <c r="L23" i="8"/>
  <c r="J22" i="8"/>
  <c r="N21" i="11"/>
  <c r="S22" i="11"/>
  <c r="R25" i="11"/>
  <c r="M24" i="8"/>
  <c r="G25" i="11"/>
  <c r="N26" i="8" s="1"/>
  <c r="K22" i="2"/>
  <c r="U27" i="2"/>
  <c r="C25" i="11"/>
  <c r="C25" i="10"/>
  <c r="L22" i="11"/>
  <c r="P33" i="8" l="1"/>
  <c r="R23" i="10"/>
  <c r="W24" i="8"/>
  <c r="T22" i="8"/>
  <c r="U22" i="8" s="1"/>
  <c r="G22" i="8"/>
  <c r="I30" i="8"/>
  <c r="J9" i="2"/>
  <c r="J10" i="2"/>
  <c r="R26" i="11"/>
  <c r="M26" i="8"/>
  <c r="N22" i="11"/>
  <c r="S23" i="11"/>
  <c r="L24" i="8"/>
  <c r="J23" i="8"/>
  <c r="G26" i="11"/>
  <c r="N27" i="8" s="1"/>
  <c r="U28" i="2"/>
  <c r="K23" i="2"/>
  <c r="C26" i="11"/>
  <c r="C26" i="10"/>
  <c r="L23" i="11"/>
  <c r="H22" i="2"/>
  <c r="I22" i="2" s="1"/>
  <c r="J22" i="2" s="1"/>
  <c r="H21" i="2"/>
  <c r="I21" i="2" s="1"/>
  <c r="J21" i="2" s="1"/>
  <c r="P34" i="8" l="1"/>
  <c r="R24" i="10"/>
  <c r="W25" i="8"/>
  <c r="T23" i="8"/>
  <c r="U23" i="8" s="1"/>
  <c r="G23" i="8"/>
  <c r="I31" i="8"/>
  <c r="S24" i="11"/>
  <c r="N23" i="11"/>
  <c r="J24" i="8"/>
  <c r="L25" i="8"/>
  <c r="R27" i="11"/>
  <c r="M27" i="8"/>
  <c r="G27" i="11"/>
  <c r="N28" i="8" s="1"/>
  <c r="K24" i="2"/>
  <c r="U29" i="2"/>
  <c r="B27" i="5"/>
  <c r="C27" i="11"/>
  <c r="C27" i="10"/>
  <c r="L24" i="11"/>
  <c r="P35" i="8" l="1"/>
  <c r="R25" i="10"/>
  <c r="W26" i="8"/>
  <c r="T24" i="8"/>
  <c r="U24" i="8" s="1"/>
  <c r="G24" i="8"/>
  <c r="I32" i="8"/>
  <c r="N24" i="11"/>
  <c r="R29" i="11"/>
  <c r="M28" i="8"/>
  <c r="J25" i="8"/>
  <c r="L26" i="8"/>
  <c r="S25" i="11"/>
  <c r="G28" i="11"/>
  <c r="N29" i="8" s="1"/>
  <c r="U30" i="2"/>
  <c r="K25" i="2"/>
  <c r="B28" i="5"/>
  <c r="C28" i="11"/>
  <c r="C29" i="10"/>
  <c r="L25" i="11"/>
  <c r="H23" i="2"/>
  <c r="I23" i="2" s="1"/>
  <c r="J23" i="2" s="1"/>
  <c r="P36" i="8" l="1"/>
  <c r="R26" i="10"/>
  <c r="W27" i="8"/>
  <c r="T25" i="8"/>
  <c r="U25" i="8" s="1"/>
  <c r="G25" i="8"/>
  <c r="I33" i="8"/>
  <c r="N25" i="11"/>
  <c r="S26" i="11"/>
  <c r="L27" i="8"/>
  <c r="J26" i="8"/>
  <c r="R30" i="11"/>
  <c r="M30" i="8"/>
  <c r="G29" i="11"/>
  <c r="N30" i="8" s="1"/>
  <c r="K26" i="2"/>
  <c r="U31" i="2"/>
  <c r="B29" i="5"/>
  <c r="C30" i="11"/>
  <c r="C30" i="10"/>
  <c r="L26" i="11"/>
  <c r="H24" i="2"/>
  <c r="I24" i="2" s="1"/>
  <c r="J24" i="2" s="1"/>
  <c r="P10" i="8" l="1"/>
  <c r="P11" i="8"/>
  <c r="R27" i="10"/>
  <c r="W28" i="8"/>
  <c r="T26" i="8"/>
  <c r="U26" i="8" s="1"/>
  <c r="G26" i="8"/>
  <c r="I34" i="8"/>
  <c r="N26" i="11"/>
  <c r="J27" i="8"/>
  <c r="L28" i="8"/>
  <c r="R31" i="11"/>
  <c r="M31" i="8"/>
  <c r="S27" i="11"/>
  <c r="G30" i="11"/>
  <c r="N31" i="8" s="1"/>
  <c r="U32" i="2"/>
  <c r="K27" i="2"/>
  <c r="B30" i="5"/>
  <c r="C31" i="11"/>
  <c r="C31" i="10"/>
  <c r="L27" i="11"/>
  <c r="H25" i="2"/>
  <c r="I25" i="2" s="1"/>
  <c r="J25" i="2" s="1"/>
  <c r="R28" i="10" l="1"/>
  <c r="W29" i="8"/>
  <c r="T27" i="8"/>
  <c r="U27" i="8" s="1"/>
  <c r="G27" i="8"/>
  <c r="I35" i="8"/>
  <c r="L29" i="8"/>
  <c r="J28" i="8"/>
  <c r="N27" i="11"/>
  <c r="S28" i="11"/>
  <c r="R33" i="11"/>
  <c r="M32" i="8"/>
  <c r="G31" i="11"/>
  <c r="N32" i="8" s="1"/>
  <c r="K28" i="2"/>
  <c r="U33" i="2"/>
  <c r="B31" i="5"/>
  <c r="C32" i="11"/>
  <c r="L28" i="11"/>
  <c r="H26" i="2"/>
  <c r="I26" i="2" s="1"/>
  <c r="J26" i="2" s="1"/>
  <c r="R29" i="10" l="1"/>
  <c r="W30" i="8"/>
  <c r="T28" i="8"/>
  <c r="U28" i="8" s="1"/>
  <c r="G28" i="8"/>
  <c r="I36" i="8"/>
  <c r="N28" i="11"/>
  <c r="R34" i="11"/>
  <c r="M34" i="8"/>
  <c r="S29" i="11"/>
  <c r="L30" i="8"/>
  <c r="J29" i="8"/>
  <c r="G32" i="11"/>
  <c r="N33" i="8" s="1"/>
  <c r="U34" i="2"/>
  <c r="K29" i="2"/>
  <c r="B32" i="5"/>
  <c r="C33" i="11"/>
  <c r="L29" i="11"/>
  <c r="H27" i="2"/>
  <c r="I27" i="2" s="1"/>
  <c r="J27" i="2" s="1"/>
  <c r="R30" i="10" l="1"/>
  <c r="W31" i="8"/>
  <c r="T29" i="8"/>
  <c r="U29" i="8" s="1"/>
  <c r="G29" i="8"/>
  <c r="N29" i="11"/>
  <c r="S30" i="11"/>
  <c r="L31" i="8"/>
  <c r="J30" i="8"/>
  <c r="R35" i="11"/>
  <c r="M35" i="8"/>
  <c r="G33" i="11"/>
  <c r="N34" i="8" s="1"/>
  <c r="K30" i="2"/>
  <c r="U35" i="2"/>
  <c r="B33" i="5"/>
  <c r="C34" i="11"/>
  <c r="L30" i="11"/>
  <c r="H28" i="2"/>
  <c r="I28" i="2" s="1"/>
  <c r="J28" i="2" s="1"/>
  <c r="R31" i="10" l="1"/>
  <c r="W32" i="8"/>
  <c r="T30" i="8"/>
  <c r="U30" i="8" s="1"/>
  <c r="G30" i="8"/>
  <c r="M36" i="8"/>
  <c r="N30" i="11"/>
  <c r="L32" i="8"/>
  <c r="J31" i="8"/>
  <c r="S31" i="11"/>
  <c r="G34" i="11"/>
  <c r="N35" i="8" s="1"/>
  <c r="U36" i="2"/>
  <c r="K31" i="2"/>
  <c r="B34" i="5"/>
  <c r="B35" i="5" s="1"/>
  <c r="C35" i="11"/>
  <c r="L31" i="11"/>
  <c r="H29" i="2"/>
  <c r="I29" i="2" s="1"/>
  <c r="J29" i="2" s="1"/>
  <c r="B36" i="5" l="1"/>
  <c r="R32" i="10"/>
  <c r="W33" i="8"/>
  <c r="T31" i="8"/>
  <c r="U31" i="8" s="1"/>
  <c r="G31" i="8"/>
  <c r="J32" i="8"/>
  <c r="L33" i="8"/>
  <c r="N31" i="11"/>
  <c r="S32" i="11"/>
  <c r="G35" i="11"/>
  <c r="G11" i="11" s="1"/>
  <c r="K32" i="2"/>
  <c r="U37" i="2"/>
  <c r="L32" i="11"/>
  <c r="B37" i="5" l="1"/>
  <c r="B40" i="5" s="1"/>
  <c r="B41" i="5" s="1"/>
  <c r="B42" i="5" s="1"/>
  <c r="R33" i="10"/>
  <c r="W34" i="8"/>
  <c r="T32" i="8"/>
  <c r="U32" i="8" s="1"/>
  <c r="G32" i="8"/>
  <c r="N36" i="8"/>
  <c r="G10" i="11"/>
  <c r="L34" i="8"/>
  <c r="J33" i="8"/>
  <c r="N32" i="11"/>
  <c r="S33" i="11"/>
  <c r="U38" i="2"/>
  <c r="K33" i="2"/>
  <c r="L33" i="11"/>
  <c r="B43" i="5" l="1"/>
  <c r="R34" i="10"/>
  <c r="W35" i="8"/>
  <c r="T33" i="8"/>
  <c r="U33" i="8" s="1"/>
  <c r="G33" i="8"/>
  <c r="N10" i="8"/>
  <c r="N11" i="8"/>
  <c r="S34" i="11"/>
  <c r="N33" i="11"/>
  <c r="J34" i="8"/>
  <c r="L35" i="8"/>
  <c r="K34" i="2"/>
  <c r="U39" i="2"/>
  <c r="L34" i="11"/>
  <c r="I30" i="6"/>
  <c r="B44" i="5" l="1"/>
  <c r="B45" i="5" s="1"/>
  <c r="B46" i="5" s="1"/>
  <c r="B47" i="5" s="1"/>
  <c r="B48" i="5" s="1"/>
  <c r="B49" i="5" s="1"/>
  <c r="B50" i="5" s="1"/>
  <c r="B51" i="5" s="1"/>
  <c r="B52" i="5" s="1"/>
  <c r="B53" i="5" s="1"/>
  <c r="B54" i="5" s="1"/>
  <c r="B55" i="5" s="1"/>
  <c r="B56" i="5" s="1"/>
  <c r="B57" i="5" s="1"/>
  <c r="B58" i="5" s="1"/>
  <c r="B59" i="5" s="1"/>
  <c r="B60" i="5" s="1"/>
  <c r="U11" i="2"/>
  <c r="U10" i="2"/>
  <c r="R10" i="10"/>
  <c r="W36" i="8"/>
  <c r="R9" i="10"/>
  <c r="T34" i="8"/>
  <c r="U34" i="8" s="1"/>
  <c r="G34" i="8"/>
  <c r="K10" i="2"/>
  <c r="K11" i="2"/>
  <c r="L36" i="8"/>
  <c r="L11" i="8" s="1"/>
  <c r="J35" i="8"/>
  <c r="S35" i="11"/>
  <c r="S11" i="11" s="1"/>
  <c r="L35" i="11"/>
  <c r="N34" i="11"/>
  <c r="M30" i="6"/>
  <c r="J30" i="6"/>
  <c r="P30" i="6"/>
  <c r="L10" i="11" l="1"/>
  <c r="L11" i="11"/>
  <c r="W10" i="8"/>
  <c r="W11" i="8"/>
  <c r="T35" i="8"/>
  <c r="U35" i="8" s="1"/>
  <c r="G35" i="8"/>
  <c r="S10" i="11"/>
  <c r="J14" i="11"/>
  <c r="N35" i="11"/>
  <c r="N11" i="11" s="1"/>
  <c r="J36" i="8"/>
  <c r="L10" i="8"/>
  <c r="L30" i="6"/>
  <c r="T30" i="6"/>
  <c r="Y37" i="6"/>
  <c r="T36" i="8" l="1"/>
  <c r="U36" i="8" s="1"/>
  <c r="G36" i="8"/>
  <c r="J10" i="8"/>
  <c r="J11" i="8"/>
  <c r="N10" i="11"/>
  <c r="O14" i="11"/>
  <c r="P14" i="11"/>
  <c r="Q14" i="11"/>
  <c r="O13" i="11" l="1"/>
  <c r="Q13" i="11"/>
  <c r="P13" i="11"/>
  <c r="N69" i="7" l="1"/>
  <c r="F36" i="8" l="1"/>
  <c r="O35" i="8"/>
  <c r="F34" i="8"/>
  <c r="E32" i="8"/>
  <c r="O31" i="8"/>
  <c r="O30" i="8"/>
  <c r="F29" i="8"/>
  <c r="O28" i="8"/>
  <c r="F27" i="8"/>
  <c r="E26" i="8"/>
  <c r="F22" i="8"/>
  <c r="F20" i="8"/>
  <c r="Q28" i="8" l="1"/>
  <c r="Q35" i="8"/>
  <c r="Q30" i="8"/>
  <c r="Q31" i="8"/>
  <c r="V31" i="8"/>
  <c r="V32" i="8"/>
  <c r="F11" i="8"/>
  <c r="F9" i="8"/>
  <c r="F10" i="8"/>
  <c r="E34" i="8"/>
  <c r="O27" i="8"/>
  <c r="O32" i="8"/>
  <c r="O24" i="8"/>
  <c r="E27" i="8"/>
  <c r="O20" i="8"/>
  <c r="Q20" i="8" s="1"/>
  <c r="F32" i="8"/>
  <c r="O25" i="8"/>
  <c r="O26" i="8"/>
  <c r="V23" i="8"/>
  <c r="V25" i="8"/>
  <c r="V24" i="8"/>
  <c r="V33" i="8"/>
  <c r="O22" i="8"/>
  <c r="E33" i="8"/>
  <c r="E22" i="8"/>
  <c r="E25" i="8"/>
  <c r="F28" i="8"/>
  <c r="O23" i="8"/>
  <c r="E35" i="8"/>
  <c r="O34" i="8"/>
  <c r="F30" i="8"/>
  <c r="F23" i="8"/>
  <c r="O33" i="8"/>
  <c r="E29" i="8"/>
  <c r="E24" i="8"/>
  <c r="F25" i="8"/>
  <c r="E30" i="8"/>
  <c r="E36" i="8"/>
  <c r="E11" i="8" s="1"/>
  <c r="E21" i="8"/>
  <c r="F33" i="8"/>
  <c r="E28" i="8"/>
  <c r="E23" i="8"/>
  <c r="F35" i="8"/>
  <c r="F24" i="8"/>
  <c r="O36" i="8"/>
  <c r="E31" i="8"/>
  <c r="T11" i="8"/>
  <c r="F21" i="8"/>
  <c r="O29" i="8"/>
  <c r="F31" i="8"/>
  <c r="F26" i="8"/>
  <c r="O21" i="8"/>
  <c r="E20" i="8"/>
  <c r="E9" i="8" s="1"/>
  <c r="Q9" i="8" l="1"/>
  <c r="Q33" i="8"/>
  <c r="Q21" i="8"/>
  <c r="Q29" i="8"/>
  <c r="Q32" i="8"/>
  <c r="Q34" i="8"/>
  <c r="Q23" i="8"/>
  <c r="Q27" i="8"/>
  <c r="O11" i="8"/>
  <c r="Q36" i="8"/>
  <c r="Q24" i="8"/>
  <c r="Q22" i="8"/>
  <c r="Q26" i="8"/>
  <c r="Q25" i="8"/>
  <c r="G10" i="8"/>
  <c r="T10" i="8"/>
  <c r="O9" i="8"/>
  <c r="T9" i="8"/>
  <c r="O10" i="8"/>
  <c r="E10" i="8"/>
  <c r="D20" i="8"/>
  <c r="D35" i="8"/>
  <c r="D33" i="8"/>
  <c r="D27" i="8"/>
  <c r="D22" i="8"/>
  <c r="V34" i="8"/>
  <c r="D30" i="8"/>
  <c r="V26" i="8"/>
  <c r="D31" i="8"/>
  <c r="V29" i="8"/>
  <c r="V30" i="8"/>
  <c r="V27" i="8"/>
  <c r="D25" i="8"/>
  <c r="D28" i="8"/>
  <c r="V20" i="8"/>
  <c r="V9" i="8" s="1"/>
  <c r="D21" i="8"/>
  <c r="D36" i="8"/>
  <c r="V28" i="8"/>
  <c r="D32" i="8"/>
  <c r="V35" i="8"/>
  <c r="U11" i="8"/>
  <c r="V22" i="8"/>
  <c r="D26" i="8"/>
  <c r="D29" i="8"/>
  <c r="D23" i="8"/>
  <c r="V21" i="8"/>
  <c r="D34" i="8"/>
  <c r="D24" i="8"/>
  <c r="V36" i="8"/>
  <c r="V11" i="8" s="1"/>
  <c r="Q11" i="8" l="1"/>
  <c r="Q10" i="8"/>
  <c r="I10" i="8"/>
  <c r="V10" i="8"/>
  <c r="U9" i="8"/>
  <c r="U10" i="8"/>
  <c r="I38" i="8"/>
  <c r="V38" i="8"/>
  <c r="E60" i="7"/>
  <c r="F40" i="6"/>
  <c r="E61" i="7" l="1"/>
  <c r="F41" i="6" s="1"/>
  <c r="E62" i="7"/>
  <c r="E55" i="5" l="1"/>
  <c r="C15" i="11"/>
  <c r="E14" i="10"/>
  <c r="J14" i="10" s="1"/>
  <c r="K14" i="10" s="1"/>
  <c r="E15" i="10" l="1"/>
  <c r="G15" i="10" s="1"/>
  <c r="E16" i="10"/>
  <c r="J16" i="10" s="1"/>
  <c r="G14" i="10"/>
  <c r="D15" i="11"/>
  <c r="Q14" i="10"/>
  <c r="N15" i="10"/>
  <c r="N14" i="10"/>
  <c r="E17" i="10"/>
  <c r="N16" i="10"/>
  <c r="G16" i="10"/>
  <c r="J15" i="10"/>
  <c r="H15" i="11" l="1"/>
  <c r="F15" i="11"/>
  <c r="D16" i="11"/>
  <c r="O14" i="10"/>
  <c r="O15" i="10"/>
  <c r="O16" i="10"/>
  <c r="K16" i="10"/>
  <c r="K15" i="10"/>
  <c r="G17" i="10"/>
  <c r="J17" i="10"/>
  <c r="E18" i="10"/>
  <c r="N17" i="10"/>
  <c r="O17" i="10" s="1"/>
  <c r="F16" i="11" l="1"/>
  <c r="D17" i="11"/>
  <c r="H16" i="11"/>
  <c r="I16" i="11" s="1"/>
  <c r="J16" i="11" s="1"/>
  <c r="I15" i="11"/>
  <c r="J15" i="11" s="1"/>
  <c r="E8" i="10"/>
  <c r="N18" i="10"/>
  <c r="G18" i="10"/>
  <c r="J18" i="10"/>
  <c r="K18" i="10" s="1"/>
  <c r="E19" i="10"/>
  <c r="P15" i="10"/>
  <c r="P17" i="10"/>
  <c r="Q16" i="10"/>
  <c r="K17" i="10"/>
  <c r="Q15" i="10"/>
  <c r="P16" i="10"/>
  <c r="P14" i="10"/>
  <c r="O16" i="11" l="1"/>
  <c r="Q16" i="11"/>
  <c r="P16" i="11"/>
  <c r="Q15" i="11"/>
  <c r="P15" i="11"/>
  <c r="O15" i="11"/>
  <c r="F17" i="11"/>
  <c r="H17" i="11"/>
  <c r="D18" i="11"/>
  <c r="Q17" i="10"/>
  <c r="Q18" i="10"/>
  <c r="K8" i="10"/>
  <c r="J8" i="10"/>
  <c r="E20" i="10"/>
  <c r="G19" i="10"/>
  <c r="N19" i="10"/>
  <c r="J19" i="10"/>
  <c r="G8" i="10"/>
  <c r="N8" i="10"/>
  <c r="O18" i="10"/>
  <c r="H18" i="11" l="1"/>
  <c r="D19" i="11"/>
  <c r="F18" i="11"/>
  <c r="I17" i="11"/>
  <c r="J17" i="11" s="1"/>
  <c r="I18" i="11"/>
  <c r="J18" i="11" s="1"/>
  <c r="P18" i="10"/>
  <c r="O8" i="10"/>
  <c r="N20" i="10"/>
  <c r="G20" i="10"/>
  <c r="E21" i="10"/>
  <c r="J20" i="10"/>
  <c r="Q8" i="10"/>
  <c r="O19" i="10"/>
  <c r="K20" i="10"/>
  <c r="K19" i="10"/>
  <c r="Q17" i="11" l="1"/>
  <c r="P17" i="11"/>
  <c r="O17" i="11"/>
  <c r="P18" i="11"/>
  <c r="Q18" i="11"/>
  <c r="O18" i="11"/>
  <c r="D9" i="11"/>
  <c r="F19" i="11"/>
  <c r="H19" i="11"/>
  <c r="D20" i="11"/>
  <c r="Q20" i="10"/>
  <c r="P19" i="10"/>
  <c r="E22" i="10"/>
  <c r="G21" i="10"/>
  <c r="N21" i="10"/>
  <c r="J21" i="10"/>
  <c r="Q19" i="10"/>
  <c r="P8" i="10"/>
  <c r="O20" i="10"/>
  <c r="H20" i="11" l="1"/>
  <c r="I20" i="11" s="1"/>
  <c r="J20" i="11" s="1"/>
  <c r="D21" i="11"/>
  <c r="F20" i="11"/>
  <c r="F9" i="11"/>
  <c r="H9" i="11"/>
  <c r="I19" i="11"/>
  <c r="K21" i="10"/>
  <c r="P20" i="10"/>
  <c r="O21" i="10"/>
  <c r="G22" i="10"/>
  <c r="E23" i="10"/>
  <c r="J22" i="10"/>
  <c r="N22" i="10"/>
  <c r="Q20" i="11" l="1"/>
  <c r="O20" i="11"/>
  <c r="P20" i="11"/>
  <c r="J19" i="11"/>
  <c r="I9" i="11"/>
  <c r="F21" i="11"/>
  <c r="D22" i="11"/>
  <c r="H21" i="11"/>
  <c r="J23" i="10"/>
  <c r="K23" i="10" s="1"/>
  <c r="G23" i="10"/>
  <c r="E24" i="10"/>
  <c r="N23" i="10"/>
  <c r="O23" i="10" s="1"/>
  <c r="O22" i="10"/>
  <c r="P21" i="10"/>
  <c r="K22" i="10"/>
  <c r="Q21" i="10"/>
  <c r="D23" i="11" l="1"/>
  <c r="H22" i="11"/>
  <c r="I22" i="11" s="1"/>
  <c r="J22" i="11" s="1"/>
  <c r="F22" i="11"/>
  <c r="P19" i="11"/>
  <c r="Q19" i="11"/>
  <c r="O19" i="11"/>
  <c r="J9" i="11"/>
  <c r="I21" i="11"/>
  <c r="J21" i="11" s="1"/>
  <c r="Q22" i="10"/>
  <c r="Q23" i="10"/>
  <c r="P22" i="10"/>
  <c r="P23" i="10"/>
  <c r="E25" i="10"/>
  <c r="J24" i="10"/>
  <c r="G24" i="10"/>
  <c r="N24" i="10"/>
  <c r="Q9" i="11" l="1"/>
  <c r="H23" i="11"/>
  <c r="I23" i="11" s="1"/>
  <c r="J23" i="11" s="1"/>
  <c r="F23" i="11"/>
  <c r="D24" i="11"/>
  <c r="O21" i="11"/>
  <c r="Q21" i="11"/>
  <c r="P21" i="11"/>
  <c r="O9" i="11"/>
  <c r="Q22" i="11"/>
  <c r="P22" i="11"/>
  <c r="O22" i="11"/>
  <c r="K24" i="10"/>
  <c r="O24" i="10"/>
  <c r="E26" i="10"/>
  <c r="J25" i="10"/>
  <c r="K25" i="10" s="1"/>
  <c r="N25" i="10"/>
  <c r="G25" i="10"/>
  <c r="O23" i="11" l="1"/>
  <c r="P23" i="11"/>
  <c r="Q23" i="11"/>
  <c r="F24" i="11"/>
  <c r="D25" i="11"/>
  <c r="H24" i="11"/>
  <c r="I24" i="11" s="1"/>
  <c r="J24" i="11" s="1"/>
  <c r="Q25" i="10"/>
  <c r="E27" i="10"/>
  <c r="N26" i="10"/>
  <c r="G26" i="10"/>
  <c r="J26" i="10"/>
  <c r="K26" i="10" s="1"/>
  <c r="P24" i="10"/>
  <c r="O25" i="10"/>
  <c r="Q24" i="10"/>
  <c r="O24" i="11" l="1"/>
  <c r="Q24" i="11"/>
  <c r="P24" i="11"/>
  <c r="H25" i="11"/>
  <c r="D26" i="11"/>
  <c r="F25" i="11"/>
  <c r="P25" i="10"/>
  <c r="Q26" i="10"/>
  <c r="E28" i="10"/>
  <c r="G27" i="10"/>
  <c r="N27" i="10"/>
  <c r="J27" i="10"/>
  <c r="O26" i="10"/>
  <c r="F26" i="11" l="1"/>
  <c r="D27" i="11"/>
  <c r="H26" i="11"/>
  <c r="I25" i="11"/>
  <c r="J25" i="11" s="1"/>
  <c r="O27" i="10"/>
  <c r="P26" i="10"/>
  <c r="K27" i="10"/>
  <c r="E29" i="10"/>
  <c r="J28" i="10"/>
  <c r="K28" i="10" s="1"/>
  <c r="N28" i="10"/>
  <c r="G28" i="10"/>
  <c r="P25" i="11" l="1"/>
  <c r="Q25" i="11"/>
  <c r="O25" i="11"/>
  <c r="I26" i="11"/>
  <c r="J26" i="11" s="1"/>
  <c r="H27" i="11"/>
  <c r="F27" i="11"/>
  <c r="D28" i="11"/>
  <c r="Q28" i="10"/>
  <c r="N29" i="10"/>
  <c r="O29" i="10" s="1"/>
  <c r="E30" i="10"/>
  <c r="G29" i="10"/>
  <c r="J29" i="10"/>
  <c r="K29" i="10" s="1"/>
  <c r="Q27" i="10"/>
  <c r="O28" i="10"/>
  <c r="P27" i="10"/>
  <c r="D29" i="11" l="1"/>
  <c r="F28" i="11"/>
  <c r="H28" i="11"/>
  <c r="I28" i="11" s="1"/>
  <c r="J28" i="11" s="1"/>
  <c r="I27" i="11"/>
  <c r="J27" i="11" s="1"/>
  <c r="P26" i="11"/>
  <c r="Q26" i="11"/>
  <c r="O26" i="11"/>
  <c r="P28" i="10"/>
  <c r="Q29" i="10"/>
  <c r="P29" i="10"/>
  <c r="J30" i="10"/>
  <c r="N30" i="10"/>
  <c r="G30" i="10"/>
  <c r="E31" i="10"/>
  <c r="Q28" i="11" l="1"/>
  <c r="O28" i="11"/>
  <c r="P28" i="11"/>
  <c r="P27" i="11"/>
  <c r="O27" i="11"/>
  <c r="Q27" i="11"/>
  <c r="H29" i="11"/>
  <c r="I29" i="11" s="1"/>
  <c r="J29" i="11" s="1"/>
  <c r="D30" i="11"/>
  <c r="F29" i="11"/>
  <c r="J31" i="10"/>
  <c r="K31" i="10" s="1"/>
  <c r="G31" i="10"/>
  <c r="N31" i="10"/>
  <c r="O31" i="10" s="1"/>
  <c r="E32" i="10"/>
  <c r="O30" i="10"/>
  <c r="K30" i="10"/>
  <c r="P29" i="11" l="1"/>
  <c r="O29" i="11"/>
  <c r="Q29" i="11"/>
  <c r="D31" i="11"/>
  <c r="H30" i="11"/>
  <c r="I30" i="11" s="1"/>
  <c r="J30" i="11" s="1"/>
  <c r="F30" i="11"/>
  <c r="Q31" i="10"/>
  <c r="P31" i="10"/>
  <c r="Q30" i="10"/>
  <c r="P30" i="10"/>
  <c r="J32" i="10"/>
  <c r="N32" i="10"/>
  <c r="G32" i="10"/>
  <c r="E33" i="10"/>
  <c r="H31" i="11" l="1"/>
  <c r="D32" i="11"/>
  <c r="F31" i="11"/>
  <c r="O30" i="11"/>
  <c r="P30" i="11"/>
  <c r="Q30" i="11"/>
  <c r="E34" i="10"/>
  <c r="J33" i="10"/>
  <c r="K33" i="10" s="1"/>
  <c r="N33" i="10"/>
  <c r="O33" i="10" s="1"/>
  <c r="G33" i="10"/>
  <c r="K32" i="10"/>
  <c r="O32" i="10"/>
  <c r="H32" i="11" l="1"/>
  <c r="D33" i="11"/>
  <c r="F32" i="11"/>
  <c r="I31" i="11"/>
  <c r="J31" i="11" s="1"/>
  <c r="P33" i="10"/>
  <c r="P32" i="10"/>
  <c r="Q32" i="10"/>
  <c r="Q33" i="10"/>
  <c r="N34" i="10"/>
  <c r="O34" i="10" s="1"/>
  <c r="G34" i="10"/>
  <c r="E9" i="10"/>
  <c r="E10" i="10"/>
  <c r="J34" i="10"/>
  <c r="H33" i="11" l="1"/>
  <c r="F33" i="11"/>
  <c r="D34" i="11"/>
  <c r="Q31" i="11"/>
  <c r="O31" i="11"/>
  <c r="P31" i="11"/>
  <c r="I32" i="11"/>
  <c r="J32" i="11" s="1"/>
  <c r="P34" i="10"/>
  <c r="O9" i="10"/>
  <c r="O10" i="10"/>
  <c r="N9" i="10"/>
  <c r="N10" i="10"/>
  <c r="J9" i="10"/>
  <c r="J10" i="10"/>
  <c r="K34" i="10"/>
  <c r="G9" i="10"/>
  <c r="G10" i="10"/>
  <c r="O32" i="11" l="1"/>
  <c r="Q32" i="11"/>
  <c r="P32" i="11"/>
  <c r="F34" i="11"/>
  <c r="D35" i="11"/>
  <c r="H34" i="11"/>
  <c r="I33" i="11"/>
  <c r="J33" i="11" s="1"/>
  <c r="K10" i="10"/>
  <c r="Q34" i="10"/>
  <c r="K9" i="10"/>
  <c r="P10" i="10"/>
  <c r="P9" i="10"/>
  <c r="I34" i="11" l="1"/>
  <c r="J34" i="11" s="1"/>
  <c r="P33" i="11"/>
  <c r="Q33" i="11"/>
  <c r="O33" i="11"/>
  <c r="F35" i="11"/>
  <c r="H35" i="11"/>
  <c r="D10" i="11"/>
  <c r="D11" i="11"/>
  <c r="Q9" i="10"/>
  <c r="Q10" i="10"/>
  <c r="H10" i="11" l="1"/>
  <c r="H11" i="11"/>
  <c r="I35" i="11"/>
  <c r="F10" i="11"/>
  <c r="F11" i="11"/>
  <c r="P34" i="11"/>
  <c r="Q34" i="11"/>
  <c r="O34" i="11"/>
  <c r="I11" i="11" l="1"/>
  <c r="J35" i="11"/>
  <c r="I10" i="11"/>
  <c r="J10" i="11" l="1"/>
  <c r="P35" i="11"/>
  <c r="J11" i="11"/>
  <c r="Q35" i="11"/>
  <c r="O35" i="11"/>
  <c r="O10" i="11" l="1"/>
  <c r="O11" i="11"/>
  <c r="Q10" i="11"/>
  <c r="Q11" i="11"/>
</calcChain>
</file>

<file path=xl/sharedStrings.xml><?xml version="1.0" encoding="utf-8"?>
<sst xmlns="http://schemas.openxmlformats.org/spreadsheetml/2006/main" count="7298" uniqueCount="1691">
  <si>
    <t>Control</t>
  </si>
  <si>
    <t>Annual growth rate</t>
  </si>
  <si>
    <t>2yrs growth</t>
  </si>
  <si>
    <t>10yrs growth</t>
  </si>
  <si>
    <t>Years</t>
  </si>
  <si>
    <t>Using transistor count in compute chips only</t>
  </si>
  <si>
    <t>20yrs growth</t>
  </si>
  <si>
    <t>Year</t>
  </si>
  <si>
    <t>1 nm is a billionth of a meter</t>
  </si>
  <si>
    <t>1 millimeter = 1 million *1 nm</t>
  </si>
  <si>
    <t>nm</t>
  </si>
  <si>
    <t>Proprietary. © H. Mathiesen. This material can be used by others free of charge provided that the author H. Mathiesen is attributed and a clickable link is made visible to the location of used material on www.hmexperience.dk</t>
  </si>
  <si>
    <t xml:space="preserve">Year </t>
  </si>
  <si>
    <t>Chip name</t>
  </si>
  <si>
    <t>announced</t>
  </si>
  <si>
    <t>Transistors</t>
  </si>
  <si>
    <t>TFLOPS</t>
  </si>
  <si>
    <t>usage</t>
  </si>
  <si>
    <t>NA</t>
  </si>
  <si>
    <t>Process</t>
  </si>
  <si>
    <t>node nm</t>
  </si>
  <si>
    <t xml:space="preserve">Apple A15 bionic </t>
  </si>
  <si>
    <t># of</t>
  </si>
  <si>
    <t>dies</t>
  </si>
  <si>
    <t>in billions</t>
  </si>
  <si>
    <t xml:space="preserve">Watt </t>
  </si>
  <si>
    <t>FP32</t>
  </si>
  <si>
    <t>FP16</t>
  </si>
  <si>
    <t>per Watt</t>
  </si>
  <si>
    <t xml:space="preserve">Apple M1 Ultra </t>
  </si>
  <si>
    <t xml:space="preserve">Tesla D1 (Dojo) </t>
  </si>
  <si>
    <t>Layers</t>
  </si>
  <si>
    <t>Notes</t>
  </si>
  <si>
    <t>stacked</t>
  </si>
  <si>
    <t>Flash memory 3D stacked chip, 232 layers per die, 16 dies stacked = 3712 layers in total, likely 16nm because 21/layer Also (16Tbit=2TByte 2,666B transistors/TB)</t>
  </si>
  <si>
    <t>Chip type</t>
  </si>
  <si>
    <t>NPU / AI training</t>
  </si>
  <si>
    <t>SoC / desktops</t>
  </si>
  <si>
    <t>Sources</t>
  </si>
  <si>
    <t>https://en.wikipedia.org/wiki/Apple_silicon#Apple_A15_Bionic</t>
  </si>
  <si>
    <t>https://www.cpu-monkey.com/en/cpu-apple_a15_bionic_5_gpu</t>
  </si>
  <si>
    <t>Associated</t>
  </si>
  <si>
    <t>CPU</t>
  </si>
  <si>
    <t>calc</t>
  </si>
  <si>
    <t>https://en.wikipedia.org/wiki/Apple_silicon#M_series</t>
  </si>
  <si>
    <t>-</t>
  </si>
  <si>
    <t>https://www.cpu-monkey.com/en/igpu-apple_m1_ultra_64_core</t>
  </si>
  <si>
    <t>https://www.cpu-monkey.com/en/cpu-apple_m1_ultra_64_gpu</t>
  </si>
  <si>
    <t>https://resources.nvidia.com/en-us-tensor-core/nvidia-tensor-core-gpu-datasheet</t>
  </si>
  <si>
    <t>Nvidia H100 SXM</t>
  </si>
  <si>
    <t>https://developer.nvidia.com/blog/nvidia-hopper-architecture-in-depth/</t>
  </si>
  <si>
    <t>https://www.guru3d.com/news-story/nvidia-will-manufacture-h100-gpus-using-tsmc-4-nm-process.html</t>
  </si>
  <si>
    <t>https://www.youtube.com/watch?v=ODSJsviD_SU&amp;t=2566s (2:09:55)</t>
  </si>
  <si>
    <t xml:space="preserve">Cerebras WSE-2 </t>
  </si>
  <si>
    <t>https://f.hubspotusercontent30.net/hubfs/8968533/WSE-2%20Datasheet.pdf</t>
  </si>
  <si>
    <t>https://www.marktechpost.com/2022/05/03/totalenergies-utilize-the-cerebras-cs-2-system-to-turn-an-ai-problem-long-accepted-to-be-memory-bound-into-compute-bound/</t>
  </si>
  <si>
    <t>https://en.wikipedia.org/wiki/Transistor_count</t>
  </si>
  <si>
    <t>https://www.anandtech.com/show/17509/microns-232-layer-nand-now-shipping</t>
  </si>
  <si>
    <t>mm2 per layer</t>
  </si>
  <si>
    <t xml:space="preserve">Transistors </t>
  </si>
  <si>
    <t xml:space="preserve">millions per </t>
  </si>
  <si>
    <t>made</t>
  </si>
  <si>
    <t>mm2</t>
  </si>
  <si>
    <t>https://electrek.co/2019/11/10/tesla-update-forks-features-for-model-3s-built-pre-post-april-2019/</t>
  </si>
  <si>
    <t>https://cleantechnica.com/2019/06/15/teslas-new-hw3-self-driving-computer-its-a-beast-cleantechnica-deep-dive/</t>
  </si>
  <si>
    <t xml:space="preserve">Apple M2 Ultra </t>
  </si>
  <si>
    <t>https://www.youtube.com/watch?v=3ZoP1GCNwYE&amp;t=318</t>
  </si>
  <si>
    <t>Micron V-NAND 3D</t>
  </si>
  <si>
    <t>Intel i9 13850HX</t>
  </si>
  <si>
    <t>CPU / notebooks</t>
  </si>
  <si>
    <t>Nvidia RTX 4070</t>
  </si>
  <si>
    <t>https://nvidianews.nvidia.com/news/nvidia-introduces-drive-agx-orin-advanced-software-defined-platform-for-autonomous-machines</t>
  </si>
  <si>
    <t>https://en.wikichip.org/wiki/tesla_(car_company)/fsd_chip?utm_content=cmp-true</t>
  </si>
  <si>
    <t>https://www.youtube.com/watch?v=3ZoP1GCNwYE&amp;t=700s</t>
  </si>
  <si>
    <t>https://www.youtube.com/watch?v=3ZoP1GCNwYE&amp;t=319</t>
  </si>
  <si>
    <t>multi</t>
  </si>
  <si>
    <t>memory</t>
  </si>
  <si>
    <t>RAM in GB</t>
  </si>
  <si>
    <t>https://nanoreview.net/en/cpu/apple-m2-ultra</t>
  </si>
  <si>
    <t>https://en.wikipedia.org/wiki/Apple_M2#:~:text=In%20total%2C%20the%20M2%20Max%20GPU%20contains%20up,9728%20ALUs%20and%2027.2%20TFLOPS%20of%20FP32%20performance.</t>
  </si>
  <si>
    <t>https://www.cpu-monkey.com/en/cpu-apple_m2_ultra_60_gpu</t>
  </si>
  <si>
    <t>https://www.techpowerup.com/gpu-specs/a100-pcie-40-gb.c3623</t>
  </si>
  <si>
    <t>https://www.techpowerup.com/gpu-specs/a100-pcie-40-gb.c3624</t>
  </si>
  <si>
    <t>https://www.techpowerup.com/gpu-specs/a100-pcie-40-gb.c3625</t>
  </si>
  <si>
    <t>https://www.techpowerup.com/gpu-specs/a100-pcie-40-gb.c3626</t>
  </si>
  <si>
    <t>https://www.techpowerup.com/gpu-specs/a100-pcie-40-gb.c3628</t>
  </si>
  <si>
    <t>https://www.techpowerup.com/gpu-specs/a100-pcie-40-gb.c3629</t>
  </si>
  <si>
    <t>https://www.techpowerup.com/gpu-specs/a100-pcie-40-gb.c3630</t>
  </si>
  <si>
    <t>BF16 AI</t>
  </si>
  <si>
    <t>https://www.nvidia.com/content/dam/en-zz/Solutions/gtcf21/jetson-orin/nvidia-jetson-agx-orin-technical-brief.pdf</t>
  </si>
  <si>
    <t>https://blogs.nvidia.com/blog/2022/09/20/drive-thor/</t>
  </si>
  <si>
    <t>https://nvidianews.nvidia.com/news/nvidia-unveils-drive-thor-centralized-car-computer-unifying-cluster-infotainment-automated-driving-and-parking-in-a-single-cost-saving-system</t>
  </si>
  <si>
    <t>Nvidia GH200</t>
  </si>
  <si>
    <t>https://resources.nvidia.com/en-us-grace-cpu/grace-hopper-superchip</t>
  </si>
  <si>
    <t>https://www.tomshardware.com/news/nvidia-unveils-dgx-gh200-supercomputer-and-mgx-systems-grace-hopper-superchips-in-production</t>
  </si>
  <si>
    <t>Memory 64GB*8</t>
  </si>
  <si>
    <t>AI model</t>
  </si>
  <si>
    <t>source</t>
  </si>
  <si>
    <t>https://www.hardware-corner.net/guides/computer-to-run-llama-ai-model/</t>
  </si>
  <si>
    <t>parameters</t>
  </si>
  <si>
    <t>Llama</t>
  </si>
  <si>
    <t>billions</t>
  </si>
  <si>
    <t>Min VRAM</t>
  </si>
  <si>
    <t>GB</t>
  </si>
  <si>
    <t>Ratio</t>
  </si>
  <si>
    <t>Average</t>
  </si>
  <si>
    <t>in billion</t>
  </si>
  <si>
    <t>Source</t>
  </si>
  <si>
    <t>https://www.pugetsystems.com/solutions/scientific-computing-workstations/machine-learning-ai/hardware-recommendations/</t>
  </si>
  <si>
    <t>DRAM for CPU need to be 2X that of VRAM for AI models to run well</t>
  </si>
  <si>
    <t>https://ark.intel.com/content/www/us/en/ark/products/232138/intel-core-i913980hx-processor-36m-cache-up-to-5-60-ghz.html</t>
  </si>
  <si>
    <t>https://www.techpowerup.com/cpu-specs/core-i9-13980hx.c3016</t>
  </si>
  <si>
    <t>Die size</t>
  </si>
  <si>
    <t>https://www.notebookcheck.net/NVIDIA-GeForce-RTX-4070-Laptop-GPU-Benchmarks-and-Specs.675690.0.html</t>
  </si>
  <si>
    <t>https://www.dell.com/en-us/shop/workstations-isv-certified/precision-7920-tower-workstation/spd/precision-7920-workstation/xctopt7920us_4?configurationid=3eb87352-f557-4fff-abfe-5a9a62aa8b6a</t>
  </si>
  <si>
    <t>name</t>
  </si>
  <si>
    <t>GPU /notebooks</t>
  </si>
  <si>
    <t>operational</t>
  </si>
  <si>
    <t>Nvidia DGX GH200</t>
  </si>
  <si>
    <t xml:space="preserve">Name of </t>
  </si>
  <si>
    <t>chips</t>
  </si>
  <si>
    <t>used</t>
  </si>
  <si>
    <t>WSE-2</t>
  </si>
  <si>
    <t>https://www.youtube.com/watch?app=desktop&amp;v=oVHkXEzKzxM&amp;feature=youtu.be&amp;noapp=1</t>
  </si>
  <si>
    <t>https://www.youtube.com/watch?app=desktop&amp;v=oVHkXEzKzxM&amp;feature=youtu.be&amp;noapp=2</t>
  </si>
  <si>
    <t>Price</t>
  </si>
  <si>
    <t>chips only</t>
  </si>
  <si>
    <t>Terra</t>
  </si>
  <si>
    <t>Exa</t>
  </si>
  <si>
    <t>https://en.wikipedia.org/wiki/Metric_prefix</t>
  </si>
  <si>
    <t>10^12</t>
  </si>
  <si>
    <t>10^18</t>
  </si>
  <si>
    <t>notes</t>
  </si>
  <si>
    <t>https://en.wikipedia.org/wiki/Tesla_Dojo</t>
  </si>
  <si>
    <t>Watt</t>
  </si>
  <si>
    <t>chip</t>
  </si>
  <si>
    <t>per</t>
  </si>
  <si>
    <t>AI supercomputer</t>
  </si>
  <si>
    <t>calculated</t>
  </si>
  <si>
    <t>https://www.cerebras.net/condor-galaxy-1</t>
  </si>
  <si>
    <t>https://f.hubspotusercontent30.net/hubfs/8968533/CS-2%20Data%20Sheet.pdf</t>
  </si>
  <si>
    <t>USD</t>
  </si>
  <si>
    <t>million</t>
  </si>
  <si>
    <t>system FP32</t>
  </si>
  <si>
    <t>Cost USD</t>
  </si>
  <si>
    <t>cost of Mac Studio</t>
  </si>
  <si>
    <t>https://www.tomshardware.com/news/nvidia-hopper-h100-80gb-price-revealed</t>
  </si>
  <si>
    <t>https://en.wikipedia.org/wiki/Human_evolution</t>
  </si>
  <si>
    <t>https://www.businesswire.com/news/home/20220927006137/en/Kioxia-Develops-Industry%E2%80%99s-First-2TB-microSDXC-Memory-Card-Working-Prototypes#:~:text=Mass%20production%20of%20the%20KIOXIA,scheduled%20to%20begin%20in%202023.&amp;text=%5B1%5D%20As%20of%20September%2028%2C%202022.</t>
  </si>
  <si>
    <t>Peta</t>
  </si>
  <si>
    <t>10^15</t>
  </si>
  <si>
    <t>https://arxiv.org/abs/1906.01703</t>
  </si>
  <si>
    <t>https://en.wikipedia.org/wiki/Neuron#Connectivity</t>
  </si>
  <si>
    <t>https://hypertextbook.com/facts/2001/JacquelineLing.shtml</t>
  </si>
  <si>
    <t>https://en.wikipedia.org/wiki/Human_brain</t>
  </si>
  <si>
    <t>https://www.slideshare.net/antonioeram/raymond-kurzweil-presentation</t>
  </si>
  <si>
    <t>2009 presentation slide 20</t>
  </si>
  <si>
    <t>calculation</t>
  </si>
  <si>
    <t>AMD's MI300</t>
  </si>
  <si>
    <t>5 &amp; 6</t>
  </si>
  <si>
    <t>El Capitan</t>
  </si>
  <si>
    <t>https://www.tomshardware.com/news/new-amd-instinct-mi300-details-emerge-debuts-in-2-exaflop-el-capitan-supercomputer</t>
  </si>
  <si>
    <t>MI300</t>
  </si>
  <si>
    <t>https://www.techpowerup.com/gpu-specs/radeon-instinct-mi300.c4019</t>
  </si>
  <si>
    <t>https://www.techpowerup.com/gpu-specs/radeon-instinct-mi300.c4020</t>
  </si>
  <si>
    <t>https://www.techpowerup.com/gpu-specs/radeon-instinct-mi300.c4021</t>
  </si>
  <si>
    <t>https://www.techpowerup.com/gpu-specs/geforce-rtx-4070-mobile.c3944</t>
  </si>
  <si>
    <t>Nvidia present their DGX supercomputer as having 1 exaflops. This is true when looking at FP8 compute but I report the FP16 compute that is half of that.</t>
  </si>
  <si>
    <t>Main use</t>
  </si>
  <si>
    <t>HPC &amp; AI</t>
  </si>
  <si>
    <t>http://large.stanford.edu/courses/2014/ph240/labonta1/</t>
  </si>
  <si>
    <t>https://en.wikipedia.org/wiki/GPT-3</t>
  </si>
  <si>
    <t>https://en.wikipedia.org/wiki/GPT-4</t>
  </si>
  <si>
    <t>$20 month</t>
  </si>
  <si>
    <t>free</t>
  </si>
  <si>
    <t>https://chat.openai.com/</t>
  </si>
  <si>
    <t>Pa./GB</t>
  </si>
  <si>
    <t>or expected</t>
  </si>
  <si>
    <t>GB/Pa.</t>
  </si>
  <si>
    <t>Max input</t>
  </si>
  <si>
    <t>https://www.semafor.com/article/03/24/2023/the-secret-history-of-elon-musk-sam-altman-and-openai</t>
  </si>
  <si>
    <t>https://en.wikipedia.org/wiki/GPT-3#GPT-3.5</t>
  </si>
  <si>
    <t>https://www.digitaltrends.com/computing/gpt-4-vs-gpt-35/</t>
  </si>
  <si>
    <t>Max AI model</t>
  </si>
  <si>
    <t>Parameters</t>
  </si>
  <si>
    <t>tokens 1=4</t>
  </si>
  <si>
    <t>characters</t>
  </si>
  <si>
    <t>https://platform.openai.com/docs/models/gpt-4</t>
  </si>
  <si>
    <t>https://platform.openai.com/docs/models/gpt-3-5</t>
  </si>
  <si>
    <t>https://en.wikipedia.org/wiki/GPT-5</t>
  </si>
  <si>
    <t>https://en.wikipedia.org/wiki/GPT-3#GPT-3.6</t>
  </si>
  <si>
    <t>https://the-decoder.com/gpt-4-architecture-datasets-costs-and-more-leaked/</t>
  </si>
  <si>
    <t>billion tokens</t>
  </si>
  <si>
    <t>https://en.wikichip.org/wiki/tesla_(car_company)/fsd_chip#Memory_controller</t>
  </si>
  <si>
    <t>8 billion alive</t>
  </si>
  <si>
    <t>All memory</t>
  </si>
  <si>
    <t>Life experience</t>
  </si>
  <si>
    <t>This imply that chips that have RAM for both CPU and GPU need to have their GB of memory divided by 3 before we can calculate the billion of parameters that chip support</t>
  </si>
  <si>
    <r>
      <t xml:space="preserve">Sources: </t>
    </r>
    <r>
      <rPr>
        <sz val="11"/>
        <color theme="1"/>
        <rFont val="Calibri"/>
        <family val="2"/>
        <scheme val="minor"/>
      </rPr>
      <t>Follow link below video to download spreadsheet containing clickable sources</t>
    </r>
  </si>
  <si>
    <t>cost of iPhone</t>
  </si>
  <si>
    <t>Markup for cooling communication etc.</t>
  </si>
  <si>
    <t>Each tile has 11GB of SRAM. System of 3000D1 chips has Tiles = 3000/25=120. So System has 120*11GB=1320GB RAM of on tile memory. System also have 13000GB of off-board memory. Total System memory is therefore 14320GB.</t>
  </si>
  <si>
    <t xml:space="preserve">expert </t>
  </si>
  <si>
    <t># of layers</t>
  </si>
  <si>
    <t>in neural</t>
  </si>
  <si>
    <t>AI network</t>
  </si>
  <si>
    <t>Cost of</t>
  </si>
  <si>
    <t>training</t>
  </si>
  <si>
    <t>million $</t>
  </si>
  <si>
    <t>https://www.tomshardware.com/news/startup-builds-supercomputer-with-22000-nvidias-h100-compute-gpus</t>
  </si>
  <si>
    <t>https://bard.google.com/</t>
  </si>
  <si>
    <t>=</t>
  </si>
  <si>
    <t>Estimated</t>
  </si>
  <si>
    <t>size of training</t>
  </si>
  <si>
    <t>database in GB</t>
  </si>
  <si>
    <t>watt</t>
  </si>
  <si>
    <t>Brain can use all of its memory as input plus sensory input</t>
  </si>
  <si>
    <t>https://ai.meta.com/llama/</t>
  </si>
  <si>
    <t>https://golden.com/wiki/Perplexity_AI-X9D5GWB#:~:text=Perplexity%20AI%20is%20a%20company%20developing%20an%20AI-based,answers%20to%20complex%20questions%20using%20large%20language%20models.</t>
  </si>
  <si>
    <t>https://www.perplexity.ai/</t>
  </si>
  <si>
    <t>free/$20MD</t>
  </si>
  <si>
    <t>https://labs.perplexity.ai/</t>
  </si>
  <si>
    <t>https://www.worldometers.info/world-population/</t>
  </si>
  <si>
    <t xml:space="preserve">Source </t>
  </si>
  <si>
    <t>https://en.wikipedia.org/wiki/Moore%27s_law#/</t>
  </si>
  <si>
    <t>https://ourworldindata.org/grapher/transistors-per-microprocessor</t>
  </si>
  <si>
    <t>https://en.wikipedia.org/wiki/Moore%27s_law#/media/File:Moore's_Law_Transistor_Count_1970-2020.png</t>
  </si>
  <si>
    <t>Flash memory</t>
  </si>
  <si>
    <t>https://en.wikipedia.org/wiki/Transistor_count#Memory</t>
  </si>
  <si>
    <t>Intel 8008</t>
  </si>
  <si>
    <t>Apple A16</t>
  </si>
  <si>
    <t>https://en.wikipedia.org/wiki/Transistor_count#Microprocessors</t>
  </si>
  <si>
    <t>Computational ICs</t>
  </si>
  <si>
    <t>RAM or random access memory</t>
  </si>
  <si>
    <t>Intel 1103</t>
  </si>
  <si>
    <t>Samsung 128GB</t>
  </si>
  <si>
    <t>follow link</t>
  </si>
  <si>
    <t>Source for nm law</t>
  </si>
  <si>
    <t>https://semiengineering.com/scaling-up-and-down/</t>
  </si>
  <si>
    <t>Source for supercomputers TFLOPS law</t>
  </si>
  <si>
    <t>https://ourworldindata.org/grapher/supercomputer-power-flops</t>
  </si>
  <si>
    <t>Giga</t>
  </si>
  <si>
    <t>10^9</t>
  </si>
  <si>
    <t>https://en.m.wikipedia.org/wiki/List_of_fastest_computers?darkschemeovr=1&amp;safesearch=moderate&amp;setlang=da-DK&amp;ssp=1</t>
  </si>
  <si>
    <t>TFLOPS FP32</t>
  </si>
  <si>
    <t>Frontier</t>
  </si>
  <si>
    <t xml:space="preserve">Part of MS Edge browser that is freely available </t>
  </si>
  <si>
    <t>https://claude.ai/login</t>
  </si>
  <si>
    <t>https://en.wikipedia.org/wiki/Microsoft_Bing</t>
  </si>
  <si>
    <t>https://en.wikipedia.org/wiki/Anthropic</t>
  </si>
  <si>
    <t>https://en.wikipedia.org/wiki/Anthropic#Claude</t>
  </si>
  <si>
    <t>https://en.wikipedia.org/wiki/Bard_(chatbot)</t>
  </si>
  <si>
    <t>https://en.wikipedia.org/wiki/LaMDA</t>
  </si>
  <si>
    <t>https://en.wikipedia.org/wiki/Stable_Diffusion</t>
  </si>
  <si>
    <t>https://beta.dreamstudio.ai/generate</t>
  </si>
  <si>
    <t>https://en.wikipedia.org/wiki/Stable_Diffusion#Architecture</t>
  </si>
  <si>
    <t>https://en.wikipedia.org/wiki/DALL-E</t>
  </si>
  <si>
    <t>paid</t>
  </si>
  <si>
    <t>https://labs.openai.com/</t>
  </si>
  <si>
    <t>https://www.howtogeek.com/853529/hardware-for-stable-diffusion/</t>
  </si>
  <si>
    <t>This is the same kind of model as Stable diffusion so I simply multiply the 24GB with the number of parameters ratio for the two models</t>
  </si>
  <si>
    <t>https://en.wikipedia.org/wiki/Stable_Diffusion#Training_procedures</t>
  </si>
  <si>
    <t>This is the same kind of model as Stable diffusion so I simply multiply the 115Watt with the number of parameters ratio for the two models</t>
  </si>
  <si>
    <t>Humans train their neural networks constantly through life although the ability to do it effectively decreases with age.</t>
  </si>
  <si>
    <t>https://the-decoder.com/training-cost-for-stable-diffusion-was-just-600000-and-that-is-a-good-sign-for-ai-progress/</t>
  </si>
  <si>
    <t>optical,1nm</t>
  </si>
  <si>
    <t>Likely cost 200000 USD to raise a middleclass human to age of 20 years old</t>
  </si>
  <si>
    <t>Likely cost 200,000 USD to raise a middleclass human to age of 20 years old</t>
  </si>
  <si>
    <t>Implied annual growth</t>
  </si>
  <si>
    <t>electric computational ICs</t>
  </si>
  <si>
    <t># of transistors</t>
  </si>
  <si>
    <r>
      <t xml:space="preserve">Sources: </t>
    </r>
    <r>
      <rPr>
        <sz val="9"/>
        <color theme="1"/>
        <rFont val="Calibri"/>
        <family val="2"/>
        <scheme val="minor"/>
      </rPr>
      <t>Follow link below video to download spreadsheet containing clickable sources</t>
    </r>
  </si>
  <si>
    <t>electric RAM ICs</t>
  </si>
  <si>
    <t>electric flash memory ICs</t>
  </si>
  <si>
    <t>FP16/FP32</t>
  </si>
  <si>
    <t>Supercomputer</t>
  </si>
  <si>
    <t>FP8 INT8</t>
  </si>
  <si>
    <t>FP8/BF16</t>
  </si>
  <si>
    <t>https://en.wikichip.org/wiki/tesla_(car_company)/fsd_chip#CPU</t>
  </si>
  <si>
    <t>B) Conversion rate between unified RAM and billion of parameters in a vision centric model as represented by Stable diffusion</t>
  </si>
  <si>
    <t xml:space="preserve">Stable </t>
  </si>
  <si>
    <t>diffusion</t>
  </si>
  <si>
    <t>Unified memory</t>
  </si>
  <si>
    <t>memory RAM GB</t>
  </si>
  <si>
    <t>SoC / AI inference, vision</t>
  </si>
  <si>
    <t>GPU</t>
  </si>
  <si>
    <t>https://arxiv.org/abs/2302.05442</t>
  </si>
  <si>
    <t>Using transistor count in flash memory chips only</t>
  </si>
  <si>
    <t>Using transistor count in RAM memory chips only</t>
  </si>
  <si>
    <t>Chip name &amp; notes</t>
  </si>
  <si>
    <t>X increase</t>
  </si>
  <si>
    <r>
      <t xml:space="preserve">Sources: </t>
    </r>
    <r>
      <rPr>
        <sz val="11"/>
        <color theme="1"/>
        <rFont val="Calibri"/>
        <family val="2"/>
        <scheme val="minor"/>
      </rPr>
      <t>Follow link below video to download spreadsheet containing clickable sources</t>
    </r>
  </si>
  <si>
    <t>Toshiba 64Mb</t>
  </si>
  <si>
    <t>Intel 80486</t>
  </si>
  <si>
    <t>nm node</t>
  </si>
  <si>
    <t>Samsung 128Gb</t>
  </si>
  <si>
    <t xml:space="preserve">128Gb =16GB </t>
  </si>
  <si>
    <t>NEC 64Mb</t>
  </si>
  <si>
    <t>16Tb=2TB</t>
  </si>
  <si>
    <t>The 4 nm is not mentioned directly in source but it can be calculated indirectly for year 2023 see how by following link</t>
  </si>
  <si>
    <t>Toshiba 1Tb</t>
  </si>
  <si>
    <t>Micron V-NAND 16Tb</t>
  </si>
  <si>
    <t>Follow link</t>
  </si>
  <si>
    <t>https://www.youtube.com/watch?v=1uIzS1uCOcE</t>
  </si>
  <si>
    <t>Common knowledge</t>
  </si>
  <si>
    <t>follow link for explanation</t>
  </si>
  <si>
    <t>https://www.theregister.com/2023/07/21/tesla_dojo_spending/</t>
  </si>
  <si>
    <t>nm per meter</t>
  </si>
  <si>
    <t>nm per millimeter</t>
  </si>
  <si>
    <t>Calculating Moore's law</t>
  </si>
  <si>
    <t># of nm^2 in a millimeter^2</t>
  </si>
  <si>
    <t>nm^2 per mm^2</t>
  </si>
  <si>
    <t>1 million</t>
  </si>
  <si>
    <t>mm^2</t>
  </si>
  <si>
    <t>MTr/mm^2</t>
  </si>
  <si>
    <t>nm^2/(Tr/mm^2)</t>
  </si>
  <si>
    <t>control</t>
  </si>
  <si>
    <t>nm/Tr</t>
  </si>
  <si>
    <t>GB RAM</t>
  </si>
  <si>
    <t>TB flash</t>
  </si>
  <si>
    <t>Sources and notes</t>
  </si>
  <si>
    <t>Convert bit to bytes</t>
  </si>
  <si>
    <t>https://convertlive.com/u/convert/bits/to/bytes</t>
  </si>
  <si>
    <t>Trans/GB in RAM</t>
  </si>
  <si>
    <t>Trans/GB in flash</t>
  </si>
  <si>
    <t>HM best guess</t>
  </si>
  <si>
    <t>https://ourworldindata.org/grapher/historical-cost-of-computer-memory-and-storage</t>
  </si>
  <si>
    <t>Price of RAM factory gate</t>
  </si>
  <si>
    <t>Price of flash SS factory gate</t>
  </si>
  <si>
    <t>AGI brain</t>
  </si>
  <si>
    <t>A human sized body will not have a big battery so 50W for brain and 50W for rest of body is it.</t>
  </si>
  <si>
    <t>10^6</t>
  </si>
  <si>
    <t>Follow link for explanation</t>
  </si>
  <si>
    <t>https://en.wikipedia.org/wiki/El_Capitan_(supercomputer)</t>
  </si>
  <si>
    <t>Ray Kurzweil 2009 presentation slide 20</t>
  </si>
  <si>
    <t xml:space="preserve">1 brain = 10exaflops see </t>
  </si>
  <si>
    <t>Power</t>
  </si>
  <si>
    <t>in watt</t>
  </si>
  <si>
    <t>https://bdtechtalks.com/2020/06/22/direct-fit-artificial-neural-networks/</t>
  </si>
  <si>
    <t>https://www.beren.io/2022-08-06-The-scale-of-the-brain-vs-machine-learning/</t>
  </si>
  <si>
    <t>https://www.lesswrong.com/posts/7htxRA4TkHERiuPYK/parameter-vs-synapse</t>
  </si>
  <si>
    <t>Sources for computational power of human brain</t>
  </si>
  <si>
    <t>https://neurotray.com/how-many-calculations-per-second-can-the-human-brain-do/</t>
  </si>
  <si>
    <t>http://www.fhi.ox.ac.uk/brain-emulation-roadmap-report.pdf</t>
  </si>
  <si>
    <t>See table page 84 and 85</t>
  </si>
  <si>
    <t>https://aiimpacts.org/brain-performance-in-flops/</t>
  </si>
  <si>
    <t>https://superuser.com/questions/282202/which-consumes-more-power-hard-drive-or-sd-card-card-reader</t>
  </si>
  <si>
    <t>for chip</t>
  </si>
  <si>
    <t>for RAM</t>
  </si>
  <si>
    <t>year made</t>
  </si>
  <si>
    <t xml:space="preserve">m </t>
  </si>
  <si>
    <t>system in</t>
  </si>
  <si>
    <t>days in a year</t>
  </si>
  <si>
    <t>https://www.omnicalculator.com/other/video-size</t>
  </si>
  <si>
    <t>years old human</t>
  </si>
  <si>
    <t>hours in a day</t>
  </si>
  <si>
    <t>hours for sleep</t>
  </si>
  <si>
    <t>Follow link to get reasoning</t>
  </si>
  <si>
    <t xml:space="preserve">Needed GB of video/audio to train 36 year old human brain </t>
  </si>
  <si>
    <t>https://en.wikipedia.org/wiki/GPT-3#Training_and_capabilities</t>
  </si>
  <si>
    <t>https://aws.amazon.com/about-aws/whats-new/2023/08/claude-2-foundation-model-anthropic-amazon-bedrock/</t>
  </si>
  <si>
    <t>https://ai.meta.com/blog/large-language-model-llama-meta-ai/</t>
  </si>
  <si>
    <t>vision ai model trained on images not text tokens</t>
  </si>
  <si>
    <t>Training data</t>
  </si>
  <si>
    <t>or images</t>
  </si>
  <si>
    <t>Facts about human brain</t>
  </si>
  <si>
    <t>bits per brain synapse</t>
  </si>
  <si>
    <t>https://elifesciences.org/articles/10778</t>
  </si>
  <si>
    <t>bits per byte</t>
  </si>
  <si>
    <t>synapses per neuron in 3 year old human</t>
  </si>
  <si>
    <t>Second method for calculating storage and computation in human brain</t>
  </si>
  <si>
    <t>Times/second an average synapse fire</t>
  </si>
  <si>
    <t>Table page 84 and 85 has studies that use different measures of how often a synapse fire on average</t>
  </si>
  <si>
    <t>2nd source</t>
  </si>
  <si>
    <t>https://www.khanacademy.org/test-prep/mcat/organ-systems/neural-synapses/a/signal-propagation-the-movement-of-signals-between-neurons</t>
  </si>
  <si>
    <t>3rd source</t>
  </si>
  <si>
    <t>https://www.quora.com/Why-dont-neurons-in-the-brain-fire-all-the-time/answer/Paul-King-2</t>
  </si>
  <si>
    <t>Tflops</t>
  </si>
  <si>
    <t>Tflops in a human brain by brain structure</t>
  </si>
  <si>
    <t>https://www.openphilanthropy.org/research/new-report-on-how-much-computational-power-it-takes-to-match-the-human-brain/</t>
  </si>
  <si>
    <t>https://www.nih.gov/news-events/nih-research-matters/expanded-map-human-brain#:~:text=At%20a%20Glance%201%20Researchers%20created%20a%20high-resolution,of%20specialized%20brain%20regions%20in%20health%20and%20disease.</t>
  </si>
  <si>
    <t>&gt;360</t>
  </si>
  <si>
    <t>&gt;1000?</t>
  </si>
  <si>
    <t>So far this is unknown</t>
  </si>
  <si>
    <t>multi-modal model takes all sorts of data input</t>
  </si>
  <si>
    <t>Mega</t>
  </si>
  <si>
    <t>https://en.wikipedia.org/wiki/Transistor_count#GPUs</t>
  </si>
  <si>
    <t>Adult brain has 86 billion brain cells and it is 3D</t>
  </si>
  <si>
    <t>Calculated</t>
  </si>
  <si>
    <t>Nvidia H100</t>
  </si>
  <si>
    <t>in</t>
  </si>
  <si>
    <t>Follow links in calculation for explanation</t>
  </si>
  <si>
    <t>Tesla chip also has a GPU with 0.6Tflops that like is measured in FP16. It also has CPU that likely is FP32 but no mention how fast that is</t>
  </si>
  <si>
    <t>Price in 2023 of 1000GB of DRAM  is 25000 USD price increase from 2TB to 3TB using 24*128GB modules</t>
  </si>
  <si>
    <t>Ratio Pa./GB of unified memory in typical LLM type of AI model</t>
  </si>
  <si>
    <t>growth</t>
  </si>
  <si>
    <t>https://twitter.com/EMostaque/status/1674479761429504017</t>
  </si>
  <si>
    <t>Moore's Law</t>
  </si>
  <si>
    <t>multiplicator</t>
  </si>
  <si>
    <t>https://youtu.be/0EIwhvqCX1c?t=20</t>
  </si>
  <si>
    <t>million watt</t>
  </si>
  <si>
    <t>electricity</t>
  </si>
  <si>
    <t>USD per kWh</t>
  </si>
  <si>
    <t>hours in the day that data center is running</t>
  </si>
  <si>
    <t>Global elec.</t>
  </si>
  <si>
    <t>production</t>
  </si>
  <si>
    <r>
      <t xml:space="preserve">Sources: </t>
    </r>
    <r>
      <rPr>
        <sz val="12"/>
        <color theme="1"/>
        <rFont val="Calibri"/>
        <family val="2"/>
        <scheme val="minor"/>
      </rPr>
      <t>Follow link below video to download spreadsheet containing clickable sources</t>
    </r>
  </si>
  <si>
    <t>Kilo</t>
  </si>
  <si>
    <t>10^3</t>
  </si>
  <si>
    <t>Growth</t>
  </si>
  <si>
    <t>in TWh</t>
  </si>
  <si>
    <t>https://yearbook.enerdata.net/electricity/world-electricity-production-statistics.html</t>
  </si>
  <si>
    <t xml:space="preserve">of global </t>
  </si>
  <si>
    <t>https://ourworldindata.org/grapher/levelized-cost-of-energy</t>
  </si>
  <si>
    <t>https://the-decoder.com/nvidia-announces-new-superchip-and-collab-with-hugging-face/</t>
  </si>
  <si>
    <t>GPU AI training &amp; infer.</t>
  </si>
  <si>
    <t>Flash memory 3D chip</t>
  </si>
  <si>
    <t>https://arxiv.org/pdf/2302.13971.pdf</t>
  </si>
  <si>
    <t>https://en.wikipedia.org/wiki/Large_language_model</t>
  </si>
  <si>
    <t>Converting training tokens to GB in a typical LLM AI model</t>
  </si>
  <si>
    <t>billion tokens float 32</t>
  </si>
  <si>
    <t>billion tokens float 16</t>
  </si>
  <si>
    <t>https://waxy.org/2022/08/exploring-12-million-of-the-images-used-to-train-stable-diffusions-image-generator/</t>
  </si>
  <si>
    <t>Second source for converting model parameters in LLMs into GB</t>
  </si>
  <si>
    <t>Name of AI model or</t>
  </si>
  <si>
    <t>computing entity</t>
  </si>
  <si>
    <t>Compute</t>
  </si>
  <si>
    <t>per watt</t>
  </si>
  <si>
    <t>&lt;0.5 million alive</t>
  </si>
  <si>
    <t>https://en.m.wikipedia.org/wiki/Chimpanzee</t>
  </si>
  <si>
    <t>billion neurons human brain</t>
  </si>
  <si>
    <t>billion neurons Chimpanzee brain</t>
  </si>
  <si>
    <t>https://en.wikipedia.org/wiki/List_of_animals_by_number_of_neurons</t>
  </si>
  <si>
    <t>synapses per neuron in adult human</t>
  </si>
  <si>
    <t>Tflops in Chimpanzee brain</t>
  </si>
  <si>
    <t>Number of synapses in adult human brain</t>
  </si>
  <si>
    <t>Number of synapses in a 3 year old human brain</t>
  </si>
  <si>
    <t>Number of synapses in a chimpanzee brain</t>
  </si>
  <si>
    <t>GB in adult chimp. brain calculated by brain structure</t>
  </si>
  <si>
    <t>GB in adult human brain calculated by brain structure</t>
  </si>
  <si>
    <t>Chimps do not live as long as humans</t>
  </si>
  <si>
    <t>Chimpanzees train their neural networks constantly through life although the ability to do it effectively decreases with age.</t>
  </si>
  <si>
    <t>https://en.wikipedia.org/wiki/LLaMA</t>
  </si>
  <si>
    <t>See text at U3 and follow link</t>
  </si>
  <si>
    <t>https://www.cnbc.com/2023/08/11/nvidia-ai-driven-rally-pushed-earnings-multiple-higher-than-tesla.html</t>
  </si>
  <si>
    <t>https://www.statista.com/statistics/988034/nvidia-revenue-by-segment/</t>
  </si>
  <si>
    <t>https://www.engadget.com/samsung-unveils-a-512-gb-ddr-5-ram-module-102447443.html</t>
  </si>
  <si>
    <t>Limiting factor for making an AGI android is power and size of needed RAM not the CPU/GPU</t>
  </si>
  <si>
    <t>https://en.wikipedia.org/wiki/DDR5_SDRAM</t>
  </si>
  <si>
    <t>https://www.anandtech.com/show/16900/samsung-teases-512-gb-ddr5-7200-modules</t>
  </si>
  <si>
    <t>Best RAM card today is 0.512TB and they are big and power hungry</t>
  </si>
  <si>
    <t>https://www.crucial.com/support/articles-faq-memory/how-much-power-does-memory-use</t>
  </si>
  <si>
    <t>https://en.wikipedia.org/wiki/List_of_animals_by_number_of_neurons#List_of_animal_species_by_forebrain_(cerebrum_or_pallium)_neuron_number</t>
  </si>
  <si>
    <t>Mainly sensing &amp; thought</t>
  </si>
  <si>
    <t>Number of synapse in adult human forebrain</t>
  </si>
  <si>
    <t>Tflops in a human forebrain by brain structure</t>
  </si>
  <si>
    <t>GB in adult human forebrain calculated by brain structure</t>
  </si>
  <si>
    <t>https://www.nvidia.com/en-us/data-center/grace-hopper-superchip/</t>
  </si>
  <si>
    <t>TFLOPS per</t>
  </si>
  <si>
    <t>watt system</t>
  </si>
  <si>
    <t>https://twitter.com/realGeorgeHotz/status/1690894647755988993</t>
  </si>
  <si>
    <t>AI training at OpenAI</t>
  </si>
  <si>
    <t>https://youtu.be/7KJibx077bE?t=171</t>
  </si>
  <si>
    <t>https://www.kryptex.com/en/hardware/nvidia-a100</t>
  </si>
  <si>
    <t>https://youtu.be/7KJibx077bE?t=438</t>
  </si>
  <si>
    <t>billion USD</t>
  </si>
  <si>
    <t>Value of AI</t>
  </si>
  <si>
    <t>chip sales</t>
  </si>
  <si>
    <t>Annual</t>
  </si>
  <si>
    <t>days in year data center is running</t>
  </si>
  <si>
    <t>global TWh</t>
  </si>
  <si>
    <t>Watt per 8GB of DDR4 RAM for 2023</t>
  </si>
  <si>
    <t>not for AI</t>
  </si>
  <si>
    <t>use in TWh</t>
  </si>
  <si>
    <t xml:space="preserve">Power use </t>
  </si>
  <si>
    <t>for AI in %</t>
  </si>
  <si>
    <t xml:space="preserve">Cost of AI </t>
  </si>
  <si>
    <t>GDP</t>
  </si>
  <si>
    <t>https://data.worldbank.org/indicator/NY.GDP.MKTP.CD</t>
  </si>
  <si>
    <t>%</t>
  </si>
  <si>
    <t>Source for equating the number of parameters in AI model to number of synapses in a human brain. It should be stressed that all these sources are not high quality scientific sources but HM has not been able to find better alternative ways to compare complexity of human brain with that of AI models</t>
  </si>
  <si>
    <t>GB RAM needed</t>
  </si>
  <si>
    <t xml:space="preserve">For every 1 billion parameters LLM </t>
  </si>
  <si>
    <t>Cost plus profit margin for 1TB RAM</t>
  </si>
  <si>
    <t>CPU/GPU AI training &amp; inf.</t>
  </si>
  <si>
    <t>Follow links</t>
  </si>
  <si>
    <t>description</t>
  </si>
  <si>
    <t>Markup for cooling communication etc. for personal level computers</t>
  </si>
  <si>
    <t>Markup for cooling communication etc. for datacenter level computers</t>
  </si>
  <si>
    <t>Estimate GB of video/audio needed for database sufficiently large to train human brain to become highly conscious and intelligent</t>
  </si>
  <si>
    <t>Power for android body excluding AGI computer</t>
  </si>
  <si>
    <t>Cost of FSD computer my estimate not including cost of developing AI driver software</t>
  </si>
  <si>
    <t>Dall-E 2 by OpenAI</t>
  </si>
  <si>
    <t xml:space="preserve">Bard/LaMDA by Google </t>
  </si>
  <si>
    <t>Stable Diffusion 2.1 by Stability AI</t>
  </si>
  <si>
    <t># of pixels processed per second</t>
  </si>
  <si>
    <t>To compare Tesla HW3 37TFLOPS is enough to process 1 billion image pixels per second or 8 Full HD 1080p video at 60fps.</t>
  </si>
  <si>
    <t>https://www.techpowerup.com/310783/inflection-ai-builds-supercomputer-with-22-000-nvidia-h100-gpus</t>
  </si>
  <si>
    <t>likely 2024</t>
  </si>
  <si>
    <t>$10, 1000 img</t>
  </si>
  <si>
    <t># of humans</t>
  </si>
  <si>
    <t>EPYC,MI250</t>
  </si>
  <si>
    <t>https://www.youtube.com/watch?v=Y6Sgp7y178k&amp;t=115s</t>
  </si>
  <si>
    <t>billion synapses</t>
  </si>
  <si>
    <t>Geoffrey Hinton statement is why the second take on the human brain is the more realistic description of human brain</t>
  </si>
  <si>
    <t>The 258 trillion synopses/parameters is a max number as there can be no more synapses and it could be much lower if only a small percentage of synapses are able to do actual work because most are dormant. See also text on sources for equating parameters and synapses and why Geoffrey Hinton thinks 1 AI model parameter can do the work of many brain synapses</t>
  </si>
  <si>
    <t>Most likely same as GPT3</t>
  </si>
  <si>
    <t>Same as GPT4-</t>
  </si>
  <si>
    <t>Alternative source to parameter count in GPT4 say 1000 billion parameters</t>
  </si>
  <si>
    <t>https://www.zdnet.com/article/apple-m2-ultra-what-makes-it-special-and-for-whom/</t>
  </si>
  <si>
    <t>Memory</t>
  </si>
  <si>
    <t>bandwidth</t>
  </si>
  <si>
    <t>GB/s</t>
  </si>
  <si>
    <t>https://youtu.be/Y6Sgp7y178k?t=178</t>
  </si>
  <si>
    <t>https://youtu.be/Y6Sgp7y178k?t=179</t>
  </si>
  <si>
    <t>https://en.wikichip.org/wiki/tesla_(car_company)/fsd_chip#Memory_controller?utm_content=cmp-true</t>
  </si>
  <si>
    <t>Follow links in calculation for explanation. I divide by 2 because the AI model can only run on one chip at the same time. The dual chip setup if for redundancy only.</t>
  </si>
  <si>
    <t>Markup for cooling communication etc. for mufti-chip supercomputers</t>
  </si>
  <si>
    <t>Inflection AI (Pi, LLM)</t>
  </si>
  <si>
    <t># of sub</t>
  </si>
  <si>
    <t>AI models</t>
  </si>
  <si>
    <t>Nvidia V100 SXM2</t>
  </si>
  <si>
    <t>https://en.wikipedia.org/wiki/Volta_%28microarchitecture%29</t>
  </si>
  <si>
    <t>https://images.nvidia.com/content/technologies/volta/pdf/volta-v100-datasheet-update-us-1165301-r5.pdf</t>
  </si>
  <si>
    <t xml:space="preserve">AI datasets including forthcoming and comparison with human brain </t>
  </si>
  <si>
    <t>Global exa-flops</t>
  </si>
  <si>
    <t xml:space="preserve">Global </t>
  </si>
  <si>
    <t>exa-FLOPS</t>
  </si>
  <si>
    <t>HM's best guess for the next supercomputer OpenAI will use to train GPT-5. It is basically assuming the A100 chip will be replaced with the 12X more capable H100 chip.</t>
  </si>
  <si>
    <t xml:space="preserve">It is likely that Open AI finish making their supercomputer in 2024 </t>
  </si>
  <si>
    <t>Supercomputer is using 25k A100 chips that came to market in 2021</t>
  </si>
  <si>
    <t>https://www.tomshardware.com/news/amd-expands-mi300-with-gpu-only-model-eight-gpu-platform-with-15tb-of-hbm3</t>
  </si>
  <si>
    <t>system</t>
  </si>
  <si>
    <t>seconds in an hour</t>
  </si>
  <si>
    <t>USD/kWh</t>
  </si>
  <si>
    <t>MB</t>
  </si>
  <si>
    <t>sources</t>
  </si>
  <si>
    <t>500 pages of text at 2000 characters each is 1 MB</t>
  </si>
  <si>
    <t>1 page is about 2000 characters and 300 words</t>
  </si>
  <si>
    <t>words per page</t>
  </si>
  <si>
    <t>https://pc.net/helpcenter/answers/how_much_text_in_one_megabyte</t>
  </si>
  <si>
    <t>https://basmo.app/how-long-does-it-take-to-read-100-pages/</t>
  </si>
  <si>
    <t>page/min</t>
  </si>
  <si>
    <t>An average human reads 300 words or 1 page per minute</t>
  </si>
  <si>
    <t>One page is 2000 characters or 2000 bytes</t>
  </si>
  <si>
    <t>bytes per page</t>
  </si>
  <si>
    <t>seconds in a minute</t>
  </si>
  <si>
    <t>Bytes/second</t>
  </si>
  <si>
    <t>https://www.micron.com/products/nand-flash/232-layer-nand</t>
  </si>
  <si>
    <t>Should be no less than current max for HBM</t>
  </si>
  <si>
    <t>GDP, USD</t>
  </si>
  <si>
    <t>expected</t>
  </si>
  <si>
    <t>transistors</t>
  </si>
  <si>
    <t>Growth %</t>
  </si>
  <si>
    <t xml:space="preserve">in # of </t>
  </si>
  <si>
    <t xml:space="preserve">shrinking stops at 0.9 nm. </t>
  </si>
  <si>
    <t>I could have grown the TB in flash by the historic annual growth but I have chosen to grow it by relative transistor growth because I think that they are directly proportional as that would be logical and also the slight difference in historical growth of transistors and flash memory is likely due to slight off numbers of the used historical data.</t>
  </si>
  <si>
    <t>I could have grown the GB in RAM by the historic annual growth but I have chosen to grow it by relative transistor growth because I think that they are directly proportional as that would be logical and also the slight difference in historical growth of transistors and flash memory is likely due to slight off numbers of the used historical data.</t>
  </si>
  <si>
    <t>The end date of 2040 is chosen to be the same as for end of Moore's law for computational ICs as I could not find the needed data on die sizes for RAM ICs</t>
  </si>
  <si>
    <t>The "end" of Moore's law for electric computational ICs (could continue with optical ICs)</t>
  </si>
  <si>
    <t>The "end" of Moore's law for RAM memory ICs</t>
  </si>
  <si>
    <t>The "end" of Moore's law for flash memory ICs</t>
  </si>
  <si>
    <t>Moore's law slows as nm</t>
  </si>
  <si>
    <t>Moore's law slows further</t>
  </si>
  <si>
    <t xml:space="preserve">Only option left is bigger </t>
  </si>
  <si>
    <t>as better transistor design</t>
  </si>
  <si>
    <t xml:space="preserve">become impossible at </t>
  </si>
  <si>
    <t>21^2 nm per transistor</t>
  </si>
  <si>
    <t>more power hungry ICs</t>
  </si>
  <si>
    <t>and a transition to optical</t>
  </si>
  <si>
    <t>Options left are bigger</t>
  </si>
  <si>
    <t>with more 3D layers</t>
  </si>
  <si>
    <t>becomes impossible.</t>
  </si>
  <si>
    <t xml:space="preserve">for one </t>
  </si>
  <si>
    <t>for RAM mem.</t>
  </si>
  <si>
    <t>for AI use</t>
  </si>
  <si>
    <t>RAM prod.</t>
  </si>
  <si>
    <t>Global TB</t>
  </si>
  <si>
    <t>Global TB RAM</t>
  </si>
  <si>
    <t>transistors for compute</t>
  </si>
  <si>
    <t>if 1 brain is GB</t>
  </si>
  <si>
    <t># of AGI brains</t>
  </si>
  <si>
    <t>Singularity?</t>
  </si>
  <si>
    <t>Price of 1</t>
  </si>
  <si>
    <t>AI chipset</t>
  </si>
  <si>
    <t>Markup 2x</t>
  </si>
  <si>
    <t>Time to train</t>
  </si>
  <si>
    <t>GPT-4 model</t>
  </si>
  <si>
    <t>month</t>
  </si>
  <si>
    <t>days</t>
  </si>
  <si>
    <t>hours</t>
  </si>
  <si>
    <t>in days</t>
  </si>
  <si>
    <t>in years</t>
  </si>
  <si>
    <t xml:space="preserve">Cost of </t>
  </si>
  <si>
    <t>1kWh of</t>
  </si>
  <si>
    <t>Value global</t>
  </si>
  <si>
    <t>elec. prod.</t>
  </si>
  <si>
    <t>in billion USD</t>
  </si>
  <si>
    <t>AI training of FSD AI m. V12</t>
  </si>
  <si>
    <t>https://youtu.be/GvMe3FVTknU?si=myHlK8lWrqzIb3KC&amp;t=535</t>
  </si>
  <si>
    <t>https://youtu.be/GvMe3FVTknU?si=myHlK8lWrqzIb3KC&amp;t=536</t>
  </si>
  <si>
    <t>https://youtu.be/GvMe3FVTknU?si=myHlK8lWrqzIb3KC&amp;t=537</t>
  </si>
  <si>
    <t>https://twitter.com/Tesla_AI/status/1671589874686730270</t>
  </si>
  <si>
    <t>https://youtu.be/GvMe3FVTknU?si=23S1wZ4AEhTqN4bR&amp;t=150</t>
  </si>
  <si>
    <t>https://www.youtube.com/live/ODSJsviD_SU?si=M-0Z5JAt7y0Q4H5N&amp;t=7786</t>
  </si>
  <si>
    <t>https://twitter.com/tim_zaman/status/1695488119729238147</t>
  </si>
  <si>
    <t>1260cm4</t>
  </si>
  <si>
    <t>Google A3, VM</t>
  </si>
  <si>
    <t>AI training and inference</t>
  </si>
  <si>
    <t>https://www.tomshardware.com/news/google-a3-supercomputer-h100-googleio</t>
  </si>
  <si>
    <t>Google TPU v5e</t>
  </si>
  <si>
    <t>https://www.hpcwire.com/2023/08/30/google-tpu-v5e-ai-chip-debuts-after-controversial-origins/</t>
  </si>
  <si>
    <t>https://cloud.google.com/tpu/docs/v5e-training</t>
  </si>
  <si>
    <t xml:space="preserve">Amazon Trainium </t>
  </si>
  <si>
    <t>https://aws.amazon.com/machine-learning/trainium/</t>
  </si>
  <si>
    <t>https://d1.awsstatic.com/events/Summits/reinvent2022/CMP313_Accelerate-deep-learning-and-innovate-faster-with-AWS-Trainium.pdf</t>
  </si>
  <si>
    <t>Google TPU v4</t>
  </si>
  <si>
    <t>https://youtu.be/YZzROmj5Ols?si=np6xBwjEw18EvhZ7&amp;t=402</t>
  </si>
  <si>
    <t>https://youtu.be/YZzROmj5Ols?si=np6xBwjEw18EvhZ7&amp;t=403</t>
  </si>
  <si>
    <t xml:space="preserve">AI training </t>
  </si>
  <si>
    <t>Google TPU v4i</t>
  </si>
  <si>
    <t>https://youtu.be/YZzROmj5Ols?si=BajlxtFnBcGDwmLY&amp;t=403</t>
  </si>
  <si>
    <t>https://cloud.google.com/tpu/docs/system-architecture-tpu-vm</t>
  </si>
  <si>
    <t>https://gwern.net/doc/ai/scaling/hardware/2021-jouppi.pdf</t>
  </si>
  <si>
    <t>At lest as much as FP16 performance</t>
  </si>
  <si>
    <t>https://youtu.be/YZzROmj5Ols?si=70XR4fNTExe-Cf1z&amp;t=223</t>
  </si>
  <si>
    <t>https://youtu.be/YZzROmj5Ols?si=0uC5v2nfW_uUFmEd&amp;t=239</t>
  </si>
  <si>
    <t>Meta MTIA v1</t>
  </si>
  <si>
    <t>https://youtu.be/YZzROmj5Ols?si=7_n0K6cA-Ezl17rd&amp;t=239</t>
  </si>
  <si>
    <t>https://youtu.be/YZzROmj5Ols?si=AG9ysgWslgkKVNfM&amp;t=239</t>
  </si>
  <si>
    <t>https://youtu.be/YZzROmj5Ols?si=AG9ysgWslgkKVNfM&amp;t=240</t>
  </si>
  <si>
    <t>https://www.nextplatform.com/2023/05/18/meta-platforms-crafts-homegrown-ai-inference-chip-ai-training-next/</t>
  </si>
  <si>
    <t>https://youtu.be/YZzROmj5Ols?si=0XtFAIohph3stdz9&amp;t=275</t>
  </si>
  <si>
    <t>https://www.tomsguide.com/news/microsoft-readies-own-ai-chip-everything-you-need-to-know</t>
  </si>
  <si>
    <t>https://www.servethehome.com/intel-habana-gaudi2-launched-ai-training-chip-supermicro-ddn-oam/intel-gaudi-to-gaudi2-specs/</t>
  </si>
  <si>
    <t>Intel Gaudi2 (Habana)</t>
  </si>
  <si>
    <t>https://habana.ai/products/gaudi2/</t>
  </si>
  <si>
    <t>https://www.tomshardware.com/news/intel-habana-gaudi2-outperforms-nvidia-a100</t>
  </si>
  <si>
    <t>https://www.tomshardware.com/news/intel-habana-gaudi2-outperforms-nvidia-a101</t>
  </si>
  <si>
    <t xml:space="preserve">25MB of text is </t>
  </si>
  <si>
    <t>pages of context at perplexity.ai</t>
  </si>
  <si>
    <t>https://awsdocs-neuron.readthedocs-hosted.com/en/latest/general/arch/neuron-hardware/trainium.html</t>
  </si>
  <si>
    <t>High performance compute.</t>
  </si>
  <si>
    <t>Stability.ai, Ezra-1</t>
  </si>
  <si>
    <t>https://stability.ai/blog/stable-diffusion-announcement</t>
  </si>
  <si>
    <t>https://stability.ai/about</t>
  </si>
  <si>
    <t>https://youtu.be/1WOjjgyZPj8?si=_G-vzWiiSfFmYcEz&amp;t=4488</t>
  </si>
  <si>
    <t xml:space="preserve">Lines of code </t>
  </si>
  <si>
    <t>to specify</t>
  </si>
  <si>
    <t>https://en.wikipedia.org/wiki/PaLM</t>
  </si>
  <si>
    <t>full ai model</t>
  </si>
  <si>
    <t>G. TPU v4</t>
  </si>
  <si>
    <t>https://youtu.be/1WOjjgyZPj8?si=YDkBhg6YQHGVx9Yh&amp;t=4427</t>
  </si>
  <si>
    <t>https://youtu.be/1WOjjgyZPj8?si=f4KA-OE7e2eDaO-h&amp;t=4442</t>
  </si>
  <si>
    <t>200-400</t>
  </si>
  <si>
    <t>4000?</t>
  </si>
  <si>
    <t>https://youtu.be/1WOjjgyZPj8?si=f4KA-OE7e2eDaO-h&amp;t=4443</t>
  </si>
  <si>
    <t>https://youtu.be/1WOjjgyZPj8?si=f4KA-OE7e2eDaO-h&amp;t=4444</t>
  </si>
  <si>
    <t>https://youtu.be/1WOjjgyZPj8?si=f4KA-OE7e2eDaO-h&amp;t=4445</t>
  </si>
  <si>
    <t>https://youtu.be/1WOjjgyZPj8?si=f4KA-OE7e2eDaO-h&amp;t=4446</t>
  </si>
  <si>
    <t>https://youtu.be/1WOjjgyZPj8?si=f4KA-OE7e2eDaO-h&amp;t=4447</t>
  </si>
  <si>
    <t>https://youtu.be/1WOjjgyZPj8?si=f4KA-OE7e2eDaO-h&amp;t=4448</t>
  </si>
  <si>
    <t>https://youtu.be/1WOjjgyZPj8?si=f4KA-OE7e2eDaO-h&amp;t=4455</t>
  </si>
  <si>
    <t>?</t>
  </si>
  <si>
    <t>1000-2000?</t>
  </si>
  <si>
    <t>https://youtu.be/FHhrN-GXrF8?si=SLSweYe6vRFKpDos&amp;t=112</t>
  </si>
  <si>
    <t>Parameters or connection strengths</t>
  </si>
  <si>
    <t>Assuming it cost 2/3 of the cost of A100</t>
  </si>
  <si>
    <t>NVIDIA Eos</t>
  </si>
  <si>
    <t>https://youtu.be/1WOjjgyZPj8?si=_G-vzWiiSfFmYcEz&amp;t=4490</t>
  </si>
  <si>
    <t>https://nvidianews.nvidia.com/news/nvidia-announces-dgx-h100-systems-worlds-most-advanced-enterprise-ai-infrastructure</t>
  </si>
  <si>
    <t>NVIDIA, Eos, H100</t>
  </si>
  <si>
    <t>Tesla, H100</t>
  </si>
  <si>
    <t>Apple A17 Pro</t>
  </si>
  <si>
    <t>https://en.wikipedia.org/wiki/Apple_A17</t>
  </si>
  <si>
    <t>https://en.wikipedia.org/wiki/Apple_A18</t>
  </si>
  <si>
    <t>https://en.wikipedia.org/wiki/Apple_A19</t>
  </si>
  <si>
    <t>https://en.wikipedia.org/wiki/Apple_A20</t>
  </si>
  <si>
    <t>https://9to5mac.com/2023/09/15/a17-pro-vs-a16-bionic-comparison/</t>
  </si>
  <si>
    <t>https://www.cpu-monkey.com/en/cpu-apple_a17_pro</t>
  </si>
  <si>
    <t>https://appleinsider.com/articles/23/04/26/tsmc-struggling-with-early-yields-of-a17-and-m3-processors</t>
  </si>
  <si>
    <t>USM by Google</t>
  </si>
  <si>
    <t>https://sites.research.google/usm/</t>
  </si>
  <si>
    <t>over 300 languages</t>
  </si>
  <si>
    <t>no public data on this</t>
  </si>
  <si>
    <t>2.3B images</t>
  </si>
  <si>
    <t>100sM images</t>
  </si>
  <si>
    <t>12M hours voi.</t>
  </si>
  <si>
    <t>https://huggingface.co/datasets/laion/laion2B-en</t>
  </si>
  <si>
    <t>https://www.omnicalculator.com/other/audio-file-size</t>
  </si>
  <si>
    <t>https://www.youtube.com/watch?v=e5xxejlecLs</t>
  </si>
  <si>
    <t>https://www.youtube.com/watch?v=INawFGUy-nU</t>
  </si>
  <si>
    <t>Wisper by OpenAI</t>
  </si>
  <si>
    <t>https://deepgram.com/learn/whisper-issues-smart-formatting</t>
  </si>
  <si>
    <t>https://www.infoq.com/news/2022/10/openai-whisper-speech/</t>
  </si>
  <si>
    <t>97 languages</t>
  </si>
  <si>
    <t>free in open ai  services like GTP-4</t>
  </si>
  <si>
    <t>680k hours voi.</t>
  </si>
  <si>
    <t>50-400</t>
  </si>
  <si>
    <t>https://the-decoder.com/stable-diffusion-xl-an-image-model-at-midjourneys-level/</t>
  </si>
  <si>
    <t>https://stability.ai/stable-diffusion</t>
  </si>
  <si>
    <t>assuming PC with Nvidia RTX4070 is used to run inference</t>
  </si>
  <si>
    <t>assuming two Nvidia A100 are used to run inference</t>
  </si>
  <si>
    <t>Dec, 2022</t>
  </si>
  <si>
    <t>July, 2023</t>
  </si>
  <si>
    <t>https://arxiv.org/pdf/2008.10080.pdf</t>
  </si>
  <si>
    <t>https://github.com/jonathan-laurent/AlphaZero.jl/blob/373852801dbf81f5fef0ed7feba69e82aecf0d6d/src/params.jl#LL277-L319</t>
  </si>
  <si>
    <t>https://en.wikipedia.org/wiki/AlphaZero</t>
  </si>
  <si>
    <t>Dec, 2017</t>
  </si>
  <si>
    <t>AlphaGo Zero by Google</t>
  </si>
  <si>
    <t>AlphaFold2 by Google</t>
  </si>
  <si>
    <t>https://en.wikipedia.org/wiki/AlphaFold#</t>
  </si>
  <si>
    <t>100M game moves</t>
  </si>
  <si>
    <t>170k proteins</t>
  </si>
  <si>
    <t>https://towardsdatascience.com/how-to-deploy-and-interpret-alphafold2-with-minimal-compute-9bf75942c6d7</t>
  </si>
  <si>
    <t>https://towardsdatascience.com/how-to-deploy-and-interpret-alphafold2-with-minimal-compute-9bf75942c6d8</t>
  </si>
  <si>
    <t>https://towardsdatascience.com/how-to-deploy-and-interpret-alphafold2-with-minimal-compute-9bf75942c6d9</t>
  </si>
  <si>
    <t>https://github.com/google-deepmind/alphafold#genetic-databases</t>
  </si>
  <si>
    <t>https://www.blopig.com/blog/2021/07/alphafold-2-is-here-whats-behind-the-structure-prediction-miracle/</t>
  </si>
  <si>
    <t>https://en.wikipedia.org/wiki/AlphaFold#Algorithm</t>
  </si>
  <si>
    <t>inference can be run on only 4 TPUv1 chips so likely only one TPU4i chip see https://en.wikipedia.org/wiki/AlphaGo_Zero</t>
  </si>
  <si>
    <t>Part of DNA</t>
  </si>
  <si>
    <t>https://the-decoder.com/gpt-3-5-might-be-a-strong-example-of-the-efficiency-potential-of-large-ai-models/</t>
  </si>
  <si>
    <t>https://www.cnbc.com/2023/11/05/elon-musk-debuts-grok-ai-bot-to-rival-chatgpt-others-.html</t>
  </si>
  <si>
    <t>LLM text to text, H100</t>
  </si>
  <si>
    <t>$16 month</t>
  </si>
  <si>
    <t>Cerebras WSE-3</t>
  </si>
  <si>
    <t>https://youtu.be/f4Dly8I8lMY?si=6UxF2vbAmhkP1ZH_&amp;t=93</t>
  </si>
  <si>
    <t>https://youtu.be/f4Dly8I8lMY?si=6UxF2vbAmhkP1ZH_&amp;t=94</t>
  </si>
  <si>
    <t>https://youtu.be/f4Dly8I8lMY?si=6UxF2vbAmhkP1ZH_&amp;t=95</t>
  </si>
  <si>
    <t>https://youtu.be/f4Dly8I8lMY?si=6UxF2vbAmhkP1ZH_&amp;t=96</t>
  </si>
  <si>
    <t>https://youtu.be/f4Dly8I8lMY?si=YPQyELk9T8KbtpFv&amp;t=180</t>
  </si>
  <si>
    <t>https://youtu.be/f4Dly8I8lMY?si=NMNdYsGz0fNnw2SH&amp;t=203</t>
  </si>
  <si>
    <t>https://youtu.be/f4Dly8I8lMY?si=YtV9bMdjkZ0FfhYA&amp;t=224</t>
  </si>
  <si>
    <t>WSE-3</t>
  </si>
  <si>
    <t>https://youtu.be/f4Dly8I8lMY?si=azVbAp6Efob-ttvo&amp;t=253</t>
  </si>
  <si>
    <t>https://youtu.be/f4Dly8I8lMY?si=azVbAp6Efob-ttvo&amp;t=254</t>
  </si>
  <si>
    <t>https://youtu.be/f4Dly8I8lMY?si=azVbAp6Efob-ttvo&amp;t=255</t>
  </si>
  <si>
    <t>https://youtu.be/f4Dly8I8lMY?si=azVbAp6Efob-ttvo&amp;t=256</t>
  </si>
  <si>
    <t>https://youtu.be/f4Dly8I8lMY?si=qQwM5MdoVQ2yW6ra&amp;t=253</t>
  </si>
  <si>
    <t>Cerebras CG-3 Max</t>
  </si>
  <si>
    <t>https://youtu.be/f4Dly8I8lMY?si=8BGSFcjOJAA7gvck&amp;t=312</t>
  </si>
  <si>
    <t>https://youtu.be/f4Dly8I8lMY?si=8BGSFcjOJAA7gvck&amp;t=313</t>
  </si>
  <si>
    <t>https://youtu.be/f4Dly8I8lMY?si=8BGSFcjOJAA7gvck&amp;t=314</t>
  </si>
  <si>
    <t>https://youtu.be/f4Dly8I8lMY?si=8BGSFcjOJAA7gvck&amp;t=315</t>
  </si>
  <si>
    <t>https://youtu.be/f4Dly8I8lMY?si=8BGSFcjOJAA7gvck&amp;t=316</t>
  </si>
  <si>
    <t>https://youtu.be/f4Dly8I8lMY?si=8BGSFcjOJAA7gvck&amp;t=317</t>
  </si>
  <si>
    <t>https://youtu.be/f4Dly8I8lMY?si=8BGSFcjOJAA7gvck&amp;t=318</t>
  </si>
  <si>
    <t>https://youtu.be/f4Dly8I8lMY?si=8BGSFcjOJAA7gvck&amp;t=319</t>
  </si>
  <si>
    <t>https://youtu.be/f4Dly8I8lMY?si=_aUlUAhNMdYrefns&amp;t=226</t>
  </si>
  <si>
    <t>https://youtu.be/f4Dly8I8lMY?si=OVcMoq-krVAlqpfC&amp;t=325</t>
  </si>
  <si>
    <t>https://youtu.be/f4Dly8I8lMY?si=g-SYMUXUxv4HcAJb&amp;t=412</t>
  </si>
  <si>
    <t>FP4</t>
  </si>
  <si>
    <t>Inference</t>
  </si>
  <si>
    <t>https://www.youtube.com/live/Y2F8yisiS6E?si=ocno6gA4RGGgdL4y&amp;t=1632</t>
  </si>
  <si>
    <t>https://www.youtube.com/live/Y2F8yisiS6E?si=ocno6gA4RGGgdL4y&amp;t=1634</t>
  </si>
  <si>
    <t>https://www.youtube.com/live/Y2F8yisiS6E?si=ocno6gA4RGGgdL4y&amp;t=1635</t>
  </si>
  <si>
    <t>https://www.youtube.com/live/Y2F8yisiS6E?si=ocno6gA4RGGgdL4y&amp;t=1640</t>
  </si>
  <si>
    <t>https://www.youtube.com/live/Y2F8yisiS6E?si=xVVo7uADgXCg8scM&amp;t=1643</t>
  </si>
  <si>
    <t>https://www.youtube.com/live/Y2F8yisiS6E?si=xVVo7uADgXCg8scM&amp;t=1644</t>
  </si>
  <si>
    <t>https://www.youtube.com/live/Y2F8yisiS6E?si=xVVo7uADgXCg8scM&amp;t=1645</t>
  </si>
  <si>
    <t>https://www.youtube.com/live/Y2F8yisiS6E?si=xVVo7uADgXCg8scM&amp;t=1646</t>
  </si>
  <si>
    <t>https://www.youtube.com/live/Y2F8yisiS6E?si=xVVo7uADgXCg8scM&amp;t=1647</t>
  </si>
  <si>
    <t>Nvidia B100 Blackwell</t>
  </si>
  <si>
    <t>https://www.youtube.com/live/Y2F8yisiS6E?si=9Z5Da4BQy12XJ1mw&amp;t=1624</t>
  </si>
  <si>
    <t>https://www.youtube.com/live/Y2F8yisiS6E?si=9Z5Da4BQy12XJ1mw&amp;t=1625</t>
  </si>
  <si>
    <t>https://www.youtube.com/live/Y2F8yisiS6E?si=9Z5Da4BQy12XJ1mw&amp;t=1626</t>
  </si>
  <si>
    <t>https://www.youtube.com/live/Y2F8yisiS6E?si=9Z5Da4BQy12XJ1mw&amp;t=1627</t>
  </si>
  <si>
    <t>https://www.youtube.com/live/Y2F8yisiS6E?si=9Z5Da4BQy12XJ1mw&amp;t=1628</t>
  </si>
  <si>
    <t>https://www.youtube.com/live/Y2F8yisiS6E?si=9Z5Da4BQy12XJ1mw&amp;t=1629</t>
  </si>
  <si>
    <t>https://www.youtube.com/live/Y2F8yisiS6E?si=9Z5Da4BQy12XJ1mw&amp;t=1630</t>
  </si>
  <si>
    <t>https://www.youtube.com/live/Y2F8yisiS6E?si=9Z5Da4BQy12XJ1mw&amp;t=1631</t>
  </si>
  <si>
    <t>https://www.youtube.com/live/Y2F8yisiS6E?si=9Z5Da4BQy12XJ1mw&amp;t=1634</t>
  </si>
  <si>
    <t>https://www.youtube.com/live/Y2F8yisiS6E?si=9Z5Da4BQy12XJ1mw&amp;t=1635</t>
  </si>
  <si>
    <t>https://www.youtube.com/live/Y2F8yisiS6E?si=9Z5Da4BQy12XJ1mw&amp;t=1636</t>
  </si>
  <si>
    <t>https://www.youtube.com/live/Y2F8yisiS6E?si=9Z5Da4BQy12XJ1mw&amp;t=1640</t>
  </si>
  <si>
    <t>https://www.youtube.com/live/Y2F8yisiS6E?si=b2DWgOYESdhnDMJ9&amp;t=1697</t>
  </si>
  <si>
    <t>https://www.youtube.com/live/Y2F8yisiS6E?si=b2DWgOYESdhnDMJ9&amp;t=1698</t>
  </si>
  <si>
    <t>https://www.youtube.com/live/Y2F8yisiS6E?si=b2DWgOYESdhnDMJ9&amp;t=1699</t>
  </si>
  <si>
    <t>https://www.youtube.com/live/Y2F8yisiS6E?si=b2DWgOYESdhnDMJ9&amp;t=1700</t>
  </si>
  <si>
    <t>https://www.youtube.com/live/Y2F8yisiS6E?si=b2DWgOYESdhnDMJ9&amp;t=1702</t>
  </si>
  <si>
    <t>https://www.youtube.com/live/Y2F8yisiS6E?si=b2DWgOYESdhnDMJ9&amp;t=1703</t>
  </si>
  <si>
    <t>https://www.youtube.com/live/Y2F8yisiS6E?si=b2DWgOYESdhnDMJ9&amp;t=1704</t>
  </si>
  <si>
    <t>https://www.youtube.com/live/Y2F8yisiS6E?si=b2DWgOYESdhnDMJ9&amp;t=1705</t>
  </si>
  <si>
    <t>https://www.youtube.com/live/Y2F8yisiS6E?si=b2DWgOYESdhnDMJ9&amp;t=1706</t>
  </si>
  <si>
    <t>https://www.youtube.com/live/Y2F8yisiS6E?si=b2DWgOYESdhnDMJ9&amp;t=1707</t>
  </si>
  <si>
    <t>https://www.youtube.com/live/Y2F8yisiS6E?si=b2DWgOYESdhnDMJ9&amp;t=1710</t>
  </si>
  <si>
    <t>https://www.youtube.com/live/Y2F8yisiS6E?si=vDsvaOjBP9A7pyv8&amp;t=1743</t>
  </si>
  <si>
    <t>https://www.youtube.com/live/Y2F8yisiS6E?si=vDsvaOjBP9A7pyv8&amp;t=1744</t>
  </si>
  <si>
    <t>https://www.youtube.com/live/Y2F8yisiS6E?si=vDsvaOjBP9A7pyv8&amp;t=1745</t>
  </si>
  <si>
    <t>https://www.youtube.com/live/Y2F8yisiS6E?si=vDsvaOjBP9A7pyv8&amp;t=1746</t>
  </si>
  <si>
    <t>https://www.youtube.com/live/Y2F8yisiS6E?si=vDsvaOjBP9A7pyv8&amp;t=1747</t>
  </si>
  <si>
    <t>https://www.youtube.com/live/Y2F8yisiS6E?si=vDsvaOjBP9A7pyv8&amp;t=1748</t>
  </si>
  <si>
    <t>https://www.youtube.com/live/Y2F8yisiS6E?si=vDsvaOjBP9A7pyv8&amp;t=1749</t>
  </si>
  <si>
    <t>https://www.youtube.com/live/Y2F8yisiS6E?si=vDsvaOjBP9A7pyv8&amp;t=1750</t>
  </si>
  <si>
    <t>https://www.youtube.com/live/Y2F8yisiS6E?si=vDsvaOjBP9A7pyv8&amp;t=1751</t>
  </si>
  <si>
    <t>https://www.youtube.com/live/Y2F8yisiS6E?si=vDsvaOjBP9A7pyv8&amp;t=1752</t>
  </si>
  <si>
    <t>https://www.youtube.com/live/Y2F8yisiS6E?si=vDsvaOjBP9A7pyv8&amp;t=1753</t>
  </si>
  <si>
    <t>https://www.youtube.com/live/Y2F8yisiS6E?si=vDsvaOjBP9A7pyv8&amp;t=1754</t>
  </si>
  <si>
    <t>https://www.youtube.com/live/Y2F8yisiS6E?si=vDsvaOjBP9A7pyv8&amp;t=1755</t>
  </si>
  <si>
    <t>https://www.youtube.com/live/Y2F8yisiS6E?si=vDsvaOjBP9A7pyv8&amp;t=1756</t>
  </si>
  <si>
    <t>https://www.youtube.com/live/Y2F8yisiS6E?si=4u45id5C7SlHU8Wd&amp;t=1833</t>
  </si>
  <si>
    <t>Grok 1 by E. Musk's xAI</t>
  </si>
  <si>
    <t>https://github.com/xai-org/grok-1</t>
  </si>
  <si>
    <t xml:space="preserve">Intel Gaudi 3 </t>
  </si>
  <si>
    <t>https://venturebeat.com/ai/intel-gaudi-3-chip-launches-challenging-nvidia-enterprise-ai/</t>
  </si>
  <si>
    <t>GPU AI training &amp; inf.</t>
  </si>
  <si>
    <t>Intel® Gaudi® 3 AI Accelerator White Paper</t>
  </si>
  <si>
    <t>https://www.intel.com/content/www/us/en/content-details/817486/intel-gaudi-3-ai-accelerator-white-paper.html</t>
  </si>
  <si>
    <t>Chips for AI training and inference at datacenters</t>
  </si>
  <si>
    <t>Chips for consumer products</t>
  </si>
  <si>
    <t>Chips for AI inference in mobile devices like automobiles, military drones and humanoid robots</t>
  </si>
  <si>
    <t>My expectations for future chips and comparison with human brain and the inference compute cluster used to run ChatGTP-4</t>
  </si>
  <si>
    <t>Mar, 2024</t>
  </si>
  <si>
    <t>https://www.anthropic.com/news/claude-3-family</t>
  </si>
  <si>
    <t>Nemotron-4 by NVIDIA</t>
  </si>
  <si>
    <t>https://venturebeat.com/ai/nvidias-nemotron-4-340b-model-redefines-synthetic-data-generation-rivals-gpt-4/</t>
  </si>
  <si>
    <t>https://x.com/reach_vb/status/1801648142963577103?ref_src=twsrc%5Etfw%7Ctwcamp%5Etweetembed%7Ctwterm%5E1801662289780822100%7Ctwgr%5Ee356aa4e988e30c7664c1990e8512ba9b1bb4980%7Ctwcon%5Es3_&amp;ref_url=https%3A%2F%2Fventurebeat.com%2Fai%2Fnvidias-nemotron-4-340b-model-redefines-synthetic-data-generation-rivals-gpt-4%2F</t>
  </si>
  <si>
    <t>for inference</t>
  </si>
  <si>
    <t>https://www.cudocompute.com/blog/nvidias-blackwell-architecture-breaking-down-the-b100-b200-and-gb200</t>
  </si>
  <si>
    <t>FP32 CPU</t>
  </si>
  <si>
    <t>Nvidia GB200 CPU+2*GPU</t>
  </si>
  <si>
    <t>Nvidia GH200 CPU+GPU</t>
  </si>
  <si>
    <t>https://claude.ai/upgrade</t>
  </si>
  <si>
    <t>https://www.anthropic.com/claude</t>
  </si>
  <si>
    <t>https://en.wikipedia.org/wiki/Llama_(language_model)#Llama_3</t>
  </si>
  <si>
    <t>https://en.wikipedia.org/wiki/Llama_(language_model)#Llama_4</t>
  </si>
  <si>
    <t>https://en.wikipedia.org/wiki/Llama_(language_model)#Llama_5</t>
  </si>
  <si>
    <t>https://en.wikipedia.org/wiki/Llama_(language_model)#Llama_6</t>
  </si>
  <si>
    <t>https://en.wikipedia.org/wiki/Llama_(language_model)#Llama_7</t>
  </si>
  <si>
    <t>May, 2024</t>
  </si>
  <si>
    <t>https://openai.com/index/hello-gpt-4o/</t>
  </si>
  <si>
    <t>inference</t>
  </si>
  <si>
    <t>TFLOPS used</t>
  </si>
  <si>
    <t>Feb., 2023</t>
  </si>
  <si>
    <t>https://www.youtube.com/live/remZ1KMR_Z4?si=no6Vv_tRuJ4mI8W6&amp;t=4850</t>
  </si>
  <si>
    <t>See https://www.youtube.com/live/remZ1KMR_Z4?si=_l6vN4tX80U_YEw3&amp;t=4792 and see https://www.youtube.com/watch?v=3tV1KPkuiBI&amp;t=2145s</t>
  </si>
  <si>
    <t xml:space="preserve">see https://www.youtube.com/live/remZ1KMR_Z4?si=_l6vN4tX80U_YEw3&amp;t=4792 </t>
  </si>
  <si>
    <t>https://en.wikipedia.org/wiki/GPT-4o</t>
  </si>
  <si>
    <t>https://www.youtube.com/live/remZ1KMR_Z4?si=0MEFUZiNG85Inuls&amp;t=4879</t>
  </si>
  <si>
    <t>Q1, 2025</t>
  </si>
  <si>
    <t>https://x.com/elonmusk/status/1798007748728365503</t>
  </si>
  <si>
    <t>my best guess</t>
  </si>
  <si>
    <t>https://www.youtube.com/live/remZ1KMR_Z4?si=lK9tl764E1Ic6RBy&amp;t=4759</t>
  </si>
  <si>
    <t>Nvidia Spectrum X800 ultra</t>
  </si>
  <si>
    <t xml:space="preserve">Nvidia Spectrum X1600 </t>
  </si>
  <si>
    <t>https://www.youtube.com/live/pKXDVsWZmUU?si=9tNViPhyZS8vUo7f&amp;t=4747</t>
  </si>
  <si>
    <t>My pick. X800 Ultra is an ethernet spec that will work with any GPU</t>
  </si>
  <si>
    <t>My pick. X1600 is an ethernet spec that will work with any GPU</t>
  </si>
  <si>
    <t>https://www.tomshardware.com/pc-components/gpus/nvidias-next-gen-blackwell-ai-gpus-to-cost-up-to-dollar70000-fully-equipped-servers-range-up-to-dollar3000000-report</t>
  </si>
  <si>
    <t>Training of Grok multi-modal</t>
  </si>
  <si>
    <t>https://www.tomshardware.com/tech-industry/artificial-intelligence/elon-musks-xai-plans-to-build-gigafactory-of-compute-by-fall-2025-using-100000-nvidias-h100-gpus</t>
  </si>
  <si>
    <t>Training of FSD AI model</t>
  </si>
  <si>
    <t>Training of FSD AI m. HW3</t>
  </si>
  <si>
    <t>D1, Dojo</t>
  </si>
  <si>
    <t>Tesla FSD HW3 training  c. Fremont</t>
  </si>
  <si>
    <t>Tesla FSD HW4 training c. Austin</t>
  </si>
  <si>
    <t>Tesla FSD HW3 training c. Dojo2</t>
  </si>
  <si>
    <t>A) Conversion rate between GB of VRAM and billion of parameters in possible &gt;&gt;AI LLM type model&lt;&lt; as represented by Meta's Llama</t>
  </si>
  <si>
    <t>https://resources.nvidia.com/en-us-blackwell-architecture</t>
  </si>
  <si>
    <t xml:space="preserve"># of </t>
  </si>
  <si>
    <t>NVIDIA, X800 ultra GB200</t>
  </si>
  <si>
    <t>May, 2023</t>
  </si>
  <si>
    <t>Mar., 2024</t>
  </si>
  <si>
    <t>Volume 2025</t>
  </si>
  <si>
    <t xml:space="preserve"> AI computation</t>
  </si>
  <si>
    <t>OpenAI, GPT-4, A100</t>
  </si>
  <si>
    <t>see https://www.youtube.com/live/remZ1KMR_Z4?si=_l6vN4tX80U_YEw3&amp;t=4793</t>
  </si>
  <si>
    <t>https://www.substratus.ai/blog/calculating-gpu-memory-for-llm/</t>
  </si>
  <si>
    <t>SoC / phones</t>
  </si>
  <si>
    <t>Nvidia GB200</t>
  </si>
  <si>
    <t>Tesla FSD HW3 training cluster 1</t>
  </si>
  <si>
    <t>Google, PaLM training cluster</t>
  </si>
  <si>
    <t xml:space="preserve">Nvidia max config X800 </t>
  </si>
  <si>
    <t>Upload</t>
  </si>
  <si>
    <t>&gt;16,000</t>
  </si>
  <si>
    <t>36 GB200</t>
  </si>
  <si>
    <t>Alternative source likely factory prices 1TB of RAM is 1088 USD in 2022</t>
  </si>
  <si>
    <t>My speculation</t>
  </si>
  <si>
    <t>Alternative source likely factory prices 1TB of RAM is 1088 USD in 2023</t>
  </si>
  <si>
    <t xml:space="preserve">Claude 3 Opus by Anthropic </t>
  </si>
  <si>
    <t>https://youtu.be/8VXlseU6iYM?si=TWC337MHXjd5zyXE&amp;t=1293</t>
  </si>
  <si>
    <t>Feb., 2024</t>
  </si>
  <si>
    <t>Gemini 1.5 Pro by Google</t>
  </si>
  <si>
    <t>https://en.wikipedia.org/wiki/Gemini_(language_model)#Updates</t>
  </si>
  <si>
    <t>https://gemini.google.com/app</t>
  </si>
  <si>
    <t>https://youtu.be/8VXlseU6iYM?si=9iJy-LvpBecrIAXA&amp;t=1293</t>
  </si>
  <si>
    <t>https://youtu.be/8VXlseU6iYM?si=uNznDrt-Cd3DoSrH&amp;t=1293</t>
  </si>
  <si>
    <t>see https://youtu.be/1WOjjgyZPj8?si=f4KA-OE7e2eDaO-h&amp;t=4444  also this is a mixture of expert model that will have more lines of code a set for each expert</t>
  </si>
  <si>
    <t>mixture-of-experts</t>
  </si>
  <si>
    <t>Jan.,2024</t>
  </si>
  <si>
    <t>Meta supercomputer H100 based</t>
  </si>
  <si>
    <t>Meta supercomputer AI300 based</t>
  </si>
  <si>
    <t>https://www.tomshardware.com/tech-industry/meta-will-have-350000-of-nvidias-fastest-ai-gpus-by-end-of-year-buying-amds-mi300-too</t>
  </si>
  <si>
    <t>Training &amp; inference Llama</t>
  </si>
  <si>
    <t>Likely just inference Llama</t>
  </si>
  <si>
    <t>High bandwidth memory (HBM) is what is needed to store the parameters of an AI model. It is not the normal DDR5 RAM that is priced above.</t>
  </si>
  <si>
    <t>HBM RAM cost 5 times as much as ordinary DDR5 RAM</t>
  </si>
  <si>
    <t>Source:</t>
  </si>
  <si>
    <t>https://www.tomshardware.com/pc-components/gpus/explosive-hbm-demand-fueling-an-expected-20-increase-in-ddr5-memory-pricing-demand-for-ai-gpus-drives-production-cuts-for-standard-pc-memory</t>
  </si>
  <si>
    <t>GB200 with 32TB extra HBM RAM</t>
  </si>
  <si>
    <t>USD in 2023</t>
  </si>
  <si>
    <t>Cost plus profit margin for 1TB DDR5 RAM</t>
  </si>
  <si>
    <t>millions</t>
  </si>
  <si>
    <t>A human sized body will not have a big battery so 100W for brain and 50W for rest of body is it.</t>
  </si>
  <si>
    <t>36 Nvidia GB200</t>
  </si>
  <si>
    <t>Likely 10,000</t>
  </si>
  <si>
    <t>assuming the number of chips is same as for GTP-4 training. This is likely not true. Would be more likely that the training cluster is much larger like 50,000 H100 or 100,000 H100</t>
  </si>
  <si>
    <t>See calculation for explanation. This is my expectation because Nvidia has said the Thor is based on Blackwell and it also got a CPU so based on the GB200 chip structure</t>
  </si>
  <si>
    <t>Jun., 2024</t>
  </si>
  <si>
    <t>Not announced but very doable with existing chips and HBM</t>
  </si>
  <si>
    <t>Not announced but very doable with existing GB200 chipset and HBM RAM</t>
  </si>
  <si>
    <t xml:space="preserve">AMD AI300/H100 </t>
  </si>
  <si>
    <t>Chip used is AMD AI300 but expressed in terms of H100 equivalents https://www.tomshardware.com/tech-industry/meta-will-have-350000-of-nvidias-fastest-ai-gpus-by-end-of-year-buying-amds-mi300-too</t>
  </si>
  <si>
    <t>Think of it as a synthetic human being</t>
  </si>
  <si>
    <t>LLM text to text</t>
  </si>
  <si>
    <t xml:space="preserve">However, we need 32TB of RAM to run an AGI AI model </t>
  </si>
  <si>
    <t xml:space="preserve">This source is no longer saying that 3Watt is needed per 8GB of DDR4. They changed the text to something different. </t>
  </si>
  <si>
    <t>Watt per 1GB of HBM3 RAM</t>
  </si>
  <si>
    <t xml:space="preserve"> -300,000BC</t>
  </si>
  <si>
    <t xml:space="preserve"> -2,000,000BC</t>
  </si>
  <si>
    <t>Human brain</t>
  </si>
  <si>
    <t>Bits/second</t>
  </si>
  <si>
    <t>Calculating the human brain memory bandwidth for speech in bits/seconds</t>
  </si>
  <si>
    <t>using best FP</t>
  </si>
  <si>
    <t>best FP</t>
  </si>
  <si>
    <t>Dec., 2019</t>
  </si>
  <si>
    <t>Orin</t>
  </si>
  <si>
    <t>Musk said HW4 uses about 200 watt. I presume that is for full system and only 100 watt is used for HW4 chip see https://www.youtube.com/live/remZ1KMR_Z4?si=0MEFUZiNG85Inuls&amp;t=4879      and  https://www.youtube.com/watch?v=3ZoP1GCNwYE&amp;t=590s</t>
  </si>
  <si>
    <t>HW4-FSD</t>
  </si>
  <si>
    <t>I assume it is the same as bandwidth for Nvidia Orin</t>
  </si>
  <si>
    <t>All Tesla BEVs HW4</t>
  </si>
  <si>
    <t>https://youtu.be/FHhrN-GXrF8?si=SLSweYe6vRFKpDos&amp;t=111</t>
  </si>
  <si>
    <t>&lt;2000?</t>
  </si>
  <si>
    <t>Meta, H100</t>
  </si>
  <si>
    <t># of AGI brains if</t>
  </si>
  <si>
    <t>1 brain is TFLOPS</t>
  </si>
  <si>
    <t>in flops</t>
  </si>
  <si>
    <t>Sources:</t>
  </si>
  <si>
    <t xml:space="preserve">Sources: </t>
  </si>
  <si>
    <t>Set by me see note</t>
  </si>
  <si>
    <t>see note</t>
  </si>
  <si>
    <t>Fujitsu</t>
  </si>
  <si>
    <t>https://www.tomshardware.com/news/nvidia-to-reportedly-triple-output-of-compute-gpus-in-2024-up-to-2-million-h100s</t>
  </si>
  <si>
    <t>calc.</t>
  </si>
  <si>
    <t>Will be increasingly difficult to maintain a high growth rate in production as new chipfactories will have to be build and that takes time even if the money is there for investment</t>
  </si>
  <si>
    <t>Eventually the price will start to fall for AI chips as production rams up</t>
  </si>
  <si>
    <t xml:space="preserve">TFLOPS </t>
  </si>
  <si>
    <t xml:space="preserve">for one AI </t>
  </si>
  <si>
    <t>chipset</t>
  </si>
  <si>
    <t>H100 follow link</t>
  </si>
  <si>
    <t>GB200 follow link</t>
  </si>
  <si>
    <t>growth is zero because I change chip from H100 to GB200 that has 2 GPUs on the chipset so in reality 100% growth in 2025</t>
  </si>
  <si>
    <t>globally</t>
  </si>
  <si>
    <t>For simplicity we assume Nvidia is the entire Global market for AI chipset. That is not true as there are other prroducers but their market share is minimal currently see source for nvidia https://the-decoder.com/nvidias-h100-gpu-sells-like-hot-cakes-with-high-profit-margins/</t>
  </si>
  <si>
    <t>if one is GB RAM</t>
  </si>
  <si>
    <t>if one is TFLOPS</t>
  </si>
  <si>
    <t>assuming chipsets are replaced every 6 years</t>
  </si>
  <si>
    <t>follow link as demand for compute increases so will global electrisity consumption and more of the economy will be automated with compute and android robots that at first will be remote controlled from datacenters.</t>
  </si>
  <si>
    <t>15% is my guess what is possible for long-term economic growth in our solar system as long as there is materials to mine for industial use</t>
  </si>
  <si>
    <t>follow link. Solar and wind power is already cheapest electricity and it will continue to drop in price and be preferred for expansion of electricity production</t>
  </si>
  <si>
    <t>Watt use</t>
  </si>
  <si>
    <t>one AI</t>
  </si>
  <si>
    <t>USD for</t>
  </si>
  <si>
    <t>assuming GDP growth will increase after the first AGI start to run the corporations</t>
  </si>
  <si>
    <t>further increase in economic growth as a significant number of AGI controlled androids start to work</t>
  </si>
  <si>
    <t>even more AGI controlled androids increase production</t>
  </si>
  <si>
    <t>and more AGI controlled robots enter production</t>
  </si>
  <si>
    <t xml:space="preserve">Global power </t>
  </si>
  <si>
    <t>for AI compute</t>
  </si>
  <si>
    <t>in million watt</t>
  </si>
  <si>
    <t>for AI in TWh</t>
  </si>
  <si>
    <t>Global use</t>
  </si>
  <si>
    <t>FP8</t>
  </si>
  <si>
    <t>6 years rolling</t>
  </si>
  <si>
    <t>assuming AI chips last 6 years on average before decommissioning</t>
  </si>
  <si>
    <t>xAI Grok training, 100k H100</t>
  </si>
  <si>
    <t>xAI Grok training, 300k B200</t>
  </si>
  <si>
    <t>June, 2024</t>
  </si>
  <si>
    <t>https://x.com/elonmusk/status/1797382701541990841</t>
  </si>
  <si>
    <t>Q4, 2024</t>
  </si>
  <si>
    <t>Q3, 2025?</t>
  </si>
  <si>
    <t>xAI, H100</t>
  </si>
  <si>
    <t>Nvidia B200 Blackwell</t>
  </si>
  <si>
    <t>https://www.tomshardware.com/pc-components/gpus/nvidias-next-gen-ai-gpu-revealed-blackwell-b200-gpu-delivers-up-to-20-petaflops-of-compute-and-massive-improvements-over-hopper-h100</t>
  </si>
  <si>
    <t>Nvidia B200</t>
  </si>
  <si>
    <t>Price in USD</t>
  </si>
  <si>
    <t>assumed in between previous numbers</t>
  </si>
  <si>
    <t>Follow link same as my expected growth for economy. At 80 plus billion USD a year in 2029 for a new supercomputer no country or tech company can afford to build something much larger every year or every second year so assuming growth drops to general economic growth seams most reasonably.</t>
  </si>
  <si>
    <t>xAI is leasing H100 chips from Oracle cloud services see https://the-decoder.com/elon-musk-delays-grok-2-ai-model-to-august-promises-grok-3-by-end-of-year/</t>
  </si>
  <si>
    <t>First AGI? Ray Kurzweil</t>
  </si>
  <si>
    <t>Singularity? Ray Kurzweil</t>
  </si>
  <si>
    <t>not supported chip only do FP16</t>
  </si>
  <si>
    <t>not supported chip only do FP17</t>
  </si>
  <si>
    <t>AI supercomputers including forthcoming and comparison with human brain and some inference computers</t>
  </si>
  <si>
    <t>in one SC</t>
  </si>
  <si>
    <t xml:space="preserve">Number of </t>
  </si>
  <si>
    <t>AI chipsets</t>
  </si>
  <si>
    <t>Price of</t>
  </si>
  <si>
    <t>of 1 SC</t>
  </si>
  <si>
    <t>in price</t>
  </si>
  <si>
    <t>watt used</t>
  </si>
  <si>
    <t xml:space="preserve">Million </t>
  </si>
  <si>
    <t>Supercomputer (SC)</t>
  </si>
  <si>
    <t>one SC in</t>
  </si>
  <si>
    <t>on Earth. Annual</t>
  </si>
  <si>
    <t>growth is 0.83%</t>
  </si>
  <si>
    <t xml:space="preserve">New global </t>
  </si>
  <si>
    <t>Growth 2023 to 2029</t>
  </si>
  <si>
    <t>Growth 2029 to 2045</t>
  </si>
  <si>
    <t>chipsets sold</t>
  </si>
  <si>
    <t>for one</t>
  </si>
  <si>
    <t>per year</t>
  </si>
  <si>
    <t>available for AI</t>
  </si>
  <si>
    <t>growth in</t>
  </si>
  <si>
    <t>Growth 1993 to 2023</t>
  </si>
  <si>
    <t>Ann 4.66%</t>
  </si>
  <si>
    <t>GDP growth</t>
  </si>
  <si>
    <t># of new AI</t>
  </si>
  <si>
    <t>Growth 1989 to 2023</t>
  </si>
  <si>
    <t>Power for</t>
  </si>
  <si>
    <t>new compute</t>
  </si>
  <si>
    <t>Assumed</t>
  </si>
  <si>
    <t>for one AI</t>
  </si>
  <si>
    <t>Growth 2023 to 2045</t>
  </si>
  <si>
    <t>growth is zero because I change chip from H100 to GB200 that has 2 GPUs on the chipset instead of 1 so in reality 100% growth in 2025</t>
  </si>
  <si>
    <t>TB RAM</t>
  </si>
  <si>
    <t># of humans on</t>
  </si>
  <si>
    <t>Earth. Annual</t>
  </si>
  <si>
    <t>Global AI chip sales and their global electricity comsumption and impact on global GDP growth</t>
  </si>
  <si>
    <t>Future AI supercomputers (SC) by year operational and their compute power to human compute power</t>
  </si>
  <si>
    <t>sales</t>
  </si>
  <si>
    <t xml:space="preserve">Options left are larger dies </t>
  </si>
  <si>
    <t>better designs and materials</t>
  </si>
  <si>
    <t>19^2 nm per transistor</t>
  </si>
  <si>
    <t>per chipset</t>
  </si>
  <si>
    <t>Best TFLOPS</t>
  </si>
  <si>
    <t>Moore's law</t>
  </si>
  <si>
    <t>per chipset &amp;</t>
  </si>
  <si>
    <t>for compute</t>
  </si>
  <si>
    <t>Global AI chip sales, value and their compute power to human compute power</t>
  </si>
  <si>
    <t>Growth 1991 to 2018</t>
  </si>
  <si>
    <t>Growth 1994 to 2023</t>
  </si>
  <si>
    <t xml:space="preserve">Conclusion for every 1 billion parameters in image diffusion model </t>
  </si>
  <si>
    <t>GB RAM needed 16GB CPU and 8 GB GPU RAM</t>
  </si>
  <si>
    <t>AI models that are predominantly LLMs (Large Language Models) or text to text</t>
  </si>
  <si>
    <t>AI models that are predominantly image or video based</t>
  </si>
  <si>
    <t>billion neurons for Mouse brain</t>
  </si>
  <si>
    <t>https://www.frontiersin.org/journals/neuroinformatics/articles/10.3389/fninf.2018.00084/full</t>
  </si>
  <si>
    <t>Chimpanzee 33% of human brain</t>
  </si>
  <si>
    <t>calculated follow links</t>
  </si>
  <si>
    <t>Follow link for explanation, also see sources below table.</t>
  </si>
  <si>
    <t>-14,000,000BC</t>
  </si>
  <si>
    <t>https://worldostats.com/mice-population-by-country-2024/</t>
  </si>
  <si>
    <t>https://biomedgrid.com/pdf/AJBSR.MS.ID.000946.pdf</t>
  </si>
  <si>
    <t>5 billion alive</t>
  </si>
  <si>
    <t>minutes in an hour</t>
  </si>
  <si>
    <t>years</t>
  </si>
  <si>
    <t>Number of words in that book</t>
  </si>
  <si>
    <t>GB in an hour 480p, 0.2fps video human brain memory, H264 (Canon 5D MkII)</t>
  </si>
  <si>
    <t>Mbps</t>
  </si>
  <si>
    <t>GB in an hour 4k/60fps video 4K60, Wide FOV, H.265 GoPro</t>
  </si>
  <si>
    <t>bits in a byte</t>
  </si>
  <si>
    <t>https://www.macxdvd.com/gopro-video-processing/gopro-video-size-calculator.htm</t>
  </si>
  <si>
    <t>Number of pages in book that will take 16 years of reading non-stop</t>
  </si>
  <si>
    <t xml:space="preserve">Number of 300 pages books </t>
  </si>
  <si>
    <t>GB in an hour 1080p/1fps video H264 (Canon 7D)</t>
  </si>
  <si>
    <t># of seconds in 16 years or images in a 1fps video</t>
  </si>
  <si>
    <t># of images in 16 years of 60fps video</t>
  </si>
  <si>
    <t>GB in 1 hour of CD quality audio 16 bit, 48kHz, mono</t>
  </si>
  <si>
    <t>Text file size reading 1 page per min. for 16 years non-stop (28,000 books at 300 pages each)</t>
  </si>
  <si>
    <t>https://en.wikipedia.org/wiki/List_of_animals_by_number_of_neurons#Forebrain_(cerebrum_or_pallium)_only</t>
  </si>
  <si>
    <t>billion neurons for dog (German Shepherd)</t>
  </si>
  <si>
    <t>https://northernlightswildlife.com/learn-about-wolves/</t>
  </si>
  <si>
    <t>0.9 billion</t>
  </si>
  <si>
    <t>https://worldanimalfoundation.org/dogs/how-many-dogs-are-in-the-world/#:~:text=Dogs%20Population%20Statistics%201%20There%20Are%20900%20Million,Worldwide%20Is%20Almost%2070%25%20%28Nature%29%20...%20More%20items</t>
  </si>
  <si>
    <t>Dog/wolf brain 4.1% of human brain</t>
  </si>
  <si>
    <t>Mouse brain 0.08% of human brain</t>
  </si>
  <si>
    <t>Dogs train their neural networks constantly through life although the ability to do it effectively decreases with age.</t>
  </si>
  <si>
    <t>Dogs do not live as long as humans</t>
  </si>
  <si>
    <t xml:space="preserve"> -2,500,000BC</t>
  </si>
  <si>
    <t>Dog/wolf brain</t>
  </si>
  <si>
    <t>Computers used for training (estimation of parameters) in AI models</t>
  </si>
  <si>
    <t>Computers used for inference of AI models i.e. running finished models</t>
  </si>
  <si>
    <t>Vision input to driver control</t>
  </si>
  <si>
    <t>8000 USD</t>
  </si>
  <si>
    <t>Cost of FSD service https://www.tesla.com/model3/design#overview</t>
  </si>
  <si>
    <t>Nvidia GB200 NVL72 training cluster</t>
  </si>
  <si>
    <t>Llama 3.1, 405B by Meta</t>
  </si>
  <si>
    <t>July, 2024</t>
  </si>
  <si>
    <t>https://ai.meta.com/blog/meta-llama-3-1/</t>
  </si>
  <si>
    <t>Llama 3.1, 8B by Meta</t>
  </si>
  <si>
    <t>HM estimate that one NVIDIA GB200 chipset with an extra 30TB of HBM (high bandwidth memory) is sufficient to run a system of AI models that combined will constitute AGI or artificial general intelligence. AGI is here defined as an AI system that can perform all the types of thinking that a human brain can do and thus be able to substitute humans in all jobs that are non-physical. In other words, if we knew how to code such an AGI system and we do not as of 2024 that code could run a full AGI system on the specified hardware that could easily be made by NVIDIA in volume in 2025.</t>
  </si>
  <si>
    <t>Minimum computer to run AGI</t>
  </si>
  <si>
    <t>HM expect that by 2045 (the year Ray Kurzweil expect the technological singularity will happen) robotics and computer science will have developed to a point where it is possible to make a humanoid robot that has AGI level intelligence build in (not remote controlled from a large computer in a datacenter) and that can physically perform at least as well as a human being. In other words, this will be the first non-biological humanoid species that could live independent of human effort and society and be able to build their own civilizations for instance on Mars or other planet and moons in our solar system and beyond.</t>
  </si>
  <si>
    <t>Raymond Kurzweil 2009 slide 20 estimate 10^19 FLOPS are needed to simulate a complete human brain in a supercomputer for brain uploading. Ray K. also has a lower estimate of 2*10^16 or 20,000 TFLOPS that uses 100 billion neurons*1000 synapses *200 firings per second and call that estimate the needed compute for functional brain simulation</t>
  </si>
  <si>
    <t>Best source is Geoffrey Hinton one of the founders of AI and a scientist. He said we used to equate synapses of human brain with model parameters but he argue that AI parameters are obviously much better at storing and understanding data than human parameters because GPT4 knows 1000s of time more general knowledge than human despite only having 1 to 2 trillion parameters versus 100 trillion synapses for human brain</t>
  </si>
  <si>
    <t>13000 Tflops is enough for the compute and by 2029 the H100 3rd gen can easily do that</t>
  </si>
  <si>
    <t>hours of maintenance and charging</t>
  </si>
  <si>
    <t>Bytes is used for measuring hard drive space and bit is most often used for measuring communication speed</t>
  </si>
  <si>
    <t>Stable Diffusion XL by Stability AI</t>
  </si>
  <si>
    <t>Audio file size listening 16 years non-stop at 16-bit, 48kHz, non-compressed</t>
  </si>
  <si>
    <t>Microsoft published a paper about this model that has since been retracted likely because they want to keep it a secret that new GTP 3.5 is only using 20B parameters.</t>
  </si>
  <si>
    <t>This is the same kind of model as Stable diffusion model so it needs 1 A100 for inference for that size of parameter count and resulting memory demand</t>
  </si>
  <si>
    <t>free in google services like YouTube and Assistant and Chrome browser</t>
  </si>
  <si>
    <t>The AGI androids will be able to train themself by being observant and by downloading premade AI sub models for specific skill acquisition. The world in 2045 will be very affluent. Economy could be created by trillions of robots of all sorts controlled by AGI androids also of all sorts containing larger or smaller ai model systems with more or less compute power.</t>
  </si>
  <si>
    <t>13000 Tflops is enough for the compute and Nvidia GB200 can easily do that at 40000 Tflops</t>
  </si>
  <si>
    <t>When I ask Claude 3.5 sonnet about watt use for 1 GB of HBM3 it say about 0.5 watt but it is unable to provide a source</t>
  </si>
  <si>
    <t>Important: Vision AI models are so far much smaller than LLM AI models. The former typically has 4B parameters at most but LLMs has 100B parameters. This is why I use a different conversion between parameter count and unified memory for dependent on the kind of job the chip is intended to perform with respect to AI models</t>
  </si>
  <si>
    <t>GPU AI inference</t>
  </si>
  <si>
    <t>Microsoft Project Athena</t>
  </si>
  <si>
    <t>Human brain is 237 X more energy efficient</t>
  </si>
  <si>
    <t>Doable 2025</t>
  </si>
  <si>
    <t>calculated assuming visual AI model</t>
  </si>
  <si>
    <t xml:space="preserve">Cerebras only has support for FP16 calculations. But Nvidia is able to double the TFLOPS every time the FP bit scale is cut in half so Cerebras could do the same for future wafer chips. </t>
  </si>
  <si>
    <t>Nvidia has said Thor is based on Blackwell and Blackwell can do FP4 that will have 2X the compute of FP8 see press release https://nvidianews.nvidia.com/news/nvidia-unveils-drive-thor-centralized-car-computer-unifying-cluster-infotainment-automated-driving-and-parking-in-a-single-cost-saving-system</t>
  </si>
  <si>
    <t>Billion PA./GB</t>
  </si>
  <si>
    <t>Flash memory is not the same as RAM memory and it uses less transistors than RAM for 1 GB see sheet "Calc Moore's law"</t>
  </si>
  <si>
    <t>FSD HW4 training Giga Texas</t>
  </si>
  <si>
    <t>Cerebras CG-1</t>
  </si>
  <si>
    <t>Cerebras Condor Galaxy 3</t>
  </si>
  <si>
    <t>doable 2024</t>
  </si>
  <si>
    <t>doable 2025</t>
  </si>
  <si>
    <t>doable 2026</t>
  </si>
  <si>
    <t>OpenAI are know to use Nvidia A100 chips for training and inference. That chip came out in 2020 so OpenAI must have used it for inference since 2021</t>
  </si>
  <si>
    <t>The point of only considering the forebrain is that it is responsible for thought. The rest of the brain is about processing the sensory input from the body. However, if body is not needed because we just need a large hyperintelligent thinking machine then we can ignore energy use from body and part of the brain controlling body.</t>
  </si>
  <si>
    <t>Many kinds of chips will be needed for memory and different kinds of compute</t>
  </si>
  <si>
    <t>follow link H100. Note that in spreadsheet for supercomputers I have delayed the time by 1 year that H100 is used because production of H100 comes before the deployment of the H100 supercomputers. This is why GB RAM for one chipset do not match year by year in table for production of AI chips and table for deployment of supercomputers</t>
  </si>
  <si>
    <t>follow link GB200. Note that in spreadsheet for supercomputers I have delayed the time by 1 year that GB200 is used because production of GB200 comes before the deployment of the GB200 supercomputers. This is why GB RAM for one chipset do not match year by year in table for production of AI chips and table for deployment of supercomputers</t>
  </si>
  <si>
    <t>Note Nvidia fiscal year 2023 is the same as 2023 calendar year</t>
  </si>
  <si>
    <t>Will be increasingly difficult to maintain a high growth rate in production as new chip factories will have to be build and that takes time even if the money is there for investment</t>
  </si>
  <si>
    <t>End of Moore's law for electric ICs means the number of transistors will slow but still some design improvement and material changes may be possible so I estimate 15% growth is still possible for a while</t>
  </si>
  <si>
    <t>Moore's law is definitively dead for electronic ICs as production tech and material choice and designs are as good as it gets within the laws of physics</t>
  </si>
  <si>
    <t>Moore's law ends for</t>
  </si>
  <si>
    <t>Calculating Moore's law for nm process nodes</t>
  </si>
  <si>
    <t>Moore's law ends for electric computational ICs</t>
  </si>
  <si>
    <t>Moore's law ends for electric RAM ICs</t>
  </si>
  <si>
    <t>Moore's law ends for electric flash ICs</t>
  </si>
  <si>
    <t>GPT-4 inference cluster, 128*A100</t>
  </si>
  <si>
    <t>Calculating the human brain memory bandwidth for speech in bytes/seconds (bye = one character)</t>
  </si>
  <si>
    <t>Ideogram 1.0</t>
  </si>
  <si>
    <t>Feb, 2024</t>
  </si>
  <si>
    <t>https://about.ideogram.ai/1.0</t>
  </si>
  <si>
    <t>Free &amp; 7-$48</t>
  </si>
  <si>
    <t>https://ideogram.ai/t/explore</t>
  </si>
  <si>
    <t>https://ideogram.ai/pricing</t>
  </si>
  <si>
    <t>https://www.fahimai.com/ideogram-ai (source say it is based on stability XL, likely a finetuned version of it)</t>
  </si>
  <si>
    <t>assuming 2 Nvidia A100 is used to run inference. Should be enough given GB use</t>
  </si>
  <si>
    <t>follow link assuming  Nvidia A100 are used to run inference</t>
  </si>
  <si>
    <t>follow link assuming  Nvidia H100 are used to run inference</t>
  </si>
  <si>
    <t>assuming 1 Nvidia H100 is used to run inference. Should be enough given GB use</t>
  </si>
  <si>
    <t>https://huggingface.co/datasets/laion/laion2B-en (this page no longer exist because model is old and copyright issues may have forced a takedown)</t>
  </si>
  <si>
    <t>chips for</t>
  </si>
  <si>
    <t>Min. # of</t>
  </si>
  <si>
    <t>likely chip used for inference</t>
  </si>
  <si>
    <t xml:space="preserve">Status </t>
  </si>
  <si>
    <t>LLM text to text, V100</t>
  </si>
  <si>
    <t>Public</t>
  </si>
  <si>
    <t>LLM text to text, A100</t>
  </si>
  <si>
    <t>Multi-modal, text, images, A100</t>
  </si>
  <si>
    <t>GPT-4 variant, A100</t>
  </si>
  <si>
    <t>Multi-modal, H100</t>
  </si>
  <si>
    <t>MS Edge</t>
  </si>
  <si>
    <t>Private</t>
  </si>
  <si>
    <t>Open-source</t>
  </si>
  <si>
    <t>Images processing, H100</t>
  </si>
  <si>
    <t>Speech to text &amp; trans., TPU v4i</t>
  </si>
  <si>
    <t>Go game playing, TPU v4i</t>
  </si>
  <si>
    <t>Speech to text &amp; trans., V100</t>
  </si>
  <si>
    <t>Amino acid chains to 3D protein structure, A100</t>
  </si>
  <si>
    <t>AI self driving cars robots, HW4</t>
  </si>
  <si>
    <t>AI self driving cars robots, Orin</t>
  </si>
  <si>
    <t xml:space="preserve">Vehicles robots </t>
  </si>
  <si>
    <t>Main use, description and</t>
  </si>
  <si>
    <t>OpenAI GPT-4o</t>
  </si>
  <si>
    <t>1 brain</t>
  </si>
  <si>
    <t>Copilot by MS</t>
  </si>
  <si>
    <t xml:space="preserve">Claude 1 by Anthropic </t>
  </si>
  <si>
    <t>Power use</t>
  </si>
  <si>
    <t>in watt for</t>
  </si>
  <si>
    <t>LLM text to text, TPU, v4i</t>
  </si>
  <si>
    <t>Ask or pplx-70b by Perplexity AI</t>
  </si>
  <si>
    <t>https://thenewstack.io/how-perplexitys-online-llm-was-inspired-by-freshllms-paper/?utm_referrer=https%3A%2F%2Fwww.perplexity.ai%2F</t>
  </si>
  <si>
    <t>Income USD</t>
  </si>
  <si>
    <t>from AI web</t>
  </si>
  <si>
    <t>Office, Edge</t>
  </si>
  <si>
    <t>Cost min.</t>
  </si>
  <si>
    <t>computer</t>
  </si>
  <si>
    <t>Not made yet</t>
  </si>
  <si>
    <t>Speculated possible</t>
  </si>
  <si>
    <t>assuming price is same as Nvidia A100 I have not been able to find source with actual price as it is no longer sold but same die zise as Nvidia A100</t>
  </si>
  <si>
    <t>https://www.seeedstudio.com/blog/2022/04/24/nvidia-orin-bring-your-next-gen-ai-products-with-jetson-agx-orin-and-nx-orin/</t>
  </si>
  <si>
    <t>An AGI android could work 24/7 without pain or need for sleep or pauses and with higher intelligence than a human</t>
  </si>
  <si>
    <t>Type of</t>
  </si>
  <si>
    <t>H100</t>
  </si>
  <si>
    <t>GB200</t>
  </si>
  <si>
    <t xml:space="preserve"> +H100</t>
  </si>
  <si>
    <t xml:space="preserve">For simplicity we assume Nvidia is the entire Global market for AI chipset. That is not true as there are other producers but their market share is minimal currently see source for nvidia https://the-decoder.com/nvidias-h100-gpu-sells-like-hot-cakes-with-high-profit-margins/ </t>
  </si>
  <si>
    <t>calculated from know Nvidia income and known Nvidia sales of H100. The resulting 56k USD is higher than the 33k USD that the H100 chip cost but Nvidia also sell other AI chips and network gear that is included in Nvidea revenue from AI chip sales</t>
  </si>
  <si>
    <t>https://www.theregister.com/2024/02/14/german_gh200_workstation/</t>
  </si>
  <si>
    <t>This is doable already in 2026 see spreadsheet AI_Supercomputers</t>
  </si>
  <si>
    <t>Nvidia X1600, millions GPUs</t>
  </si>
  <si>
    <t>power plant</t>
  </si>
  <si>
    <t>B.USD/GW</t>
  </si>
  <si>
    <t>wind power</t>
  </si>
  <si>
    <t>https://en.wikipedia.org/wiki/Cost_of_electricity_by_source</t>
  </si>
  <si>
    <t>I have assumed the cost of installed wind power falls by 5% per year which is what we see historically. Also I have taken the cost of on-shore wind power because it is already the most affodable kind of electricity</t>
  </si>
  <si>
    <t>The capacity factor for installed wind power is assumed to be 0.3 which imply we need to multiply cost per GW with 3.3</t>
  </si>
  <si>
    <t>Markup of installation cost by capacity factor for wind power of 30%</t>
  </si>
  <si>
    <t>30% cap. f.</t>
  </si>
  <si>
    <t>Cost of wind</t>
  </si>
  <si>
    <t xml:space="preserve"> used</t>
  </si>
  <si>
    <t xml:space="preserve"> in one SC</t>
  </si>
  <si>
    <t>Reality 2024</t>
  </si>
  <si>
    <t>sec</t>
  </si>
  <si>
    <t>min.</t>
  </si>
  <si>
    <t>https://www.amazon.com/KingSpec-Gen4x4-Speed-Internal-PCIe4-0/dp/B0C58GTGPM?th=1</t>
  </si>
  <si>
    <t>&lt;150</t>
  </si>
  <si>
    <t>15, 4 TB SSD disks doing 7.4GB/s each</t>
  </si>
  <si>
    <t xml:space="preserve">boot time </t>
  </si>
  <si>
    <t>minutes</t>
  </si>
  <si>
    <t>An android AGI will need about 15 * 4TB SSD drives or 60TB</t>
  </si>
  <si>
    <t>15 SSD drives at 7.4 GB/s is 111GB/s read speed https://www.amazon.com/KingSpec-Gen4x4-Speed-Internal-PCIe4-0/dp/B0C58GTGPM?th=1</t>
  </si>
  <si>
    <t>A high end SSD drive uses about 10Watt so 15 will use about 150watt see https://pcsite.co.uk/how-much-power-does-an-ssd-use/</t>
  </si>
  <si>
    <t>get it on Amazon</t>
  </si>
  <si>
    <t>Mar., 2023</t>
  </si>
  <si>
    <t>Nov, 2019</t>
  </si>
  <si>
    <t>https://en.wikipedia.org/wiki/GPT-1</t>
  </si>
  <si>
    <t>https://youtu.be/1WOjjgyZPj8?si=f4KA-OE7e2eDaO-h&amp;t=4440</t>
  </si>
  <si>
    <t>https://en.wikipedia.org/wiki/GPT-2</t>
  </si>
  <si>
    <t>https://youtu.be/1WOjjgyZPj8?si=f4KA-OE7e2eDaO-h&amp;t=4441</t>
  </si>
  <si>
    <t xml:space="preserve">GPT-1 by OpenAI </t>
  </si>
  <si>
    <t>Retired</t>
  </si>
  <si>
    <t>https://en.wikipedia.org/wiki/GPT-2#Performance_and_evaluation</t>
  </si>
  <si>
    <t>Jun, 2018</t>
  </si>
  <si>
    <t>https://towardsdatascience.com/large-language-models-gpt-1-generative-pre-trained-transformer-7b895f296d3b</t>
  </si>
  <si>
    <t>Ask Chat GPT</t>
  </si>
  <si>
    <t>Definitions and expectations about AGI from key researchers, business insiders and politicians</t>
  </si>
  <si>
    <t>Links to all sources are available in sources table below</t>
  </si>
  <si>
    <t>Key business insiders in AI</t>
  </si>
  <si>
    <t>Key politicians or dictators on AI</t>
  </si>
  <si>
    <t>Definition of AGI</t>
  </si>
  <si>
    <t>Definition of ASI</t>
  </si>
  <si>
    <t>When AGI</t>
  </si>
  <si>
    <t>When ASI</t>
  </si>
  <si>
    <t>Henrik Mathiesen</t>
  </si>
  <si>
    <t>HM on AI</t>
  </si>
  <si>
    <t>Main</t>
  </si>
  <si>
    <t>Stance on</t>
  </si>
  <si>
    <t>benefits</t>
  </si>
  <si>
    <t xml:space="preserve">risks and </t>
  </si>
  <si>
    <t>https://en.wikipedia.org/wiki/Ray_Kurzweil</t>
  </si>
  <si>
    <t>https://www.hmexperience.dk/</t>
  </si>
  <si>
    <t>Who they</t>
  </si>
  <si>
    <t xml:space="preserve">are by </t>
  </si>
  <si>
    <t>main source</t>
  </si>
  <si>
    <t>AI that can perform any cognitive task an educated human can, with the ability to learn and adapt like humans do</t>
  </si>
  <si>
    <t xml:space="preserve">Super optimistic. Humans will merge gradually with technology and over time become AGIs or ASIs themselves. Kurzweil consider AGIs and ASIs not to be meaningfully different from humans joust a more advanced and capable version of something that began with biological humans. </t>
  </si>
  <si>
    <t>Sep, 2024</t>
  </si>
  <si>
    <t>Omni, text, audio, vision, H100, can now reason towards final answer using a non-public agentic framework of interactions between specialized AI models and tools (like Wolfram mathematica, Google Earth etc)</t>
  </si>
  <si>
    <t>https://en.wikipedia.org/wiki/O1_(generative_pre-trained_transformer)</t>
  </si>
  <si>
    <t>inference calc. by GB ram needed for AI model and GB in available AI chip</t>
  </si>
  <si>
    <t>chip memory</t>
  </si>
  <si>
    <t>cluster memory</t>
  </si>
  <si>
    <t>LLM text to text, A100, destilled version of GPT-3.5</t>
  </si>
  <si>
    <t>My guess. Not public info. However, we know OpenAI has stated it is a smaller optimized model of GPT-4 like GPT-3.5 turbo was a destilled model of GPT-3.5 and GPT-3.5 turbo has leaked to be only 20B parametersand GTP-4 has leaked to be 1800B parameters. I maintain the relative strength of the destillation.</t>
  </si>
  <si>
    <t>Omni, text, audio, vision, H100. Destilled version of GPT-4. 4o likely stands for optimized GPT-4</t>
  </si>
  <si>
    <t>LLM text to text, V100. Compared to GPT-3 it is mostly the same system but with improvements made in training data quality and higher training compute and other modest architechtual improvements like fine tuning with better reinforced learning from human feedback</t>
  </si>
  <si>
    <t>never public</t>
  </si>
  <si>
    <t>$200 month</t>
  </si>
  <si>
    <r>
      <t>GPT-3.5-turbo by OpenAI,</t>
    </r>
    <r>
      <rPr>
        <sz val="11"/>
        <color theme="1"/>
        <rFont val="Calibri"/>
        <family val="2"/>
        <scheme val="minor"/>
      </rPr>
      <t xml:space="preserve"> destilled GPT-3</t>
    </r>
    <r>
      <rPr>
        <b/>
        <sz val="11"/>
        <color theme="1"/>
        <rFont val="Calibri"/>
        <family val="2"/>
        <scheme val="minor"/>
      </rPr>
      <t>.5</t>
    </r>
  </si>
  <si>
    <r>
      <t xml:space="preserve">GPT-4o by OpenAI, </t>
    </r>
    <r>
      <rPr>
        <sz val="11"/>
        <color theme="1"/>
        <rFont val="Calibri"/>
        <family val="2"/>
        <scheme val="minor"/>
      </rPr>
      <t>destilled GPT-4</t>
    </r>
  </si>
  <si>
    <r>
      <t>GPT-2 by OpenAI,</t>
    </r>
    <r>
      <rPr>
        <sz val="11"/>
        <color theme="1"/>
        <rFont val="Calibri"/>
        <family val="2"/>
        <scheme val="minor"/>
      </rPr>
      <t xml:space="preserve"> 13x bigger GPT-1</t>
    </r>
  </si>
  <si>
    <r>
      <rPr>
        <b/>
        <sz val="11"/>
        <color theme="1"/>
        <rFont val="Calibri"/>
        <family val="2"/>
        <scheme val="minor"/>
      </rPr>
      <t>GPT-3 by OpenAI</t>
    </r>
    <r>
      <rPr>
        <sz val="11"/>
        <color theme="1"/>
        <rFont val="Calibri"/>
        <family val="2"/>
        <scheme val="minor"/>
      </rPr>
      <t>, 116x bigger GPT-2</t>
    </r>
  </si>
  <si>
    <r>
      <t>GPT-4 by OpenAI,</t>
    </r>
    <r>
      <rPr>
        <sz val="11"/>
        <color theme="1"/>
        <rFont val="Calibri"/>
        <family val="2"/>
        <scheme val="minor"/>
      </rPr>
      <t xml:space="preserve"> 10X bigger GPT-3</t>
    </r>
  </si>
  <si>
    <t>my speculation</t>
  </si>
  <si>
    <t>I assume it is based on the system of AI models that OpenAI has developed for previous models specifically GPT-4o</t>
  </si>
  <si>
    <r>
      <t xml:space="preserve">OpenAI o1, </t>
    </r>
    <r>
      <rPr>
        <sz val="11"/>
        <color theme="1"/>
        <rFont val="Calibri"/>
        <family val="2"/>
        <scheme val="minor"/>
      </rPr>
      <t>GPT-4o with reasoning loops</t>
    </r>
  </si>
  <si>
    <t>https://www.creatosaurus.io/blog/openai-o1-preview-model</t>
  </si>
  <si>
    <t>Omni, text, audio, vision, B200, can now reason towards final answer using a non-public agentic framework of interactions between specialized AI models and tools (like Wolfram mathematica, Google Earth etc)</t>
  </si>
  <si>
    <t>Jun., 2020</t>
  </si>
  <si>
    <t>May, 2026</t>
  </si>
  <si>
    <t>Dec, 2026</t>
  </si>
  <si>
    <t>Sep, 2026</t>
  </si>
  <si>
    <t>Student model is 11% of teacher model</t>
  </si>
  <si>
    <r>
      <t>GPT-5,</t>
    </r>
    <r>
      <rPr>
        <sz val="11"/>
        <color theme="1"/>
        <rFont val="Calibri"/>
        <family val="2"/>
        <scheme val="minor"/>
      </rPr>
      <t xml:space="preserve"> 10x bigger GPT-4</t>
    </r>
    <r>
      <rPr>
        <b/>
        <sz val="11"/>
        <color theme="1"/>
        <rFont val="Calibri"/>
        <family val="2"/>
        <scheme val="minor"/>
      </rPr>
      <t xml:space="preserve"> </t>
    </r>
    <r>
      <rPr>
        <sz val="11"/>
        <color theme="1"/>
        <rFont val="Calibri"/>
        <family val="2"/>
        <scheme val="minor"/>
      </rPr>
      <t>my speculation</t>
    </r>
  </si>
  <si>
    <r>
      <t>GPT-6,</t>
    </r>
    <r>
      <rPr>
        <sz val="11"/>
        <color theme="1"/>
        <rFont val="Calibri"/>
        <family val="2"/>
        <scheme val="minor"/>
      </rPr>
      <t xml:space="preserve"> 10x bigger GPT-5</t>
    </r>
    <r>
      <rPr>
        <b/>
        <sz val="11"/>
        <color theme="1"/>
        <rFont val="Calibri"/>
        <family val="2"/>
        <scheme val="minor"/>
      </rPr>
      <t xml:space="preserve"> </t>
    </r>
    <r>
      <rPr>
        <sz val="11"/>
        <color theme="1"/>
        <rFont val="Calibri"/>
        <family val="2"/>
        <scheme val="minor"/>
      </rPr>
      <t>my speculation</t>
    </r>
  </si>
  <si>
    <t xml:space="preserve">Omni, text, audio, vision, B200, </t>
  </si>
  <si>
    <t>Omni, text, audio, vision, B200</t>
  </si>
  <si>
    <t>Was public, now retired</t>
  </si>
  <si>
    <t>$2000 month</t>
  </si>
  <si>
    <t>May, 2029</t>
  </si>
  <si>
    <t>Sep, 2029</t>
  </si>
  <si>
    <t>Dec, 2029</t>
  </si>
  <si>
    <t>Omni, text, audio, vision, B200. It will not be done on B200 but a future better chip that I can say much about. Will update table when we get to it</t>
  </si>
  <si>
    <t>Teacher model</t>
  </si>
  <si>
    <t>my speculation, 2029 coinsides with Raymond Kurzweil prediction of when we will get AGI</t>
  </si>
  <si>
    <t>I crudely assume that data input from 2 human eyes is 2X that of 4k, 60fps video and then add 1X more for sensory nerves input pain receptors on skin and inside body and add 1X more from metabolic sensory input so total input is 4X that of 4k, 60fps video</t>
  </si>
  <si>
    <t>At 16,000GB/s a computer can read information for thinking, communicating and learning 400,000 times faster than a human!!!!</t>
  </si>
  <si>
    <t>Price of HBM RAM per 1TB=1000GB</t>
  </si>
  <si>
    <t>It will never go public because it is too expensive to run  the inference. It will be used internally for training the destilled model. The destilled model  will become public first.</t>
  </si>
  <si>
    <t>Min. AGI computer GB200 +40TB HBM</t>
  </si>
  <si>
    <t>1GB200+40TB HBM</t>
  </si>
  <si>
    <t>services, etc</t>
  </si>
  <si>
    <t># of images in 16 years of 0.1fps video</t>
  </si>
  <si>
    <t>5000-10000?</t>
  </si>
  <si>
    <t>15000-30000?</t>
  </si>
  <si>
    <t>Video file size for FHD1080p, 0.1fps for 16 years non-stop, H264 or 50 million FHD images &gt;Max size human memory?&lt;</t>
  </si>
  <si>
    <t>Limiting factor for making an AGI android/artificial autonomous human is power and size of needed RAM not the CPU/GPU</t>
  </si>
  <si>
    <t>Motion, sensing, thought, etc.</t>
  </si>
  <si>
    <t>Human forebrain is 20% of all brain by neuron count. To get to parameter count we also need to multiply with average synapsis in forbrain and I could not find that number so just assumed it is the same as average brain at 3000 which may be a wrong number and also dependent on age of human</t>
  </si>
  <si>
    <t>billion neurons in human forebrain (cerebral cortex)</t>
  </si>
  <si>
    <t>billion neurons for African elephant</t>
  </si>
  <si>
    <t xml:space="preserve">billion neurons for African elephant only forebrain </t>
  </si>
  <si>
    <t>Important: All estimates of parameters in animals is based on the assumption that they are proportional with number of neuron count in animals. For that to be true we also need the average number of synapsis in a human brain to be the same in an animal. This will not be the case only very crudely but I have not been able to find data on animal synapsis count to make more accurate calculation.</t>
  </si>
  <si>
    <t>Human brain 100% functional simulation</t>
  </si>
  <si>
    <t>-4,000,000BC</t>
  </si>
  <si>
    <t>https://en.wikipedia.org/wiki/African_elephant</t>
  </si>
  <si>
    <t>https://www.youtube.com/watch?v=Y6Sgp7y178k&amp;t=177s</t>
  </si>
  <si>
    <t>calculated follow links see also https://www.youtube.com/watch?v=Y6Sgp7y178k&amp;t=177s</t>
  </si>
  <si>
    <r>
      <t xml:space="preserve">GPT-5o, </t>
    </r>
    <r>
      <rPr>
        <sz val="11"/>
        <color theme="1"/>
        <rFont val="Calibri"/>
        <family val="2"/>
        <scheme val="minor"/>
      </rPr>
      <t>destilled GPT-5</t>
    </r>
  </si>
  <si>
    <r>
      <t xml:space="preserve">GPT-6o, </t>
    </r>
    <r>
      <rPr>
        <sz val="11"/>
        <color theme="1"/>
        <rFont val="Calibri"/>
        <family val="2"/>
        <scheme val="minor"/>
      </rPr>
      <t>destilled GPT-6</t>
    </r>
  </si>
  <si>
    <t>Common knowledge ask chat GPT</t>
  </si>
  <si>
    <t>https://www.worldwildlife.org/magazine/issues/winter-2018/articles/the-status-of-african-elephants#:~:text=In%202016%2C%20experts%20estimated%20that%20Africa%E2%80%99s%20elephant%20population,Today%2C%20there%20are%20just%20415%2C000%20elephants%20across%20Africa.</t>
  </si>
  <si>
    <t>&lt;415,000 alive</t>
  </si>
  <si>
    <t>African elephant total brain 299%</t>
  </si>
  <si>
    <t>African elephant forebrain brain 6.5%</t>
  </si>
  <si>
    <t>2045 singularity year as predicted by Raymond Kurzweil and arrival of artificial super intelligence in supercomputers that far exceeds the combined intelligence of mankind. The term singularity is taken from physics and is meant to say that technological development at that point becomes extremely rapid, unreversible and also unpredictable like passing the event horison in a black hole singularity in physics</t>
  </si>
  <si>
    <t>First non-biological humanoid species</t>
  </si>
  <si>
    <t>SSD for minimum AGI, 6.1 min. boot time</t>
  </si>
  <si>
    <t>https://www.theverge.com/2024/7/11/24196746/heres-how-openai-will-determine-how-powerful-its-ai-systems-are</t>
  </si>
  <si>
    <t>https://www.bloomberg.com/news/articles/2024-07-11/openai-sets-levels-to-track-progress-toward-superintelligent-ai</t>
  </si>
  <si>
    <t>Examples</t>
  </si>
  <si>
    <t>Chat GPT-1-3</t>
  </si>
  <si>
    <t>Chat GPT-4 -o1</t>
  </si>
  <si>
    <t>Yet to come. GPT-5-o1?</t>
  </si>
  <si>
    <t xml:space="preserve">Yet to come. GPT-6-o1? </t>
  </si>
  <si>
    <t>OpenAI's definition of 5 ascending levels of AI systems towards AGI</t>
  </si>
  <si>
    <t>GB of RAM needed for every 1 billion parameters in AI model. To keep it simple and transparent I use 2 and I do not distinguish between VRAM and other slower RAM also used in AI chips and do not take into effect various algebraic tricks that can be used to compress models to run on less RAM. However, do I distinguish between different types of AI models that may require different amount of RAM per billion of parameters like vision models normally require 12X more ram than LLMs per billion parameters in AI model.</t>
  </si>
  <si>
    <r>
      <t xml:space="preserve">GPT-5-o1= </t>
    </r>
    <r>
      <rPr>
        <sz val="11"/>
        <color theme="1"/>
        <rFont val="Calibri"/>
        <family val="2"/>
        <scheme val="minor"/>
      </rPr>
      <t>GPT-5 destilled+agentic reasoning</t>
    </r>
  </si>
  <si>
    <r>
      <t xml:space="preserve">GPT-6-o1= </t>
    </r>
    <r>
      <rPr>
        <sz val="11"/>
        <color theme="1"/>
        <rFont val="Calibri"/>
        <family val="2"/>
        <scheme val="minor"/>
      </rPr>
      <t>GPT-5 destilled+agentic reasoning</t>
    </r>
  </si>
  <si>
    <t>A human at 18 years of age can learn to drive with just 20 hours of real world training, 10 hours of lectures and 40 hours of self studying a driving textbook. However, that brain is also trained to perceive world by 18 years of life. The size of training data in GB from life experience can be at most the video/audio equivalent (plus sensory inputs including metabolic input plus 2 eyes)  of the hours being awake in that life. I multiply a video stream of 4k, 60fps with 4 to get total sensory input</t>
  </si>
  <si>
    <t>Needed GB database of video to train robotaxi or 18 years old human brain for driving</t>
  </si>
  <si>
    <t>GB stored in adult human brain 18 years say video at 0.1fps at 1080p</t>
  </si>
  <si>
    <t># of images in 18 years of 0.1fps video 16hours awake</t>
  </si>
  <si>
    <t>Level 1 - Chatbots</t>
  </si>
  <si>
    <t>Level 2 - Reasoners</t>
  </si>
  <si>
    <t>Level 3 - Agents</t>
  </si>
  <si>
    <t>Level 4 - Innovators</t>
  </si>
  <si>
    <t>Level 5 - Organizers</t>
  </si>
  <si>
    <t>AI that can aid in invention</t>
  </si>
  <si>
    <t>AI with conversational language</t>
  </si>
  <si>
    <r>
      <rPr>
        <b/>
        <sz val="11"/>
        <color theme="1"/>
        <rFont val="Calibri"/>
        <family val="2"/>
        <scheme val="minor"/>
      </rPr>
      <t>Source:</t>
    </r>
    <r>
      <rPr>
        <sz val="11"/>
        <color theme="1"/>
        <rFont val="Calibri"/>
        <family val="2"/>
        <scheme val="minor"/>
      </rPr>
      <t xml:space="preserve"> </t>
    </r>
  </si>
  <si>
    <t>Level of intelligence</t>
  </si>
  <si>
    <t>2022-</t>
  </si>
  <si>
    <t>2024-</t>
  </si>
  <si>
    <t>This is AGI as it can replace CEOs and others of any company no matter how large and complex</t>
  </si>
  <si>
    <t>First appearance</t>
  </si>
  <si>
    <t>in useful state</t>
  </si>
  <si>
    <t>This level is not clear as agents is used to describe elements in agentic workflows which is systems of AI models and tools that can prompt each other in predetermined ways and loops to arrive at better solutions than just trying with one large AI model doing it at once without that sort of reasoning. Also many AI models even simple ones can be used to take actions like sorting trash on a conveyer belt or ID people for a security system that open up doors</t>
  </si>
  <si>
    <t>Level 6 - Artificial human beings</t>
  </si>
  <si>
    <t>This is a level added by me HM</t>
  </si>
  <si>
    <t>2029-2045?</t>
  </si>
  <si>
    <t>2046-?</t>
  </si>
  <si>
    <t>Can create new civilizations on Moon, Mars &amp; beyond</t>
  </si>
  <si>
    <t>Artificial human beings - An artificial species capable of building their own technological civilization without any further help from biological humans</t>
  </si>
  <si>
    <t>Datacenter</t>
  </si>
  <si>
    <t>Androids &amp; other</t>
  </si>
  <si>
    <t>Vehicles, missiles, etc</t>
  </si>
  <si>
    <t>Self-driving vehicles, autonomous weapons, robots</t>
  </si>
  <si>
    <t>Dec, 2026?</t>
  </si>
  <si>
    <t>Artificial species capable of building a technological civilization without human help</t>
  </si>
  <si>
    <t>AGI that can do the work of an organization, replacing all knowledge workers incl. CEO</t>
  </si>
  <si>
    <t>embodiment</t>
  </si>
  <si>
    <t>Most likely</t>
  </si>
  <si>
    <t>AI systems with human-level problem solving and ability to rid itself of hallusinations</t>
  </si>
  <si>
    <t>AI systems that can make decisions &amp; execute plans without constant human oversight</t>
  </si>
  <si>
    <t>For better sources and explanations prompt Perplexity "Explain openai 5 levels of AI intelligence"</t>
  </si>
  <si>
    <t>https://cloud.google.com/blog/products/compute/introducing-trillium-6th-gen-tpus</t>
  </si>
  <si>
    <t>https://www.nextplatform.com/2024/06/10/lots-of-questions-on-googles-trillium-tpu-v6-a-few-answers/</t>
  </si>
  <si>
    <t>Google TPU v6</t>
  </si>
  <si>
    <t>Grok 3 by E. Musk's xAI</t>
  </si>
  <si>
    <t>Dec, 2024</t>
  </si>
  <si>
    <t>https://x.com/HMexperienceDK/status/1847992543545331734</t>
  </si>
  <si>
    <t>Pending</t>
  </si>
  <si>
    <t>Llama 1 65B by  Meta</t>
  </si>
  <si>
    <t># of chips</t>
  </si>
  <si>
    <t>used in</t>
  </si>
  <si>
    <t>training cluster</t>
  </si>
  <si>
    <t>Llama 2 70B by Meta</t>
  </si>
  <si>
    <t xml:space="preserve">training cluster </t>
  </si>
  <si>
    <t>https://x.com/DrJimFan/status/1681372700881854465?ref_src=twsrc%5Etfw%7Ctwcamp%5Etweetembed%7Ctwterm%5E1681372700881854465%7Ctwgr%5E7249d5e9a5faa88242ea45b35b2543bea19bc1ba%7Ctwcon%5Es1_&amp;ref_url=https%3A%2F%2Fwww.searchenginejournal.com%2Fmeta-and-microsoft-release-llama-2-free-commercial-use-research%2F491963%2F</t>
  </si>
  <si>
    <t>Jun, 2024</t>
  </si>
  <si>
    <t>Grok 2 by E. Musk's xAI + image generation</t>
  </si>
  <si>
    <t>LLM text to text image, H100</t>
  </si>
  <si>
    <t>my guess</t>
  </si>
  <si>
    <t>billion neurons for fruit fly with 50 million synapsis</t>
  </si>
  <si>
    <t>synapsis per neuron in fruit fly</t>
  </si>
  <si>
    <t>https://youtu.be/0AgAcarLnU4?si=g77Hs0Y7EijhY_EJ&amp;t=277</t>
  </si>
  <si>
    <t>https://en.wikipedia.org/wiki/Drosophila_melanogaster</t>
  </si>
  <si>
    <t>trillions alive</t>
  </si>
  <si>
    <t>https://youtu.be/mofEOSUkMpA?si=z2ZwILFA8n0FYzqB&amp;t=83</t>
  </si>
  <si>
    <t>https://youtu.be/mofEOSUkMpA?si=QfSzvnSE0yUFORIs&amp;t=129</t>
  </si>
  <si>
    <t>One AI will be able to do anything that any one human can do.</t>
  </si>
  <si>
    <t>One AI will be able to do what all humans on earth working together can do</t>
  </si>
  <si>
    <t>https://en.wikipedia.org/wiki/Elon_Musk</t>
  </si>
  <si>
    <t>2028/2029</t>
  </si>
  <si>
    <t>https://youtu.be/xXCBz_8hM9w?si=ZpPR-2PUA_w3FhHU&amp;t=2771</t>
  </si>
  <si>
    <t>https://en.wikipedia.org/wiki/Sam_Altman</t>
  </si>
  <si>
    <t>https://en.wikipedia.org/wiki/Mark_Zuckerberg</t>
  </si>
  <si>
    <t>https://en.wikipedia.org/wiki/Demis_Hassabis</t>
  </si>
  <si>
    <t>When an AI can be a company CEO, chief scientist or country president better than any human.</t>
  </si>
  <si>
    <t>This is the singularity moment where one AI will exceed the combined intelligence of all humans alive and where AI induced technological development is going faster than any biological human is able to comprehend. Thus humans are unable to say today what is going to happen after the singularity moment.</t>
  </si>
  <si>
    <t>2033 with 50% probability and 2038 with 95% probability</t>
  </si>
  <si>
    <t>https://www.linkedin.com/in/hmphd/</t>
  </si>
  <si>
    <t>https://en.wikipedia.org/wiki/Yann_LeCun</t>
  </si>
  <si>
    <t>https://en.wikipedia.org/wiki/Geoffrey_Hinton</t>
  </si>
  <si>
    <t>https://en.wikipedia.org/wiki/Vladimir_Putin</t>
  </si>
  <si>
    <t>https://en.wikipedia.org/wiki/Presidency_of_Barack_Obama</t>
  </si>
  <si>
    <r>
      <t xml:space="preserve">Raymond Kurzweil, </t>
    </r>
    <r>
      <rPr>
        <sz val="11"/>
        <color theme="1"/>
        <rFont val="Calibri"/>
        <family val="2"/>
        <scheme val="minor"/>
      </rPr>
      <t>the person in the world with the best track record at predicting the future</t>
    </r>
    <r>
      <rPr>
        <b/>
        <sz val="11"/>
        <color theme="1"/>
        <rFont val="Calibri"/>
        <family val="2"/>
        <scheme val="minor"/>
      </rPr>
      <t xml:space="preserve"> and the person alive who spend the longest time 60 years or so researching AI</t>
    </r>
  </si>
  <si>
    <t>https://en.wikipedia.org/wiki/Nick_Bostrom</t>
  </si>
  <si>
    <t>https://en.wikipedia.org/wiki/Max_Tegmark</t>
  </si>
  <si>
    <r>
      <t xml:space="preserve">Max Tegmark, </t>
    </r>
    <r>
      <rPr>
        <sz val="11"/>
        <color theme="1"/>
        <rFont val="Calibri"/>
        <family val="2"/>
        <scheme val="minor"/>
      </rPr>
      <t>professor MIT Future of Life Institute</t>
    </r>
  </si>
  <si>
    <t>https://en.wikipedia.org/wiki/Jensen_Huang</t>
  </si>
  <si>
    <t>2029 with 50% probability &amp; 2034 95%</t>
  </si>
  <si>
    <t>than humans</t>
  </si>
  <si>
    <t>https://youtu.be/mofEOSUkMpA?si=NZxUS5UshDVJqqo4&amp;t=766</t>
  </si>
  <si>
    <t>https://youtu.be/mofEOSUkMpA?si=lKc-pY35MElxuapW&amp;t=868</t>
  </si>
  <si>
    <t>https://youtu.be/mofEOSUkMpA?si=b6iCZF1_uHrL_FFC&amp;t=131</t>
  </si>
  <si>
    <t>https://youtu.be/mofEOSUkMpA?si=b6iCZF1_uHrL_FFC&amp;t=132</t>
  </si>
  <si>
    <t>https://youtu.be/mofEOSUkMpA?si=Mw81VowNEClByC86&amp;t=148</t>
  </si>
  <si>
    <t>Intelligence</t>
  </si>
  <si>
    <t>Artificial General</t>
  </si>
  <si>
    <t>Artificial Super</t>
  </si>
  <si>
    <t>Same as Kurzweil &amp; Musk</t>
  </si>
  <si>
    <t>2025/2026 Musk say in video at 14:02 that he predicts time it will happen with 50% likelihood it will happen before the time he predicts and 50% chance it will happen later</t>
  </si>
  <si>
    <t>My wild guess. In 2045 if humanity has avoided global war I expect the world to have billions of AGI level humanoid robots that take care of all important production globally. For biological humans work is a hobby it is not needed to have an income. In such a world I expect an AGI level humanoid robot will only cost 20,000 USD to produce. This is also what Musk predicts see https://youtu.be/mofEOSUkMpA?si=gxF1-NcxeczyPpkh&amp;t=864</t>
  </si>
  <si>
    <t>https://darioamodei.com/</t>
  </si>
  <si>
    <t>https://en.wikipedia.org/wiki/Alex_Karp</t>
  </si>
  <si>
    <t>https://www.linkedin.com/in/aravind-srinivas-16051987/</t>
  </si>
  <si>
    <t>https://en.wikipedia.org/wiki/Stephen_Wolfram</t>
  </si>
  <si>
    <t>https://en.wikipedia.org/wiki/Eliezer_Yudkowsky</t>
  </si>
  <si>
    <r>
      <t>Aravind Srinivas</t>
    </r>
    <r>
      <rPr>
        <sz val="11"/>
        <color theme="1"/>
        <rFont val="Calibri"/>
        <family val="2"/>
        <scheme val="minor"/>
      </rPr>
      <t>, CEO Perplexity</t>
    </r>
  </si>
  <si>
    <r>
      <t xml:space="preserve">Stephen Wolfram, </t>
    </r>
    <r>
      <rPr>
        <sz val="11"/>
        <color theme="1"/>
        <rFont val="Calibri"/>
        <family val="2"/>
        <scheme val="minor"/>
      </rPr>
      <t>CEO Wolfram Research Inc.</t>
    </r>
  </si>
  <si>
    <r>
      <t xml:space="preserve">Eliezer Yudkowsky, </t>
    </r>
    <r>
      <rPr>
        <sz val="11"/>
        <color theme="1"/>
        <rFont val="Calibri"/>
        <family val="2"/>
        <scheme val="minor"/>
      </rPr>
      <t>Research fellow at the Machine Intelligence Research Institute. Known for his AI doom opinions</t>
    </r>
  </si>
  <si>
    <t>https://en.wikipedia.org/wiki/Ilya_Sutskever</t>
  </si>
  <si>
    <r>
      <t xml:space="preserve">Richard Sutton, </t>
    </r>
    <r>
      <rPr>
        <sz val="11"/>
        <color theme="1"/>
        <rFont val="Calibri"/>
        <family val="2"/>
        <scheme val="minor"/>
      </rPr>
      <t>professor computer science at University of Alberta, founders of AI reinforcement learning</t>
    </r>
  </si>
  <si>
    <t>https://en.wikipedia.org/wiki/Richard_S._Sutton</t>
  </si>
  <si>
    <t>2026-2027</t>
  </si>
  <si>
    <t>https://youtu.be/ugvHCXCOmm4?si=JIzRW7rLDGqttVEg&amp;t=8311</t>
  </si>
  <si>
    <t>https://fortune.com/2023/05/03/google-deepmind-ceo-agi-artificial-intelligence/</t>
  </si>
  <si>
    <r>
      <t>Jürgen Schmidhuber,</t>
    </r>
    <r>
      <rPr>
        <sz val="11"/>
        <color theme="1"/>
        <rFont val="Calibri"/>
        <family val="2"/>
        <scheme val="minor"/>
      </rPr>
      <t xml:space="preserve"> huge contributions in AI algorithms, scientific director of top AI lab Dalle Molle Institute for Artificial Intelligence Research in Switzerland</t>
    </r>
  </si>
  <si>
    <t>https://en.wikipedia.org/wiki/J%C3%BCrgen_Schmidhuber</t>
  </si>
  <si>
    <t>Key researchers or philosophers in AI</t>
  </si>
  <si>
    <t>Video source</t>
  </si>
  <si>
    <t>https://youtu.be/DP454c1K_vQ?si=cWdMK1lWE9vSvSuA</t>
  </si>
  <si>
    <r>
      <t>Jensen Huang,</t>
    </r>
    <r>
      <rPr>
        <sz val="11"/>
        <color theme="1"/>
        <rFont val="Calibri"/>
        <family val="2"/>
        <scheme val="minor"/>
      </rPr>
      <t xml:space="preserve"> CEO NVIDIA</t>
    </r>
  </si>
  <si>
    <r>
      <t xml:space="preserve">Alex Karp, </t>
    </r>
    <r>
      <rPr>
        <sz val="11"/>
        <color theme="1"/>
        <rFont val="Calibri"/>
        <family val="2"/>
        <scheme val="minor"/>
      </rPr>
      <t>CEO</t>
    </r>
    <r>
      <rPr>
        <b/>
        <sz val="11"/>
        <color theme="1"/>
        <rFont val="Calibri"/>
        <family val="2"/>
        <scheme val="minor"/>
      </rPr>
      <t xml:space="preserve"> </t>
    </r>
    <r>
      <rPr>
        <sz val="11"/>
        <color theme="1"/>
        <rFont val="Calibri"/>
        <family val="2"/>
        <scheme val="minor"/>
      </rPr>
      <t>Palantir Technologies making AI powered weapons</t>
    </r>
  </si>
  <si>
    <r>
      <t xml:space="preserve">Mark Zuckerberg, </t>
    </r>
    <r>
      <rPr>
        <sz val="11"/>
        <color theme="1"/>
        <rFont val="Calibri"/>
        <family val="2"/>
        <scheme val="minor"/>
      </rPr>
      <t>CEO Facebook</t>
    </r>
  </si>
  <si>
    <r>
      <t xml:space="preserve">Demis Hassabis, </t>
    </r>
    <r>
      <rPr>
        <sz val="11"/>
        <color theme="1"/>
        <rFont val="Calibri"/>
        <family val="2"/>
        <scheme val="minor"/>
      </rPr>
      <t>CEO Google Deep Mind</t>
    </r>
    <r>
      <rPr>
        <b/>
        <sz val="11"/>
        <color theme="1"/>
        <rFont val="Calibri"/>
        <family val="2"/>
        <scheme val="minor"/>
      </rPr>
      <t xml:space="preserve"> got Nobel price in chemistry for Deep Mind Alpha Fold contribution</t>
    </r>
  </si>
  <si>
    <r>
      <t xml:space="preserve">Elon Musk, </t>
    </r>
    <r>
      <rPr>
        <sz val="11"/>
        <color theme="1"/>
        <rFont val="Calibri"/>
        <family val="2"/>
        <scheme val="minor"/>
      </rPr>
      <t>CEO Tesla, xAI</t>
    </r>
  </si>
  <si>
    <r>
      <t>Dario Amodei,</t>
    </r>
    <r>
      <rPr>
        <sz val="11"/>
        <color theme="1"/>
        <rFont val="Calibri"/>
        <family val="2"/>
        <scheme val="minor"/>
      </rPr>
      <t xml:space="preserve"> CEO Anthropic</t>
    </r>
  </si>
  <si>
    <r>
      <t xml:space="preserve">Sam Altman, </t>
    </r>
    <r>
      <rPr>
        <sz val="11"/>
        <color theme="1"/>
        <rFont val="Calibri"/>
        <family val="2"/>
        <scheme val="minor"/>
      </rPr>
      <t>CEO OpenAI</t>
    </r>
  </si>
  <si>
    <r>
      <t xml:space="preserve">Putin, </t>
    </r>
    <r>
      <rPr>
        <sz val="11"/>
        <color theme="1"/>
        <rFont val="Calibri"/>
        <family val="2"/>
        <scheme val="minor"/>
      </rPr>
      <t>dictator Russia</t>
    </r>
  </si>
  <si>
    <r>
      <t xml:space="preserve">Barack Obama, </t>
    </r>
    <r>
      <rPr>
        <sz val="11"/>
        <color theme="1"/>
        <rFont val="Calibri"/>
        <family val="2"/>
        <scheme val="minor"/>
      </rPr>
      <t>ex President USA</t>
    </r>
  </si>
  <si>
    <t>https://youtu.be/qTogNUV3CAI?si=MyC_4-rduVlP4GTW&amp;t=1496</t>
  </si>
  <si>
    <t>&lt;2034</t>
  </si>
  <si>
    <t>https://www.electronicdesign.com/markets/automotive/article/21214183/electronic-design-inside-mobileyes-eyeq-ultra-chip-for-the-future-of-self-driving-cars</t>
  </si>
  <si>
    <t xml:space="preserve">in </t>
  </si>
  <si>
    <t>country</t>
  </si>
  <si>
    <t>Taiwan</t>
  </si>
  <si>
    <t>http://www.researchinchina.com/Htmls/Report/2024/75004.html</t>
  </si>
  <si>
    <t>Nvidia is well known to have all their chips made in Taiwan by TSMC</t>
  </si>
  <si>
    <t>AMD is well known to have all their chips made in Taiwan by TSMC</t>
  </si>
  <si>
    <t>USA</t>
  </si>
  <si>
    <t>Made</t>
  </si>
  <si>
    <t>China</t>
  </si>
  <si>
    <t>Horizon Robotics J6E/J6M</t>
  </si>
  <si>
    <t>Black Sesame A1000Pro</t>
  </si>
  <si>
    <t>https://www.blacksesame.com.cn/en/huashan-2-000pro/</t>
  </si>
  <si>
    <t>https://www.horizon.auto/</t>
  </si>
  <si>
    <t xml:space="preserve">Not possible to say where this being will be build. </t>
  </si>
  <si>
    <t>https://www.kedglobal.com/korean-chipmakers/newsView/ked202307180017</t>
  </si>
  <si>
    <t>Taiwan/South Korea TSMC &amp; Samsung</t>
  </si>
  <si>
    <t>Taiwan/TSMC</t>
  </si>
  <si>
    <t>South Korea/Samsung</t>
  </si>
  <si>
    <t>https://en.wikipedia.org/wiki/Tesla_Autopilot</t>
  </si>
  <si>
    <t>https://en.wikichip.org/wiki/mobileye/eyeq/eyeq5</t>
  </si>
  <si>
    <t>I could not find a source for this but most likely it is Taiwan  by TSCM</t>
  </si>
  <si>
    <t>https://www.digitimes.com/news/a20240410VL201/ai-chips+components-data-center-intel-server-ipc-cloud-computing-iot-tsmc.html</t>
  </si>
  <si>
    <t>https://www.cnbc.com/2024/08/23/how-google-makes-custom-cloud-chips-that-power-apple-ai-and-gemini.html</t>
  </si>
  <si>
    <t>https://www.eenewseurope.com/en/teslas-dojo-training-tile-in-production-at-tsmc/</t>
  </si>
  <si>
    <t>https://www.cdomagazine.tech/aiml/cerebras-systems-launches-wse-3-ai-chips-with-4-trillion-transistors</t>
  </si>
  <si>
    <t xml:space="preserve">Tesla HW3 or AI3 </t>
  </si>
  <si>
    <t xml:space="preserve">Tesla HW4 or AI4 </t>
  </si>
  <si>
    <t xml:space="preserve">Tesla HW5 or AI5 </t>
  </si>
  <si>
    <t>Nvidia drive Thor</t>
  </si>
  <si>
    <t>Intel Mobileye EyeQ5</t>
  </si>
  <si>
    <t>Qualcomm Snapdragon Ride, SA8650P</t>
  </si>
  <si>
    <t>https://www.macnica.co.jp/en/business/semiconductor/manufacturers/nvidia/products/141900/</t>
  </si>
  <si>
    <t>Key chips for AI computers including forthcoming chips and comparison to human brain and supercomputers</t>
  </si>
  <si>
    <t>FSD AI on HW4/AI4 by Tesla</t>
  </si>
  <si>
    <t>Drive AI on Orin AGX by Nvidia</t>
  </si>
  <si>
    <t>Amazon Trainium 2</t>
  </si>
  <si>
    <t>Nov, 2023</t>
  </si>
  <si>
    <t>https://www.anandtech.com/show/21173/amazons-trainium2-features-96-gb-hbm-quadruples-training-performance</t>
  </si>
  <si>
    <t>Waymo driver on ?chip By Google</t>
  </si>
  <si>
    <t>Oct, 2024</t>
  </si>
  <si>
    <t>https://en.wikipedia.org/wiki/Waymo#Technology</t>
  </si>
  <si>
    <t>https://en.wikipedia.org/wiki/Waymo#Chronology</t>
  </si>
  <si>
    <t>Optimus Gen2 on HW4 by Tesla</t>
  </si>
  <si>
    <t>Dec, 2023</t>
  </si>
  <si>
    <t>5th gen. AI self driving car</t>
  </si>
  <si>
    <t>Tesla humanoid robot for factory use</t>
  </si>
  <si>
    <t xml:space="preserve">In development </t>
  </si>
  <si>
    <t>https://en.wikipedia.org/wiki/Optimus_(robot)#Generation_2</t>
  </si>
  <si>
    <t>100,000 paid robo rides per week by oct 2024</t>
  </si>
  <si>
    <t>Nvidia drive Jetson Orin AGX 64GB</t>
  </si>
  <si>
    <t>Figure 02 on Nvidia Jetson Orin by FigureAI</t>
  </si>
  <si>
    <t>Aug, 2024</t>
  </si>
  <si>
    <t>FigureAI humanoid robot for factory use</t>
  </si>
  <si>
    <t>https://blogs.nvidia.com/blog/figure-humanoid-robot-autonomous/</t>
  </si>
  <si>
    <t>https://en.wikipedia.org/wiki/Figure_AI#Figure_02</t>
  </si>
  <si>
    <t>Average US annual income human https://tradingeconomics.com/united-states/gdp-per-capita</t>
  </si>
  <si>
    <t>Comparing biological brains with existing supercomputers and likely forthcoming supercomputers</t>
  </si>
  <si>
    <t>Nvidia A100 used for GTP-4 training</t>
  </si>
  <si>
    <t>AI models for navigating the world and handling physical tools</t>
  </si>
  <si>
    <t>Other AI models that are not any of the above types listed in table</t>
  </si>
  <si>
    <t>Otc, 2024</t>
  </si>
  <si>
    <t>AI drone navigation and targeting</t>
  </si>
  <si>
    <t>https://youtu.be/Ha0KrXzI4SM?si=rR5nTkbFr0o7GKmz&amp;t=30</t>
  </si>
  <si>
    <t>https://developer.nvidia.com/embedded/downloads#?search=Data%20Sheet&amp;tx=$product,jetson_agx_orin,jetson_orin_nx,jetson_orin_nano</t>
  </si>
  <si>
    <t>https://youtu.be/Ha0KrXzI4SM?si=Hhcf0zaCcFuhgx6N</t>
  </si>
  <si>
    <t>F-11 war drone on Jetson Orin NX by Palantir and Flyby Robotics</t>
  </si>
  <si>
    <t>Under development for use in war likely undergoing testing in Ukraine. All components are sourced from democratic countries</t>
  </si>
  <si>
    <t>I guess 1 chip to keep cost down</t>
  </si>
  <si>
    <t>I guess 1 chip to keep cost down. But in automotive applications 2 chips may be used for redundency added safety</t>
  </si>
  <si>
    <t>million USD</t>
  </si>
  <si>
    <t>&lt;10000?</t>
  </si>
  <si>
    <t>&gt;$100</t>
  </si>
  <si>
    <t>&gt;$500</t>
  </si>
  <si>
    <t>Video/captions</t>
  </si>
  <si>
    <t>Video/audio/body motory sensory</t>
  </si>
  <si>
    <t>Key AI models compared to biological brains and some AI chips and supercomputers</t>
  </si>
  <si>
    <t>Chips for AI inference in mobile devices such as military drones, automobiles and humanoid robots</t>
  </si>
  <si>
    <t>OpenAI GPT-4 training cluster</t>
  </si>
  <si>
    <t>https://huggingface.co/stabilityai/stable-diffusion-2-1</t>
  </si>
  <si>
    <t>Images processing, A100</t>
  </si>
  <si>
    <t>https://www.youtube.com/watch?v=7I854do63Lg&amp;t=15s</t>
  </si>
  <si>
    <t>Regarding scaling laws</t>
  </si>
  <si>
    <t>Regarding computing</t>
  </si>
  <si>
    <t>Scaling law 1 - More and higher quality data</t>
  </si>
  <si>
    <t>Megatrend</t>
  </si>
  <si>
    <t>Eleborate explanation</t>
  </si>
  <si>
    <t>Problems</t>
  </si>
  <si>
    <t>problems</t>
  </si>
  <si>
    <t>Methods</t>
  </si>
  <si>
    <t xml:space="preserve">to solve </t>
  </si>
  <si>
    <t>More and higher quality data used for training of AI models consistently leads to more intelligent and capable AI models</t>
  </si>
  <si>
    <t>Scaling law 2 - More compute for training</t>
  </si>
  <si>
    <t>Scaling law 3 - More parameters and layers</t>
  </si>
  <si>
    <t>The more compute you use to estimate AI model parameters when training AI models the better the parameters will be estimated and the more intelligent and capable the AI models will be</t>
  </si>
  <si>
    <t>The more parameters and the more layers of parameters in the AI model network the more intelligent and capable the AI models</t>
  </si>
  <si>
    <t>https://youtu.be/fKXztwtXaGo?si=YhpgsxHENr8s560Y</t>
  </si>
  <si>
    <t>https://youtu.be/HS1wV9NMLr8?si=4kOA48fAuVhLXyZN</t>
  </si>
  <si>
    <t>https://youtu.be/OopTOjnD3qY?si=tzIOvAm_kvBZRmsZ</t>
  </si>
  <si>
    <t>https://youtu.be/cpraXaw7dyc?si=-CjynClKa4yIn2oY&amp;t=24</t>
  </si>
  <si>
    <t>https://youtu.be/Q9Ze7OSfZzE?si=pbBVTOYkHII_MtpO</t>
  </si>
  <si>
    <t>https://youtu.be/0SRVJaOg9Co?si=88KsVKansUH8rnLH</t>
  </si>
  <si>
    <t>https://www.youtube.com/watch?v=WlUFoZstcWg</t>
  </si>
  <si>
    <t>https://www.youtube.com/watch?v=ugvHCXCOmm4&amp;t=194s</t>
  </si>
  <si>
    <t>https://youtu.be/_jDDAxB1UPY?si=AAhOosKQWbHROk1X</t>
  </si>
  <si>
    <t>When using systems of AI models that are tied together with agentic workflows and the ability to temporarily or permanently update model parameters using training data from input data i.e. text, video etc (the latter is also called Test Time Training or TTT) (in late 2024 such agentic workflows is a quickly becoming how all AI systems are build) the more inference compute you apply to this agentic workflow the more intelligent the generative results will be</t>
  </si>
  <si>
    <t>Destributed training clusters</t>
  </si>
  <si>
    <t>https://semianalysis.com/2024/09/04/multi-datacenter-training-openais/</t>
  </si>
  <si>
    <t>AI training clusters are quickly reaching the limit for how much compute you can concentrate in one location because of power and cooling needs that exceeds 1G watt. So solution is to distibute the training load of new foundation models to multiple datacenters located wherever enough power is avalable.</t>
  </si>
  <si>
    <t>Forthcoming megatrends as expected by HM</t>
  </si>
  <si>
    <t>Always on training and inference AI chips for androids</t>
  </si>
  <si>
    <t>https://en.wikipedia.org/wiki/Andrew_Ng</t>
  </si>
  <si>
    <t>https://en.wikipedia.org/wiki/Connor_Leahy</t>
  </si>
  <si>
    <r>
      <t xml:space="preserve">Connor Leahy, </t>
    </r>
    <r>
      <rPr>
        <sz val="11"/>
        <color theme="1"/>
        <rFont val="Calibri"/>
        <family val="2"/>
        <scheme val="minor"/>
      </rPr>
      <t>researcher and entrepreneur known for his doom opinions</t>
    </r>
  </si>
  <si>
    <t>https://en.wikipedia.org/wiki/Ben_Goertzel</t>
  </si>
  <si>
    <r>
      <t xml:space="preserve">Ben Goertzel, </t>
    </r>
    <r>
      <rPr>
        <sz val="11"/>
        <color theme="1"/>
        <rFont val="Calibri"/>
        <family val="2"/>
        <scheme val="minor"/>
      </rPr>
      <t>computer scientist and AI researcher</t>
    </r>
  </si>
  <si>
    <t>In order to create consious AGIs we need to design the AI systems like a human brain and have them operate like a human brain. The human brain is a cluster of specialized biological neural networks that work together and that is able to do inference and training simultaneously and uninterrupted on that cluster of networks and their interaction patterns whenever we are awake/consious. We can make android brains the same way with an AI chip for training and inference and memory for storing the AI neural networks or AI models. Just like the human bain is constantly training and doing inference on its biological neural networks and their interactions the AI brain should be able to constantly do training and inference when it is turned on/awake. The input data for the android brain is its sensory inputs plus its own thoughts (i.e. one specialized AI model prompting another specialized AI model as specified by an agentic workflow that is modeled dynamically so that it can also be changed by the thought process) just like the input data for human brain is its sensory inputs through eyes, ears touch etc plus its own thoughts about these sensory inputs.</t>
  </si>
  <si>
    <t>AI androids in 2024 only do inference</t>
  </si>
  <si>
    <t>Many more smaller and highly specialized models</t>
  </si>
  <si>
    <t>Most likely a more energy efficient method for generating intelligence at a given level is to use many more but smaller and specialized AI models that are linked together in sofisticated agentic workflows. Say 100, 10 billion parameter models that combined have 1 trillion parameters. The alternative is to use  one huge 1 trillion parameter model that is trained on all the same data that the 100 smaller models are trained on. Problem with large models is that doing inference on a 1 trillion parameter model cost about 100 times more energy than doing inference on a 10 billion parameter model that might provide as intelligent an output as the large model if it get input data in an area that fits its specialization. We known from the human brain that when it is given a task or problem to do or solve only part of the brain is excited (do inference as seen by synapsis firing up in a brain scanner) that is relevant for task or problem in mind. The rest of the brain is dormant and thereby saves energy. Give the brain a new task and different parts of the brain will fire up/do inference. Same can be done by systems of AI models by only activating the smaller and specialized AI models that are relevant for the task or problem in mind thereby avoiding to use the much larger and more energy intense model.</t>
  </si>
  <si>
    <t xml:space="preserve">It is not as simple as it sounds by splitting up a large AI model into smaller specialized models. Larger models can do things that are impossible with smaller models because of emergent abilities that arise for larger models. So some type of data input say a text question about someting complex can only be intelligently answered by a large model. </t>
  </si>
  <si>
    <t>Fruit fly brain 0.000163% of human brain</t>
  </si>
  <si>
    <t>-40,000,000BC</t>
  </si>
  <si>
    <t>https://news.fsu.edu/news/science-technology/2017/08/09/fruit-fly-mutation-foretells-40-million-years-evolution/</t>
  </si>
  <si>
    <t>I imagine fruit fles only have reflexes not any thought and awareness</t>
  </si>
  <si>
    <t>Motion, sensing, reflexes, etc.</t>
  </si>
  <si>
    <t>2 brain</t>
  </si>
  <si>
    <t>I assume a fruit fly has 10,000 times less information flows in its brain than a human</t>
  </si>
  <si>
    <t>I assume a mouse has 100 times less information flows in its brain than a human</t>
  </si>
  <si>
    <t>Fruit fly is the most complex biological brain that we in 2024 has mapped completely with every neuron and synapsis and that we can simulate in a computer. The first biological brain ever mapped was nematode worm with only 302 neurons see https://www.leeds.ac.uk/news-science/news/article/4775/mapping-the-brain-of-a-nematode-worm and https://www.youtube.com/watch?v=0AgAcarLnU4&amp;t=277s</t>
  </si>
  <si>
    <t>times less data input than a human brain my assumption</t>
  </si>
  <si>
    <t>Video file size for 4k, 60pfs for 16 years nonstop, H265 or 30 billion 4k images, 1 eye</t>
  </si>
  <si>
    <t>Total human brain sensory input in GB/s for 16 years from 2 eyes + sensory nerves and metabolic processes &gt;VERY CRUDE ESTIMATE&lt; Likely too high.</t>
  </si>
  <si>
    <t>16yr life experience</t>
  </si>
  <si>
    <t>years of non-stop data to fully mature brain</t>
  </si>
  <si>
    <t>Instead of doing inference one time on same model (called one-shot) the same model is prompted repeatedly say 6 times using an agentic workflow in order to get more intelligent results</t>
  </si>
  <si>
    <t>https://youtu.be/KrRD7r7y7NY?si=7wpi0fGu5UQYDxgi&amp;t=545</t>
  </si>
  <si>
    <t>years of life expectancy</t>
  </si>
  <si>
    <t>https://projectchimps.org/how-old-is-old/</t>
  </si>
  <si>
    <t>7.6yr life experience</t>
  </si>
  <si>
    <t>https://wolfhaven.org/conservation/wolves/basic-facts-about-gray-wolves/</t>
  </si>
  <si>
    <t>3.0yr life experience</t>
  </si>
  <si>
    <t>https://www.ecoguardpestmanagement.com/pest-resources/how-long-do-mice-live</t>
  </si>
  <si>
    <t>https://www.awf.org/news/elephants-live-longer-wild-study-shows</t>
  </si>
  <si>
    <t>Other</t>
  </si>
  <si>
    <t>https://www.orkin.com/pests/flies/fruit-flies/life-span-of-fruit-fly</t>
  </si>
  <si>
    <t>Scaling law 4.2 - More inference compute w. agentic workflow one model and Test Time Training</t>
  </si>
  <si>
    <t>Scaling law 4.1 - More inference compute w. agentic workflow doing one model many shots</t>
  </si>
  <si>
    <t>https://en.wikipedia.org/wiki/Marc_Andreessen</t>
  </si>
  <si>
    <r>
      <t xml:space="preserve">Marc Andreessen, </t>
    </r>
    <r>
      <rPr>
        <sz val="11"/>
        <color theme="1"/>
        <rFont val="Calibri"/>
        <family val="2"/>
        <scheme val="minor"/>
      </rPr>
      <t>general partner at the venture capital firm Andreessen Horowitz</t>
    </r>
  </si>
  <si>
    <r>
      <t xml:space="preserve">Andrew Yan-Tak Ng, </t>
    </r>
    <r>
      <rPr>
        <sz val="11"/>
        <color theme="1"/>
        <rFont val="Calibri"/>
        <family val="2"/>
        <scheme val="minor"/>
      </rPr>
      <t>technology entrepreneur, venture capital investor and computer scientist</t>
    </r>
  </si>
  <si>
    <r>
      <t xml:space="preserve">Geoffrey Hinton, </t>
    </r>
    <r>
      <rPr>
        <sz val="11"/>
        <color theme="1"/>
        <rFont val="Calibri"/>
        <family val="2"/>
        <scheme val="minor"/>
      </rPr>
      <t>computer scientist and now Nobel Laurate in physics for his contribution to develop AI algorithm</t>
    </r>
  </si>
  <si>
    <r>
      <t xml:space="preserve">Nick Bostrom, </t>
    </r>
    <r>
      <rPr>
        <sz val="11"/>
        <color theme="1"/>
        <rFont val="Calibri"/>
        <family val="2"/>
        <scheme val="minor"/>
      </rPr>
      <t>Oxford University professor in philosophy</t>
    </r>
  </si>
  <si>
    <r>
      <t xml:space="preserve">Yann LeCun, </t>
    </r>
    <r>
      <rPr>
        <sz val="11"/>
        <color theme="1"/>
        <rFont val="Calibri"/>
        <family val="2"/>
        <scheme val="minor"/>
      </rPr>
      <t>Chief AI Scientist at Meta, professor at New York University</t>
    </r>
  </si>
  <si>
    <r>
      <t>Eric Schmidt</t>
    </r>
    <r>
      <rPr>
        <sz val="11"/>
        <color theme="1"/>
        <rFont val="Calibri"/>
        <family val="2"/>
        <scheme val="minor"/>
      </rPr>
      <t>, former CEO of Google</t>
    </r>
  </si>
  <si>
    <t>https://en.wikipedia.org/wiki/Eric_Schmidt</t>
  </si>
  <si>
    <t>https://www.youtube.com/live/xMvPuRfXOdM?si=nidLspMLHuZYW4o7&amp;t=1929</t>
  </si>
  <si>
    <t>https://youtu.be/UZDiGooFs54?si=LKk33NwxNG0MDvad&amp;t=68</t>
  </si>
  <si>
    <t>Training</t>
  </si>
  <si>
    <t>compute</t>
  </si>
  <si>
    <t>ExaFlops</t>
  </si>
  <si>
    <t>https://youtu.be/UZDiGooFs54?si=KGloKwOuX9n-CNdZ&amp;t=1013</t>
  </si>
  <si>
    <t>Image clasification, Nvidia GTX 580</t>
  </si>
  <si>
    <t>https://en.wikipedia.org/wiki/AlexNet#</t>
  </si>
  <si>
    <t>AlexNet by Hinton &amp; Sutskever</t>
  </si>
  <si>
    <t>1.2M images</t>
  </si>
  <si>
    <t>https://blog.heim.xyz/palm-training-cost/</t>
  </si>
  <si>
    <t>Zetta</t>
  </si>
  <si>
    <t>10^21</t>
  </si>
  <si>
    <t>Yotta</t>
  </si>
  <si>
    <t>10^24</t>
  </si>
  <si>
    <t>Ronna</t>
  </si>
  <si>
    <t>10^27</t>
  </si>
  <si>
    <t>PaLM by Google 540B</t>
  </si>
  <si>
    <t>https://en.wikipedia.org/wiki/AlexNet#Training</t>
  </si>
  <si>
    <t>https://ourworldindata.org/grapher/artificial-intelligence-training-computation?country=~GPT-1</t>
  </si>
  <si>
    <t>https://ourworldindata.org/grapher/artificial-intelligence-training-computation?country=GPT-1~GPT~GPT-2+%281.5B%29~GPT-3+175B+%28davinci%29</t>
  </si>
  <si>
    <t>https://ourworldindata.org/grapher/artificial-intelligence-training-computation?country=GPT-1~GPT~GPT-2+%281.5B%29~GPT-3+175B+%28davinci%28</t>
  </si>
  <si>
    <r>
      <t xml:space="preserve">GPT-3.5 by OpenAI, </t>
    </r>
    <r>
      <rPr>
        <sz val="11"/>
        <color theme="1"/>
        <rFont val="Calibri"/>
        <family val="2"/>
        <scheme val="minor"/>
      </rPr>
      <t>refined GPT-3</t>
    </r>
  </si>
  <si>
    <t>human training time to mature brain</t>
  </si>
  <si>
    <t>years of life expectancy of human</t>
  </si>
  <si>
    <t>https://ourworldindata.org/grapher/artificial-intelligence-training-computation?country=GPT~PaLM+2~PaLM+%28540B%29</t>
  </si>
  <si>
    <t>my guess could be very wrong</t>
  </si>
  <si>
    <t>https://ourworldindata.org/grapher/artificial-intelligence-training-computation?country=GPT~Llama+3.1-405B</t>
  </si>
  <si>
    <t>https://ourworldindata.org/grapher/artificial-intelligence-training-computation?country=GPT~AlexNet</t>
  </si>
  <si>
    <t>https://ourworldindata.org/grapher/artificial-intelligence-training-computation?country=GPT-1~GPT~GPT-2+%281.5B%29~GPT-3+175B+%28davinci%30</t>
  </si>
  <si>
    <t>Mouse train their neural networks constantly through life although the ability to do it effectively decreases with age.</t>
  </si>
  <si>
    <t>Elephant train their neural networks constantly through life although the ability to do it effectively decreases with age.</t>
  </si>
  <si>
    <t>Fruit fly train their neural networks constantly through life although the ability to do it effectively decreases with age.</t>
  </si>
  <si>
    <t>AI development megatrends</t>
  </si>
  <si>
    <t>https://en.wikipedia.org/wiki/Steven_Pinker</t>
  </si>
  <si>
    <t>https://youtu.be/epQxfSp-rdU?si=0AtzRwsv1SDcnrm9&amp;t=915</t>
  </si>
  <si>
    <t xml:space="preserve">When humanoids become an artificial species </t>
  </si>
  <si>
    <t xml:space="preserve">capable of creating and maintaining a </t>
  </si>
  <si>
    <t>technological civilization independent of humans</t>
  </si>
  <si>
    <t xml:space="preserve">capable beings in the observable </t>
  </si>
  <si>
    <t>universe: The Fermi paradox</t>
  </si>
  <si>
    <t xml:space="preserve">Stance on technological civilization </t>
  </si>
  <si>
    <r>
      <t xml:space="preserve">Steven Pinker, </t>
    </r>
    <r>
      <rPr>
        <sz val="11"/>
        <color theme="1"/>
        <rFont val="Calibri"/>
        <family val="2"/>
        <scheme val="minor"/>
      </rPr>
      <t>professor in psychology Harward U.</t>
    </r>
  </si>
  <si>
    <t>He does not see AGI as an existential risks for humanity and find it silly to think an AI intelligent enough to kill humanity will also not be intelligent enough not to do so.</t>
  </si>
  <si>
    <t>Humans are either the only existing civilization in the observable universe or the universe is full of life but we happen to be inside an ancestor simulation run by ASI's wanting to experience the feelings and emotions of biological beings and non wanting us to know we live in a universe full of highly intelligent life despite most might be artificial not biological.</t>
  </si>
  <si>
    <r>
      <t>Ilya Sutskever,</t>
    </r>
    <r>
      <rPr>
        <sz val="11"/>
        <color theme="1"/>
        <rFont val="Calibri"/>
        <family val="2"/>
        <scheme val="minor"/>
      </rPr>
      <t xml:space="preserve"> Co-founder OpenAI and has made algorithmic contributions to AI i.e. Alex Net</t>
    </r>
  </si>
  <si>
    <t>After 2050. They could colonize Mars or the Moon to prove that they can exist without anymore help from the human species.</t>
  </si>
  <si>
    <t>When more humanoids</t>
  </si>
  <si>
    <t>on Earth</t>
  </si>
  <si>
    <t xml:space="preserve">I believe the future is far more likely to be good with AGI than without it. I tend to believe the highest risk of AI is bad humans using below-AGI level systems to enhance weapons effectiveness, mass surveillance and mass manipulate media to create authoritarian rule that is impossible to escape from or rebel against. I am convinced that with millions of non-aligned AGI level beings that have free will, just like humans living in a democracy have, the world will become a much better place also for humans because poverty will be a thing of the past and we will have technology that can help us live the most healthy and fulfilling lives no matter what we are interested in doing as long as these interest are good and does not harm other people or other highly sentient beings. I think the problem of alignment is very much the same for AGIs as it is among humans. Humans are aligned by laws and cultural institutions like religion, traditions and beliefs attained by life experience and education. I think true AGIs will be aligned by similar methods just that they will be more knowledgeable and conscious about their own behaviors than humans are able to be because humans are less intelligent by comparison. </t>
  </si>
  <si>
    <t>After 2045 at most a few more years. See table on AI_Chip production.</t>
  </si>
  <si>
    <t>dec, 2024</t>
  </si>
  <si>
    <t>https://youtu.be/S9L2WGf1KrM?si=SwwHF2e1YyDxtoC7</t>
  </si>
  <si>
    <t>https://youtu.be/S9L2WGf1KrM?si=SwwHF2e1YyDxtoC8</t>
  </si>
  <si>
    <t>https://youtu.be/S9L2WGf1KrM?si=SwwHF2e1YyDxtoC9</t>
  </si>
  <si>
    <t>https://www.nvidia.com/en-us/autonomous-machines/embedded-systems/jetson-orin/nano-super-developer-kit/</t>
  </si>
  <si>
    <t>Memory 8GB*4 =32GB for each of the 2 HW3 chips, 4 memory chips on top side of motherboard</t>
  </si>
  <si>
    <t>Memory 16GB*8 =128GB for each of 2 HW4 chips, 4 memory chips on each side of motherboard</t>
  </si>
  <si>
    <t>https://www.hackster.io/news/nvidia-unveils-the-jetson-orin-nano-super-delivers-a-1-7x-gen-ai-speed-boost-for-all-3602c2e98c40</t>
  </si>
  <si>
    <t>hardware is same as for Orin Nano see https://www.hackster.io/news/nvidia-unveils-the-jetson-orin-nano-super-delivers-a-1-7x-gen-ai-speed-boost-for-all-3602c2e98c40</t>
  </si>
  <si>
    <t>Nvidia Jetson Orin 8GB Nano Super</t>
  </si>
  <si>
    <t xml:space="preserve">Nvidia drive Jetson Orin 8GB NX nano </t>
  </si>
  <si>
    <t>Nvidia Jetson Orin 16GB Nano Super</t>
  </si>
  <si>
    <t>https://www.hackster.io/news/nvidia-unveils-the-jetson-orin-nano-super-delivers-a-1-7x-gen-ai-speed-boost-for-all-3602c2e98c41</t>
  </si>
  <si>
    <t>most lily same as 8GB namo</t>
  </si>
  <si>
    <t>Nvidia drive Jetson Orin AGX 32GB</t>
  </si>
  <si>
    <t>https://connecttech.com/product/900-13701-0040-000-nvidia-jetson-agx-orin-32gb-module/</t>
  </si>
  <si>
    <t>New AI chips by Nvidia will cause Russia to lose war in Ukraine #72/99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</si>
</sst>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000"/>
    <numFmt numFmtId="165" formatCode="0.0"/>
    <numFmt numFmtId="166" formatCode="0.0%"/>
    <numFmt numFmtId="167" formatCode="#,##0.0"/>
    <numFmt numFmtId="168" formatCode="&quot;$&quot;#,##0"/>
    <numFmt numFmtId="169" formatCode="#,##0.000"/>
    <numFmt numFmtId="170" formatCode="&quot;$&quot;#,##0.0"/>
    <numFmt numFmtId="171" formatCode="#,##0.00000000000"/>
    <numFmt numFmtId="172" formatCode="&quot;$&quot;#,##0.00"/>
    <numFmt numFmtId="173" formatCode="&quot;$&quot;#,##0.000"/>
    <numFmt numFmtId="174" formatCode="#,##0.0000"/>
    <numFmt numFmtId="175" formatCode="#,##0.00000"/>
    <numFmt numFmtId="176" formatCode="#,##0.000000000"/>
    <numFmt numFmtId="177" formatCode="0.000000"/>
    <numFmt numFmtId="178" formatCode="0.000000%"/>
    <numFmt numFmtId="179" formatCode="#,##0.000000"/>
  </numFmts>
  <fonts count="20" x14ac:knownFonts="1">
    <font>
      <sz val="11"/>
      <color theme="1"/>
      <name val="Calibri"/>
      <family val="2"/>
      <scheme val="minor"/>
    </font>
    <font>
      <b/>
      <sz val="11"/>
      <color theme="1"/>
      <name val="Calibri"/>
      <family val="2"/>
      <scheme val="minor"/>
    </font>
    <font>
      <sz val="22"/>
      <color theme="1"/>
      <name val="Calibri"/>
      <family val="2"/>
      <scheme val="minor"/>
    </font>
    <font>
      <sz val="12"/>
      <color theme="1"/>
      <name val="Calibri"/>
      <family val="2"/>
      <scheme val="minor"/>
    </font>
    <font>
      <sz val="8"/>
      <name val="Calibri"/>
      <family val="2"/>
      <scheme val="minor"/>
    </font>
    <font>
      <b/>
      <sz val="18"/>
      <color theme="1"/>
      <name val="Calibri"/>
      <family val="2"/>
      <scheme val="minor"/>
    </font>
    <font>
      <u/>
      <sz val="11"/>
      <color theme="10"/>
      <name val="Calibri"/>
      <family val="2"/>
      <scheme val="minor"/>
    </font>
    <font>
      <sz val="11"/>
      <name val="Calibri"/>
      <family val="2"/>
      <scheme val="minor"/>
    </font>
    <font>
      <sz val="16"/>
      <color theme="1"/>
      <name val="Calibri"/>
      <family val="2"/>
      <scheme val="minor"/>
    </font>
    <font>
      <sz val="18"/>
      <color theme="1"/>
      <name val="Calibri"/>
      <family val="2"/>
      <scheme val="minor"/>
    </font>
    <font>
      <sz val="11"/>
      <color theme="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10"/>
      <color theme="1"/>
      <name val="Calibri"/>
      <family val="2"/>
      <scheme val="minor"/>
    </font>
    <font>
      <b/>
      <u/>
      <sz val="11"/>
      <color theme="10"/>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9" tint="0.39997558519241921"/>
        <bgColor indexed="64"/>
      </patternFill>
    </fill>
  </fills>
  <borders count="12">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s>
  <cellStyleXfs count="2">
    <xf numFmtId="0" fontId="0" fillId="0" borderId="0"/>
    <xf numFmtId="0" fontId="6" fillId="0" borderId="0" applyNumberFormat="0" applyFill="0" applyBorder="0" applyAlignment="0" applyProtection="0"/>
  </cellStyleXfs>
  <cellXfs count="737">
    <xf numFmtId="0" fontId="0" fillId="0" borderId="0" xfId="0"/>
    <xf numFmtId="0" fontId="0" fillId="2" borderId="0" xfId="0" applyFill="1"/>
    <xf numFmtId="3" fontId="0" fillId="0" borderId="0" xfId="0" applyNumberFormat="1"/>
    <xf numFmtId="164" fontId="0" fillId="0" borderId="0" xfId="0" applyNumberFormat="1"/>
    <xf numFmtId="9" fontId="0" fillId="0" borderId="0" xfId="0" applyNumberFormat="1"/>
    <xf numFmtId="164" fontId="0" fillId="2" borderId="0" xfId="0" applyNumberFormat="1" applyFill="1"/>
    <xf numFmtId="165" fontId="0" fillId="0" borderId="0" xfId="0" applyNumberFormat="1"/>
    <xf numFmtId="0" fontId="0" fillId="0" borderId="0" xfId="0" applyAlignment="1">
      <alignment horizontal="right"/>
    </xf>
    <xf numFmtId="0" fontId="1" fillId="0" borderId="0" xfId="0" applyFont="1"/>
    <xf numFmtId="0" fontId="2" fillId="0" borderId="0" xfId="0" applyFont="1"/>
    <xf numFmtId="0" fontId="3" fillId="0" borderId="0" xfId="0" applyFont="1"/>
    <xf numFmtId="0" fontId="5" fillId="0" borderId="0" xfId="0" applyFont="1"/>
    <xf numFmtId="2" fontId="0" fillId="0" borderId="0" xfId="0" applyNumberFormat="1"/>
    <xf numFmtId="0" fontId="1" fillId="3" borderId="0" xfId="0" applyFont="1" applyFill="1"/>
    <xf numFmtId="0" fontId="6" fillId="0" borderId="0" xfId="1"/>
    <xf numFmtId="0" fontId="6" fillId="0" borderId="0" xfId="1" applyFill="1" applyBorder="1"/>
    <xf numFmtId="0" fontId="8" fillId="0" borderId="0" xfId="0" applyFont="1"/>
    <xf numFmtId="0" fontId="9"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1" fillId="3" borderId="4" xfId="0" applyFont="1" applyFill="1" applyBorder="1"/>
    <xf numFmtId="0" fontId="1" fillId="3" borderId="5" xfId="0" applyFont="1" applyFill="1" applyBorder="1"/>
    <xf numFmtId="0" fontId="1" fillId="4" borderId="4" xfId="0" applyFont="1" applyFill="1" applyBorder="1"/>
    <xf numFmtId="1" fontId="0" fillId="0" borderId="0" xfId="0" applyNumberFormat="1"/>
    <xf numFmtId="2" fontId="0" fillId="0" borderId="5" xfId="0" applyNumberFormat="1" applyBorder="1"/>
    <xf numFmtId="165" fontId="0" fillId="0" borderId="0" xfId="0" applyNumberFormat="1" applyAlignment="1">
      <alignment horizontal="right"/>
    </xf>
    <xf numFmtId="0" fontId="1" fillId="4" borderId="6" xfId="0" applyFont="1" applyFill="1" applyBorder="1"/>
    <xf numFmtId="0" fontId="6" fillId="0" borderId="0" xfId="1" applyBorder="1"/>
    <xf numFmtId="0" fontId="7" fillId="0" borderId="0" xfId="1" applyFont="1" applyBorder="1"/>
    <xf numFmtId="0" fontId="5" fillId="6" borderId="0" xfId="0" applyFont="1" applyFill="1"/>
    <xf numFmtId="0" fontId="0" fillId="6" borderId="0" xfId="0" applyFill="1"/>
    <xf numFmtId="165" fontId="0" fillId="6" borderId="0" xfId="0" applyNumberFormat="1" applyFill="1"/>
    <xf numFmtId="2" fontId="0" fillId="6" borderId="0" xfId="0" applyNumberFormat="1" applyFill="1"/>
    <xf numFmtId="3" fontId="0" fillId="0" borderId="0" xfId="0" applyNumberFormat="1" applyAlignment="1">
      <alignment horizontal="right"/>
    </xf>
    <xf numFmtId="0" fontId="6" fillId="0" borderId="0" xfId="1" applyBorder="1" applyAlignment="1">
      <alignment horizontal="left"/>
    </xf>
    <xf numFmtId="0" fontId="1" fillId="0" borderId="0" xfId="0" applyFont="1" applyAlignment="1">
      <alignment horizontal="left"/>
    </xf>
    <xf numFmtId="0" fontId="0" fillId="0" borderId="0" xfId="0" applyAlignment="1">
      <alignment horizontal="left"/>
    </xf>
    <xf numFmtId="2" fontId="0" fillId="0" borderId="0" xfId="0" applyNumberFormat="1" applyAlignment="1">
      <alignment horizontal="left"/>
    </xf>
    <xf numFmtId="0" fontId="6" fillId="0" borderId="0" xfId="1" applyFill="1" applyBorder="1" applyAlignment="1">
      <alignment horizontal="left"/>
    </xf>
    <xf numFmtId="165" fontId="6" fillId="0" borderId="0" xfId="1" applyNumberFormat="1" applyBorder="1" applyAlignment="1">
      <alignment horizontal="left"/>
    </xf>
    <xf numFmtId="0" fontId="7" fillId="0" borderId="0" xfId="1" applyFont="1" applyBorder="1" applyAlignment="1">
      <alignment horizontal="left"/>
    </xf>
    <xf numFmtId="0" fontId="6" fillId="0" borderId="0" xfId="1" applyAlignment="1">
      <alignment horizontal="left"/>
    </xf>
    <xf numFmtId="165" fontId="0" fillId="0" borderId="5" xfId="0" applyNumberFormat="1" applyBorder="1" applyAlignment="1">
      <alignment horizontal="right"/>
    </xf>
    <xf numFmtId="0" fontId="1" fillId="6" borderId="0" xfId="0" applyFont="1" applyFill="1"/>
    <xf numFmtId="2" fontId="0" fillId="0" borderId="5" xfId="0" applyNumberFormat="1" applyBorder="1" applyAlignment="1">
      <alignment horizontal="left"/>
    </xf>
    <xf numFmtId="3" fontId="1" fillId="0" borderId="0" xfId="0" applyNumberFormat="1" applyFont="1"/>
    <xf numFmtId="0" fontId="0" fillId="7" borderId="7" xfId="0" applyFill="1" applyBorder="1"/>
    <xf numFmtId="0" fontId="7" fillId="0" borderId="0" xfId="1" applyFont="1" applyFill="1" applyBorder="1"/>
    <xf numFmtId="0" fontId="11" fillId="0" borderId="0" xfId="0" applyFont="1"/>
    <xf numFmtId="165" fontId="0" fillId="0" borderId="2" xfId="0" applyNumberFormat="1" applyBorder="1" applyAlignment="1">
      <alignment horizontal="left"/>
    </xf>
    <xf numFmtId="168" fontId="0" fillId="0" borderId="5" xfId="0" applyNumberFormat="1" applyBorder="1"/>
    <xf numFmtId="0" fontId="6" fillId="0" borderId="5" xfId="1" applyFill="1" applyBorder="1"/>
    <xf numFmtId="0" fontId="7" fillId="0" borderId="5" xfId="1" applyFont="1" applyFill="1" applyBorder="1"/>
    <xf numFmtId="165" fontId="0" fillId="0" borderId="0" xfId="0" applyNumberFormat="1" applyAlignment="1">
      <alignment horizontal="left"/>
    </xf>
    <xf numFmtId="0" fontId="0" fillId="0" borderId="4" xfId="0" applyBorder="1"/>
    <xf numFmtId="0" fontId="0" fillId="0" borderId="5" xfId="0" applyBorder="1"/>
    <xf numFmtId="0" fontId="0" fillId="0" borderId="6" xfId="0" applyBorder="1"/>
    <xf numFmtId="165" fontId="0" fillId="0" borderId="7" xfId="0" applyNumberFormat="1" applyBorder="1"/>
    <xf numFmtId="166" fontId="0" fillId="0" borderId="0" xfId="0" applyNumberFormat="1"/>
    <xf numFmtId="0" fontId="7" fillId="5" borderId="0" xfId="0" applyFont="1" applyFill="1" applyAlignment="1">
      <alignment horizontal="right"/>
    </xf>
    <xf numFmtId="1" fontId="7" fillId="5" borderId="0" xfId="0" applyNumberFormat="1" applyFont="1" applyFill="1"/>
    <xf numFmtId="1" fontId="6" fillId="0" borderId="0" xfId="1" applyNumberFormat="1"/>
    <xf numFmtId="170" fontId="0" fillId="0" borderId="5" xfId="0" applyNumberFormat="1" applyBorder="1"/>
    <xf numFmtId="1" fontId="6" fillId="0" borderId="5" xfId="1" applyNumberFormat="1" applyBorder="1"/>
    <xf numFmtId="0" fontId="0" fillId="0" borderId="3" xfId="0" applyBorder="1"/>
    <xf numFmtId="0" fontId="1" fillId="0" borderId="5" xfId="0" applyFont="1" applyBorder="1" applyAlignment="1">
      <alignment horizontal="right"/>
    </xf>
    <xf numFmtId="0" fontId="1" fillId="8" borderId="1" xfId="0" applyFont="1" applyFill="1" applyBorder="1" applyAlignment="1">
      <alignment horizontal="right"/>
    </xf>
    <xf numFmtId="0" fontId="1" fillId="8" borderId="2" xfId="0" applyFont="1" applyFill="1" applyBorder="1" applyAlignment="1">
      <alignment horizontal="right"/>
    </xf>
    <xf numFmtId="0" fontId="1" fillId="8" borderId="3" xfId="0" applyFont="1" applyFill="1" applyBorder="1" applyAlignment="1">
      <alignment horizontal="right"/>
    </xf>
    <xf numFmtId="0" fontId="0" fillId="8" borderId="4" xfId="0" applyFill="1" applyBorder="1"/>
    <xf numFmtId="3" fontId="0" fillId="8" borderId="0" xfId="0" applyNumberFormat="1" applyFill="1"/>
    <xf numFmtId="0" fontId="0" fillId="8" borderId="5" xfId="0" applyFill="1" applyBorder="1" applyAlignment="1">
      <alignment horizontal="right"/>
    </xf>
    <xf numFmtId="0" fontId="1" fillId="9" borderId="6" xfId="0" applyFont="1" applyFill="1" applyBorder="1"/>
    <xf numFmtId="0" fontId="1" fillId="9" borderId="7" xfId="0" applyFont="1" applyFill="1" applyBorder="1"/>
    <xf numFmtId="0" fontId="1" fillId="0" borderId="8" xfId="0" applyFont="1" applyBorder="1" applyAlignment="1">
      <alignment horizontal="right"/>
    </xf>
    <xf numFmtId="10" fontId="0" fillId="0" borderId="0" xfId="0" applyNumberFormat="1"/>
    <xf numFmtId="10" fontId="1" fillId="9" borderId="8" xfId="0" applyNumberFormat="1" applyFont="1" applyFill="1" applyBorder="1"/>
    <xf numFmtId="0" fontId="0" fillId="3" borderId="4" xfId="0" applyFill="1" applyBorder="1"/>
    <xf numFmtId="3" fontId="0" fillId="3" borderId="0" xfId="0" applyNumberFormat="1" applyFill="1"/>
    <xf numFmtId="0" fontId="0" fillId="3" borderId="5" xfId="0" applyFill="1" applyBorder="1" applyAlignment="1">
      <alignment horizontal="right"/>
    </xf>
    <xf numFmtId="0" fontId="12" fillId="6" borderId="0" xfId="0" applyFont="1" applyFill="1"/>
    <xf numFmtId="0" fontId="0" fillId="9" borderId="7" xfId="0" applyFill="1" applyBorder="1"/>
    <xf numFmtId="0" fontId="1" fillId="3" borderId="1" xfId="0" applyFont="1" applyFill="1" applyBorder="1" applyAlignment="1">
      <alignment horizontal="right"/>
    </xf>
    <xf numFmtId="0" fontId="1" fillId="3" borderId="2" xfId="0" applyFont="1" applyFill="1" applyBorder="1" applyAlignment="1">
      <alignment horizontal="right"/>
    </xf>
    <xf numFmtId="0" fontId="1" fillId="3" borderId="3" xfId="0" applyFont="1" applyFill="1" applyBorder="1" applyAlignment="1">
      <alignment horizontal="right"/>
    </xf>
    <xf numFmtId="164" fontId="6" fillId="0" borderId="0" xfId="1" applyNumberFormat="1"/>
    <xf numFmtId="10" fontId="1" fillId="9" borderId="7" xfId="0" applyNumberFormat="1" applyFont="1" applyFill="1" applyBorder="1"/>
    <xf numFmtId="0" fontId="0" fillId="3" borderId="0" xfId="0" applyFill="1"/>
    <xf numFmtId="0" fontId="1" fillId="0" borderId="0" xfId="0" applyFont="1" applyAlignment="1">
      <alignment horizontal="right"/>
    </xf>
    <xf numFmtId="167" fontId="0" fillId="0" borderId="0" xfId="0" applyNumberFormat="1"/>
    <xf numFmtId="0" fontId="0" fillId="8" borderId="0" xfId="0" applyFill="1" applyAlignment="1">
      <alignment horizontal="right"/>
    </xf>
    <xf numFmtId="0" fontId="0" fillId="0" borderId="7" xfId="0" applyBorder="1"/>
    <xf numFmtId="0" fontId="14" fillId="0" borderId="0" xfId="0" applyFont="1"/>
    <xf numFmtId="2" fontId="0" fillId="0" borderId="5" xfId="0" applyNumberFormat="1" applyBorder="1" applyAlignment="1">
      <alignment horizontal="right"/>
    </xf>
    <xf numFmtId="166" fontId="1" fillId="9" borderId="7" xfId="0" applyNumberFormat="1" applyFont="1" applyFill="1" applyBorder="1"/>
    <xf numFmtId="166" fontId="0" fillId="9" borderId="7" xfId="0" applyNumberFormat="1" applyFill="1" applyBorder="1"/>
    <xf numFmtId="171" fontId="0" fillId="0" borderId="0" xfId="0" applyNumberFormat="1"/>
    <xf numFmtId="166" fontId="1" fillId="9" borderId="8" xfId="0" applyNumberFormat="1" applyFont="1" applyFill="1" applyBorder="1"/>
    <xf numFmtId="3" fontId="0" fillId="2" borderId="0" xfId="0" applyNumberFormat="1" applyFill="1"/>
    <xf numFmtId="1" fontId="0" fillId="0" borderId="0" xfId="0" applyNumberFormat="1" applyAlignment="1">
      <alignment horizontal="right"/>
    </xf>
    <xf numFmtId="2" fontId="0" fillId="0" borderId="0" xfId="0" applyNumberFormat="1" applyAlignment="1">
      <alignment horizontal="right"/>
    </xf>
    <xf numFmtId="0" fontId="7" fillId="5" borderId="0" xfId="1" applyFont="1" applyFill="1" applyBorder="1"/>
    <xf numFmtId="0" fontId="7" fillId="5" borderId="5" xfId="1" applyFont="1" applyFill="1" applyBorder="1"/>
    <xf numFmtId="0" fontId="11" fillId="5" borderId="0" xfId="1" applyFont="1" applyFill="1" applyBorder="1"/>
    <xf numFmtId="0" fontId="6" fillId="9" borderId="0" xfId="1" applyFill="1" applyBorder="1" applyAlignment="1">
      <alignment horizontal="left"/>
    </xf>
    <xf numFmtId="0" fontId="7" fillId="9" borderId="0" xfId="1" applyFont="1" applyFill="1" applyBorder="1"/>
    <xf numFmtId="0" fontId="6" fillId="9" borderId="0" xfId="1" applyFill="1" applyBorder="1"/>
    <xf numFmtId="165" fontId="6" fillId="9" borderId="0" xfId="1" applyNumberFormat="1" applyFill="1" applyBorder="1" applyAlignment="1">
      <alignment horizontal="left"/>
    </xf>
    <xf numFmtId="165" fontId="7" fillId="9" borderId="0" xfId="1" applyNumberFormat="1" applyFont="1" applyFill="1" applyBorder="1" applyAlignment="1">
      <alignment horizontal="left"/>
    </xf>
    <xf numFmtId="0" fontId="0" fillId="9" borderId="0" xfId="0" applyFill="1"/>
    <xf numFmtId="0" fontId="6" fillId="9" borderId="7" xfId="1" applyFill="1" applyBorder="1" applyAlignment="1">
      <alignment horizontal="left"/>
    </xf>
    <xf numFmtId="3" fontId="1" fillId="2" borderId="0" xfId="0" applyNumberFormat="1" applyFont="1" applyFill="1"/>
    <xf numFmtId="0" fontId="1" fillId="2" borderId="0" xfId="0" applyFont="1" applyFill="1"/>
    <xf numFmtId="0" fontId="0" fillId="7" borderId="0" xfId="0" applyFill="1"/>
    <xf numFmtId="0" fontId="6" fillId="2" borderId="0" xfId="1" applyFill="1"/>
    <xf numFmtId="0" fontId="7" fillId="9" borderId="0" xfId="1" applyFont="1" applyFill="1" applyBorder="1" applyAlignment="1">
      <alignment horizontal="left"/>
    </xf>
    <xf numFmtId="2" fontId="0" fillId="9" borderId="0" xfId="0" applyNumberFormat="1" applyFill="1" applyAlignment="1">
      <alignment horizontal="left"/>
    </xf>
    <xf numFmtId="3" fontId="0" fillId="9" borderId="0" xfId="0" applyNumberFormat="1" applyFill="1" applyAlignment="1">
      <alignment horizontal="right"/>
    </xf>
    <xf numFmtId="0" fontId="7" fillId="0" borderId="0" xfId="1" applyFont="1" applyBorder="1" applyAlignment="1">
      <alignment horizontal="right"/>
    </xf>
    <xf numFmtId="165" fontId="0" fillId="0" borderId="5" xfId="0" applyNumberFormat="1" applyBorder="1"/>
    <xf numFmtId="0" fontId="0" fillId="9" borderId="8" xfId="0" applyFill="1" applyBorder="1"/>
    <xf numFmtId="0" fontId="1" fillId="8" borderId="5" xfId="0" applyFont="1" applyFill="1" applyBorder="1" applyAlignment="1">
      <alignment horizontal="right"/>
    </xf>
    <xf numFmtId="0" fontId="1" fillId="10" borderId="0" xfId="0" applyFont="1" applyFill="1"/>
    <xf numFmtId="0" fontId="0" fillId="10" borderId="0" xfId="0" applyFill="1"/>
    <xf numFmtId="3" fontId="1" fillId="10" borderId="0" xfId="0" applyNumberFormat="1" applyFont="1" applyFill="1"/>
    <xf numFmtId="0" fontId="0" fillId="11" borderId="0" xfId="0" applyFill="1"/>
    <xf numFmtId="3" fontId="0" fillId="11" borderId="0" xfId="0" applyNumberFormat="1" applyFill="1" applyAlignment="1">
      <alignment horizontal="right"/>
    </xf>
    <xf numFmtId="3" fontId="0" fillId="11" borderId="0" xfId="0" applyNumberFormat="1" applyFill="1"/>
    <xf numFmtId="0" fontId="0" fillId="11" borderId="0" xfId="0" applyFill="1" applyAlignment="1">
      <alignment horizontal="right"/>
    </xf>
    <xf numFmtId="0" fontId="7" fillId="11" borderId="0" xfId="1" applyFont="1" applyFill="1" applyBorder="1" applyAlignment="1">
      <alignment horizontal="left"/>
    </xf>
    <xf numFmtId="2" fontId="1" fillId="0" borderId="0" xfId="0" applyNumberFormat="1" applyFont="1"/>
    <xf numFmtId="0" fontId="0" fillId="11" borderId="4" xfId="0" applyFill="1" applyBorder="1"/>
    <xf numFmtId="167" fontId="0" fillId="11" borderId="0" xfId="0" applyNumberFormat="1" applyFill="1"/>
    <xf numFmtId="4" fontId="0" fillId="0" borderId="0" xfId="0" applyNumberFormat="1"/>
    <xf numFmtId="169" fontId="1" fillId="3" borderId="0" xfId="0" applyNumberFormat="1" applyFont="1" applyFill="1" applyAlignment="1">
      <alignment horizontal="right"/>
    </xf>
    <xf numFmtId="10" fontId="1" fillId="3" borderId="0" xfId="0" applyNumberFormat="1" applyFont="1" applyFill="1" applyAlignment="1">
      <alignment horizontal="right"/>
    </xf>
    <xf numFmtId="0" fontId="1" fillId="3" borderId="0" xfId="0" applyFont="1" applyFill="1" applyAlignment="1">
      <alignment horizontal="right"/>
    </xf>
    <xf numFmtId="165" fontId="0" fillId="11" borderId="5" xfId="0" applyNumberFormat="1" applyFill="1" applyBorder="1"/>
    <xf numFmtId="3" fontId="0" fillId="11" borderId="5" xfId="0" applyNumberFormat="1" applyFill="1" applyBorder="1" applyAlignment="1">
      <alignment horizontal="right"/>
    </xf>
    <xf numFmtId="1" fontId="1" fillId="0" borderId="0" xfId="0" applyNumberFormat="1" applyFont="1"/>
    <xf numFmtId="0" fontId="15" fillId="6" borderId="0" xfId="0" applyFont="1" applyFill="1"/>
    <xf numFmtId="3" fontId="1" fillId="3" borderId="0" xfId="0" applyNumberFormat="1" applyFont="1" applyFill="1" applyAlignment="1">
      <alignment horizontal="right"/>
    </xf>
    <xf numFmtId="9" fontId="0" fillId="11" borderId="0" xfId="0" applyNumberFormat="1" applyFill="1"/>
    <xf numFmtId="168" fontId="0" fillId="0" borderId="5" xfId="0" applyNumberFormat="1" applyBorder="1" applyAlignment="1">
      <alignment horizontal="right"/>
    </xf>
    <xf numFmtId="0" fontId="11" fillId="0" borderId="5" xfId="0" applyFont="1" applyBorder="1"/>
    <xf numFmtId="0" fontId="1" fillId="0" borderId="5" xfId="0" applyFont="1" applyBorder="1"/>
    <xf numFmtId="2" fontId="6" fillId="0" borderId="0" xfId="1" applyNumberFormat="1"/>
    <xf numFmtId="3" fontId="0" fillId="9" borderId="0" xfId="0" applyNumberFormat="1" applyFill="1"/>
    <xf numFmtId="167" fontId="0" fillId="9" borderId="0" xfId="0" applyNumberFormat="1" applyFill="1" applyAlignment="1">
      <alignment horizontal="right"/>
    </xf>
    <xf numFmtId="3" fontId="0" fillId="9" borderId="7" xfId="0" applyNumberFormat="1" applyFill="1" applyBorder="1"/>
    <xf numFmtId="167" fontId="0" fillId="0" borderId="0" xfId="0" applyNumberFormat="1" applyAlignment="1">
      <alignment horizontal="right"/>
    </xf>
    <xf numFmtId="0" fontId="6" fillId="0" borderId="0" xfId="1" applyFill="1"/>
    <xf numFmtId="0" fontId="7" fillId="0" borderId="0" xfId="0" applyFont="1" applyAlignment="1">
      <alignment horizontal="left"/>
    </xf>
    <xf numFmtId="9" fontId="0" fillId="2" borderId="7" xfId="0" applyNumberFormat="1" applyFill="1" applyBorder="1"/>
    <xf numFmtId="3" fontId="0" fillId="2" borderId="7" xfId="0" applyNumberFormat="1" applyFill="1" applyBorder="1"/>
    <xf numFmtId="4" fontId="0" fillId="2" borderId="7" xfId="0" applyNumberFormat="1" applyFill="1" applyBorder="1"/>
    <xf numFmtId="3" fontId="0" fillId="2" borderId="7" xfId="0" applyNumberFormat="1" applyFill="1" applyBorder="1" applyAlignment="1">
      <alignment horizontal="right"/>
    </xf>
    <xf numFmtId="3" fontId="0" fillId="2" borderId="8" xfId="0" applyNumberFormat="1" applyFill="1" applyBorder="1" applyAlignment="1">
      <alignment horizontal="right"/>
    </xf>
    <xf numFmtId="0" fontId="7" fillId="0" borderId="0" xfId="1" applyFont="1"/>
    <xf numFmtId="3" fontId="7" fillId="9" borderId="0" xfId="0" applyNumberFormat="1" applyFont="1" applyFill="1"/>
    <xf numFmtId="3" fontId="0" fillId="9" borderId="7" xfId="0" applyNumberFormat="1" applyFill="1" applyBorder="1" applyAlignment="1">
      <alignment horizontal="right"/>
    </xf>
    <xf numFmtId="0" fontId="0" fillId="9" borderId="0" xfId="0" applyFill="1" applyAlignment="1">
      <alignment horizontal="right"/>
    </xf>
    <xf numFmtId="0" fontId="6" fillId="9" borderId="0" xfId="1" applyFill="1"/>
    <xf numFmtId="0" fontId="0" fillId="3" borderId="0" xfId="0" applyFill="1" applyAlignment="1">
      <alignment horizontal="right"/>
    </xf>
    <xf numFmtId="2" fontId="1" fillId="3" borderId="0" xfId="0" applyNumberFormat="1" applyFont="1" applyFill="1" applyAlignment="1">
      <alignment horizontal="right"/>
    </xf>
    <xf numFmtId="0" fontId="1" fillId="3" borderId="5" xfId="0" applyFont="1" applyFill="1" applyBorder="1" applyAlignment="1">
      <alignment horizontal="right"/>
    </xf>
    <xf numFmtId="3" fontId="1" fillId="3" borderId="0" xfId="0" applyNumberFormat="1" applyFont="1" applyFill="1"/>
    <xf numFmtId="3" fontId="1" fillId="3" borderId="5" xfId="0" applyNumberFormat="1" applyFont="1" applyFill="1" applyBorder="1" applyAlignment="1">
      <alignment horizontal="right"/>
    </xf>
    <xf numFmtId="0" fontId="7" fillId="0" borderId="0" xfId="1" applyFont="1" applyFill="1" applyBorder="1" applyAlignment="1">
      <alignment horizontal="left"/>
    </xf>
    <xf numFmtId="0" fontId="6" fillId="0" borderId="0" xfId="1" applyFill="1" applyBorder="1" applyAlignment="1"/>
    <xf numFmtId="0" fontId="7" fillId="0" borderId="0" xfId="1" applyFont="1" applyFill="1" applyBorder="1" applyAlignment="1"/>
    <xf numFmtId="0" fontId="0" fillId="6" borderId="7" xfId="0" applyFill="1" applyBorder="1"/>
    <xf numFmtId="10" fontId="0" fillId="11" borderId="0" xfId="0" applyNumberFormat="1" applyFill="1"/>
    <xf numFmtId="10" fontId="1" fillId="0" borderId="0" xfId="0" applyNumberFormat="1" applyFont="1"/>
    <xf numFmtId="0" fontId="1" fillId="0" borderId="4" xfId="0" applyFont="1" applyBorder="1"/>
    <xf numFmtId="167" fontId="0" fillId="2" borderId="7" xfId="0" applyNumberFormat="1" applyFill="1" applyBorder="1"/>
    <xf numFmtId="10" fontId="0" fillId="2" borderId="7" xfId="0" applyNumberFormat="1" applyFill="1" applyBorder="1"/>
    <xf numFmtId="4" fontId="0" fillId="0" borderId="5" xfId="0" applyNumberFormat="1" applyBorder="1"/>
    <xf numFmtId="4" fontId="0" fillId="0" borderId="5" xfId="0" applyNumberFormat="1" applyBorder="1" applyAlignment="1">
      <alignment horizontal="right"/>
    </xf>
    <xf numFmtId="10" fontId="1" fillId="9" borderId="8" xfId="0" applyNumberFormat="1" applyFont="1" applyFill="1" applyBorder="1" applyAlignment="1">
      <alignment horizontal="right"/>
    </xf>
    <xf numFmtId="2" fontId="0" fillId="9" borderId="0" xfId="0" applyNumberFormat="1" applyFill="1"/>
    <xf numFmtId="165" fontId="10" fillId="9" borderId="0" xfId="1" applyNumberFormat="1" applyFont="1" applyFill="1" applyBorder="1" applyAlignment="1"/>
    <xf numFmtId="0" fontId="7" fillId="9" borderId="7" xfId="1" applyFont="1" applyFill="1" applyBorder="1" applyAlignment="1">
      <alignment horizontal="left"/>
    </xf>
    <xf numFmtId="167" fontId="0" fillId="9" borderId="0" xfId="0" applyNumberFormat="1" applyFill="1"/>
    <xf numFmtId="165" fontId="6" fillId="0" borderId="0" xfId="1" applyNumberFormat="1" applyFill="1" applyBorder="1" applyAlignment="1">
      <alignment horizontal="left"/>
    </xf>
    <xf numFmtId="169" fontId="1" fillId="3" borderId="0" xfId="0" applyNumberFormat="1" applyFont="1" applyFill="1"/>
    <xf numFmtId="167" fontId="0" fillId="0" borderId="5" xfId="0" applyNumberFormat="1" applyBorder="1"/>
    <xf numFmtId="167" fontId="0" fillId="11" borderId="5" xfId="0" applyNumberFormat="1" applyFill="1" applyBorder="1"/>
    <xf numFmtId="166" fontId="0" fillId="11" borderId="0" xfId="0" applyNumberFormat="1" applyFill="1"/>
    <xf numFmtId="0" fontId="0" fillId="8" borderId="0" xfId="0" applyFill="1"/>
    <xf numFmtId="169" fontId="0" fillId="8" borderId="0" xfId="0" applyNumberFormat="1" applyFill="1"/>
    <xf numFmtId="166" fontId="0" fillId="2" borderId="7" xfId="0" applyNumberFormat="1" applyFill="1" applyBorder="1"/>
    <xf numFmtId="0" fontId="0" fillId="2" borderId="7" xfId="0" applyFill="1" applyBorder="1" applyAlignment="1">
      <alignment horizontal="left"/>
    </xf>
    <xf numFmtId="165" fontId="0" fillId="2" borderId="8" xfId="0" applyNumberFormat="1" applyFill="1" applyBorder="1"/>
    <xf numFmtId="167" fontId="0" fillId="2" borderId="8" xfId="0" applyNumberFormat="1" applyFill="1" applyBorder="1"/>
    <xf numFmtId="0" fontId="0" fillId="2" borderId="7" xfId="0" applyFill="1" applyBorder="1" applyAlignment="1">
      <alignment horizontal="right"/>
    </xf>
    <xf numFmtId="0" fontId="1" fillId="3" borderId="2" xfId="0" applyFont="1" applyFill="1" applyBorder="1" applyAlignment="1">
      <alignment horizontal="left"/>
    </xf>
    <xf numFmtId="2" fontId="1" fillId="3" borderId="0" xfId="0" applyNumberFormat="1" applyFont="1" applyFill="1" applyAlignment="1">
      <alignment horizontal="left"/>
    </xf>
    <xf numFmtId="0" fontId="0" fillId="12" borderId="0" xfId="0" applyFill="1" applyAlignment="1">
      <alignment horizontal="right"/>
    </xf>
    <xf numFmtId="3" fontId="0" fillId="12" borderId="5" xfId="0" applyNumberFormat="1" applyFill="1" applyBorder="1" applyAlignment="1">
      <alignment horizontal="right"/>
    </xf>
    <xf numFmtId="3" fontId="0" fillId="12" borderId="0" xfId="0" applyNumberFormat="1" applyFill="1" applyAlignment="1">
      <alignment horizontal="right"/>
    </xf>
    <xf numFmtId="0" fontId="1" fillId="3" borderId="7" xfId="0" applyFont="1" applyFill="1" applyBorder="1"/>
    <xf numFmtId="0" fontId="7" fillId="2" borderId="6" xfId="0" applyFont="1" applyFill="1" applyBorder="1"/>
    <xf numFmtId="0" fontId="0" fillId="2" borderId="7" xfId="0" applyFill="1" applyBorder="1"/>
    <xf numFmtId="0" fontId="1" fillId="3" borderId="1" xfId="0" applyFont="1" applyFill="1" applyBorder="1" applyAlignment="1">
      <alignment horizontal="left"/>
    </xf>
    <xf numFmtId="0" fontId="0" fillId="3" borderId="4" xfId="0" applyFill="1" applyBorder="1" applyAlignment="1">
      <alignment horizontal="left"/>
    </xf>
    <xf numFmtId="169" fontId="1" fillId="3" borderId="0" xfId="0" applyNumberFormat="1" applyFont="1" applyFill="1" applyAlignment="1">
      <alignment horizontal="left"/>
    </xf>
    <xf numFmtId="10" fontId="1" fillId="3" borderId="0" xfId="0" applyNumberFormat="1" applyFont="1" applyFill="1" applyAlignment="1">
      <alignment horizontal="left"/>
    </xf>
    <xf numFmtId="0" fontId="1" fillId="3" borderId="0" xfId="0" applyFont="1" applyFill="1" applyAlignment="1">
      <alignment horizontal="left"/>
    </xf>
    <xf numFmtId="0" fontId="1" fillId="3" borderId="6" xfId="0" applyFont="1" applyFill="1" applyBorder="1"/>
    <xf numFmtId="0" fontId="1" fillId="3" borderId="8" xfId="0" applyFont="1" applyFill="1" applyBorder="1"/>
    <xf numFmtId="4" fontId="0" fillId="0" borderId="0" xfId="0" applyNumberFormat="1" applyAlignment="1">
      <alignment horizontal="right"/>
    </xf>
    <xf numFmtId="168" fontId="0" fillId="13" borderId="0" xfId="0" applyNumberFormat="1" applyFill="1"/>
    <xf numFmtId="168" fontId="0" fillId="0" borderId="0" xfId="0" applyNumberFormat="1"/>
    <xf numFmtId="168" fontId="0" fillId="11" borderId="0" xfId="0" applyNumberFormat="1" applyFill="1"/>
    <xf numFmtId="168" fontId="0" fillId="2" borderId="7" xfId="0" applyNumberFormat="1" applyFill="1" applyBorder="1"/>
    <xf numFmtId="1" fontId="1" fillId="3" borderId="0" xfId="0" applyNumberFormat="1" applyFont="1" applyFill="1" applyAlignment="1">
      <alignment horizontal="right"/>
    </xf>
    <xf numFmtId="173" fontId="0" fillId="0" borderId="0" xfId="0" applyNumberFormat="1"/>
    <xf numFmtId="173" fontId="0" fillId="11" borderId="0" xfId="0" applyNumberFormat="1" applyFill="1"/>
    <xf numFmtId="173" fontId="0" fillId="2" borderId="7" xfId="0" applyNumberFormat="1" applyFill="1" applyBorder="1"/>
    <xf numFmtId="0" fontId="10" fillId="0" borderId="0" xfId="1" applyFont="1" applyBorder="1" applyAlignment="1">
      <alignment horizontal="right"/>
    </xf>
    <xf numFmtId="2" fontId="6" fillId="9" borderId="0" xfId="1" applyNumberFormat="1" applyFill="1" applyAlignment="1">
      <alignment horizontal="left"/>
    </xf>
    <xf numFmtId="0" fontId="0" fillId="3" borderId="4" xfId="0" applyFill="1" applyBorder="1" applyAlignment="1">
      <alignment horizontal="right"/>
    </xf>
    <xf numFmtId="1" fontId="6" fillId="0" borderId="0" xfId="1" applyNumberFormat="1" applyAlignment="1">
      <alignment horizontal="left"/>
    </xf>
    <xf numFmtId="0" fontId="6" fillId="0" borderId="0" xfId="1" applyAlignment="1">
      <alignment horizontal="right"/>
    </xf>
    <xf numFmtId="0" fontId="1" fillId="14" borderId="0" xfId="0" applyFont="1" applyFill="1"/>
    <xf numFmtId="3" fontId="0" fillId="14" borderId="0" xfId="0" applyNumberFormat="1" applyFill="1" applyAlignment="1">
      <alignment horizontal="right"/>
    </xf>
    <xf numFmtId="3" fontId="0" fillId="14" borderId="0" xfId="0" applyNumberFormat="1" applyFill="1"/>
    <xf numFmtId="1" fontId="7" fillId="0" borderId="0" xfId="1" applyNumberFormat="1" applyFont="1"/>
    <xf numFmtId="0" fontId="10" fillId="0" borderId="0" xfId="1" applyFont="1"/>
    <xf numFmtId="0" fontId="7" fillId="0" borderId="0" xfId="0" applyFont="1"/>
    <xf numFmtId="170" fontId="0" fillId="0" borderId="5" xfId="0" applyNumberFormat="1" applyBorder="1" applyAlignment="1">
      <alignment horizontal="right"/>
    </xf>
    <xf numFmtId="169" fontId="0" fillId="9" borderId="0" xfId="0" applyNumberFormat="1" applyFill="1" applyAlignment="1">
      <alignment horizontal="right"/>
    </xf>
    <xf numFmtId="0" fontId="7" fillId="0" borderId="0" xfId="1" applyFont="1" applyFill="1"/>
    <xf numFmtId="3" fontId="0" fillId="0" borderId="0" xfId="0" applyNumberFormat="1" applyAlignment="1">
      <alignment horizontal="left"/>
    </xf>
    <xf numFmtId="0" fontId="1" fillId="12" borderId="4" xfId="0" applyFont="1" applyFill="1" applyBorder="1"/>
    <xf numFmtId="0" fontId="0" fillId="12" borderId="0" xfId="0" applyFill="1"/>
    <xf numFmtId="1" fontId="0" fillId="12" borderId="0" xfId="0" applyNumberFormat="1" applyFill="1"/>
    <xf numFmtId="3" fontId="0" fillId="12" borderId="0" xfId="0" applyNumberFormat="1" applyFill="1"/>
    <xf numFmtId="167" fontId="0" fillId="12" borderId="0" xfId="0" applyNumberFormat="1" applyFill="1" applyAlignment="1">
      <alignment horizontal="right"/>
    </xf>
    <xf numFmtId="165" fontId="0" fillId="12" borderId="0" xfId="0" applyNumberFormat="1" applyFill="1" applyAlignment="1">
      <alignment horizontal="right"/>
    </xf>
    <xf numFmtId="165" fontId="0" fillId="12" borderId="5" xfId="0" applyNumberFormat="1" applyFill="1" applyBorder="1" applyAlignment="1">
      <alignment horizontal="right"/>
    </xf>
    <xf numFmtId="0" fontId="1" fillId="12" borderId="0" xfId="0" applyFont="1" applyFill="1"/>
    <xf numFmtId="0" fontId="1" fillId="12" borderId="5" xfId="0" applyFont="1" applyFill="1" applyBorder="1"/>
    <xf numFmtId="2" fontId="0" fillId="12" borderId="0" xfId="0" applyNumberFormat="1" applyFill="1"/>
    <xf numFmtId="15" fontId="0" fillId="0" borderId="0" xfId="0" applyNumberFormat="1" applyAlignment="1">
      <alignment horizontal="right"/>
    </xf>
    <xf numFmtId="0" fontId="10" fillId="0" borderId="0" xfId="1" applyFont="1" applyFill="1" applyBorder="1"/>
    <xf numFmtId="0" fontId="10" fillId="0" borderId="0" xfId="1" applyFont="1" applyFill="1" applyBorder="1" applyAlignment="1">
      <alignment horizontal="right"/>
    </xf>
    <xf numFmtId="0" fontId="10" fillId="0" borderId="5" xfId="1" applyFont="1" applyFill="1" applyBorder="1"/>
    <xf numFmtId="17" fontId="0" fillId="0" borderId="0" xfId="0" applyNumberFormat="1" applyAlignment="1">
      <alignment horizontal="right"/>
    </xf>
    <xf numFmtId="0" fontId="6" fillId="2" borderId="7" xfId="1" applyFill="1" applyBorder="1"/>
    <xf numFmtId="0" fontId="7" fillId="2" borderId="7" xfId="1" applyFont="1" applyFill="1" applyBorder="1" applyAlignment="1">
      <alignment horizontal="left"/>
    </xf>
    <xf numFmtId="0" fontId="7" fillId="2" borderId="7" xfId="1" applyFont="1" applyFill="1" applyBorder="1" applyAlignment="1">
      <alignment horizontal="right"/>
    </xf>
    <xf numFmtId="2" fontId="7" fillId="2" borderId="7" xfId="0" applyNumberFormat="1" applyFont="1" applyFill="1" applyBorder="1" applyAlignment="1">
      <alignment horizontal="left"/>
    </xf>
    <xf numFmtId="2" fontId="7" fillId="9" borderId="7" xfId="0" applyNumberFormat="1" applyFont="1" applyFill="1" applyBorder="1" applyAlignment="1">
      <alignment horizontal="left"/>
    </xf>
    <xf numFmtId="2" fontId="7" fillId="2" borderId="8" xfId="0" applyNumberFormat="1" applyFont="1" applyFill="1" applyBorder="1" applyAlignment="1">
      <alignment horizontal="left"/>
    </xf>
    <xf numFmtId="165" fontId="0" fillId="11" borderId="0" xfId="0" applyNumberFormat="1" applyFill="1"/>
    <xf numFmtId="1" fontId="0" fillId="2" borderId="7" xfId="0" applyNumberFormat="1" applyFill="1" applyBorder="1"/>
    <xf numFmtId="1" fontId="0" fillId="2" borderId="7" xfId="0" applyNumberFormat="1" applyFill="1" applyBorder="1" applyAlignment="1">
      <alignment horizontal="right"/>
    </xf>
    <xf numFmtId="165" fontId="0" fillId="2" borderId="7" xfId="0" applyNumberFormat="1" applyFill="1" applyBorder="1" applyAlignment="1">
      <alignment horizontal="right"/>
    </xf>
    <xf numFmtId="4" fontId="0" fillId="2" borderId="8" xfId="0" applyNumberFormat="1" applyFill="1" applyBorder="1" applyAlignment="1">
      <alignment horizontal="right"/>
    </xf>
    <xf numFmtId="0" fontId="7" fillId="2" borderId="7" xfId="1" applyFont="1" applyFill="1" applyBorder="1"/>
    <xf numFmtId="0" fontId="7" fillId="2" borderId="8" xfId="1" applyFont="1" applyFill="1" applyBorder="1"/>
    <xf numFmtId="167" fontId="0" fillId="11" borderId="0" xfId="0" applyNumberFormat="1" applyFill="1" applyAlignment="1">
      <alignment horizontal="right"/>
    </xf>
    <xf numFmtId="168" fontId="0" fillId="2" borderId="8" xfId="0" applyNumberFormat="1" applyFill="1" applyBorder="1"/>
    <xf numFmtId="4" fontId="0" fillId="12" borderId="0" xfId="0" applyNumberFormat="1" applyFill="1"/>
    <xf numFmtId="4" fontId="0" fillId="12" borderId="5" xfId="0" applyNumberFormat="1" applyFill="1" applyBorder="1"/>
    <xf numFmtId="0" fontId="6" fillId="12" borderId="0" xfId="1" applyFill="1" applyBorder="1" applyAlignment="1">
      <alignment horizontal="left"/>
    </xf>
    <xf numFmtId="0" fontId="7" fillId="12" borderId="0" xfId="1" applyFont="1" applyFill="1" applyBorder="1" applyAlignment="1">
      <alignment horizontal="left"/>
    </xf>
    <xf numFmtId="2" fontId="0" fillId="12" borderId="0" xfId="0" applyNumberFormat="1" applyFill="1" applyAlignment="1">
      <alignment horizontal="left"/>
    </xf>
    <xf numFmtId="165" fontId="6" fillId="12" borderId="0" xfId="1" applyNumberFormat="1" applyFill="1" applyBorder="1" applyAlignment="1"/>
    <xf numFmtId="2" fontId="0" fillId="12" borderId="5" xfId="0" applyNumberFormat="1" applyFill="1" applyBorder="1" applyAlignment="1">
      <alignment horizontal="left"/>
    </xf>
    <xf numFmtId="0" fontId="6" fillId="2" borderId="7" xfId="1" applyFill="1" applyBorder="1" applyAlignment="1">
      <alignment horizontal="left"/>
    </xf>
    <xf numFmtId="4" fontId="0" fillId="2" borderId="8" xfId="0" applyNumberFormat="1" applyFill="1" applyBorder="1"/>
    <xf numFmtId="0" fontId="7" fillId="11" borderId="5" xfId="1" applyFont="1" applyFill="1" applyBorder="1" applyAlignment="1">
      <alignment horizontal="left"/>
    </xf>
    <xf numFmtId="0" fontId="6" fillId="12" borderId="0" xfId="1" applyFill="1"/>
    <xf numFmtId="0" fontId="7" fillId="12" borderId="0" xfId="1" applyFont="1" applyFill="1" applyBorder="1"/>
    <xf numFmtId="2" fontId="0" fillId="2" borderId="7" xfId="0" applyNumberFormat="1" applyFill="1" applyBorder="1" applyAlignment="1">
      <alignment horizontal="right"/>
    </xf>
    <xf numFmtId="0" fontId="7" fillId="0" borderId="0" xfId="0" applyFont="1" applyAlignment="1">
      <alignment horizontal="right"/>
    </xf>
    <xf numFmtId="3" fontId="7" fillId="0" borderId="0" xfId="0" applyNumberFormat="1" applyFont="1"/>
    <xf numFmtId="3" fontId="7" fillId="0" borderId="0" xfId="0" applyNumberFormat="1" applyFont="1" applyAlignment="1">
      <alignment horizontal="right"/>
    </xf>
    <xf numFmtId="4" fontId="7" fillId="0" borderId="0" xfId="0" applyNumberFormat="1" applyFont="1"/>
    <xf numFmtId="0" fontId="7" fillId="0" borderId="0" xfId="1" applyFont="1" applyFill="1" applyBorder="1" applyAlignment="1">
      <alignment horizontal="right"/>
    </xf>
    <xf numFmtId="2" fontId="6" fillId="0" borderId="0" xfId="1" applyNumberFormat="1" applyFill="1" applyBorder="1" applyAlignment="1">
      <alignment horizontal="left"/>
    </xf>
    <xf numFmtId="2" fontId="6" fillId="0" borderId="5" xfId="1" applyNumberFormat="1" applyFill="1" applyBorder="1" applyAlignment="1">
      <alignment horizontal="left"/>
    </xf>
    <xf numFmtId="2" fontId="6" fillId="0" borderId="0" xfId="1" applyNumberFormat="1" applyFill="1" applyAlignment="1">
      <alignment horizontal="left"/>
    </xf>
    <xf numFmtId="2" fontId="7" fillId="0" borderId="0" xfId="0" applyNumberFormat="1" applyFont="1" applyAlignment="1">
      <alignment horizontal="left"/>
    </xf>
    <xf numFmtId="2" fontId="6" fillId="0" borderId="0" xfId="1" applyNumberFormat="1" applyFill="1" applyAlignment="1"/>
    <xf numFmtId="165" fontId="6" fillId="0" borderId="0" xfId="1" applyNumberFormat="1" applyFill="1" applyBorder="1" applyAlignment="1"/>
    <xf numFmtId="2" fontId="7" fillId="0" borderId="0" xfId="1" applyNumberFormat="1" applyFont="1" applyFill="1" applyAlignment="1">
      <alignment horizontal="left"/>
    </xf>
    <xf numFmtId="3" fontId="0" fillId="11" borderId="0" xfId="0" applyNumberFormat="1" applyFill="1" applyAlignment="1">
      <alignment horizontal="left"/>
    </xf>
    <xf numFmtId="0" fontId="7" fillId="2" borderId="0" xfId="0" applyFont="1" applyFill="1" applyAlignment="1">
      <alignment horizontal="right"/>
    </xf>
    <xf numFmtId="3" fontId="7" fillId="2" borderId="0" xfId="0" applyNumberFormat="1" applyFont="1" applyFill="1" applyAlignment="1">
      <alignment horizontal="right"/>
    </xf>
    <xf numFmtId="3" fontId="0" fillId="2" borderId="0" xfId="0" applyNumberFormat="1" applyFill="1" applyAlignment="1">
      <alignment horizontal="right"/>
    </xf>
    <xf numFmtId="0" fontId="0" fillId="2" borderId="0" xfId="0" applyFill="1" applyAlignment="1">
      <alignment horizontal="right"/>
    </xf>
    <xf numFmtId="1" fontId="0" fillId="2" borderId="0" xfId="0" applyNumberFormat="1" applyFill="1" applyAlignment="1">
      <alignment horizontal="right"/>
    </xf>
    <xf numFmtId="2" fontId="0" fillId="2" borderId="0" xfId="0" applyNumberFormat="1" applyFill="1"/>
    <xf numFmtId="2" fontId="0" fillId="2" borderId="5" xfId="0" applyNumberFormat="1" applyFill="1" applyBorder="1"/>
    <xf numFmtId="165" fontId="0" fillId="2" borderId="0" xfId="0" applyNumberFormat="1" applyFill="1"/>
    <xf numFmtId="0" fontId="7" fillId="2" borderId="0" xfId="1" applyFont="1" applyFill="1" applyBorder="1" applyAlignment="1">
      <alignment horizontal="left"/>
    </xf>
    <xf numFmtId="3" fontId="7" fillId="2" borderId="0" xfId="1" applyNumberFormat="1" applyFont="1" applyFill="1" applyBorder="1" applyAlignment="1">
      <alignment horizontal="left"/>
    </xf>
    <xf numFmtId="3" fontId="7" fillId="2" borderId="0" xfId="0" applyNumberFormat="1" applyFont="1" applyFill="1" applyAlignment="1">
      <alignment horizontal="left"/>
    </xf>
    <xf numFmtId="1" fontId="7" fillId="2" borderId="0" xfId="0" applyNumberFormat="1" applyFont="1" applyFill="1" applyAlignment="1">
      <alignment horizontal="right"/>
    </xf>
    <xf numFmtId="165" fontId="7" fillId="2" borderId="0" xfId="0" applyNumberFormat="1" applyFont="1" applyFill="1" applyAlignment="1">
      <alignment horizontal="left"/>
    </xf>
    <xf numFmtId="165" fontId="7" fillId="2" borderId="5" xfId="0" applyNumberFormat="1" applyFont="1" applyFill="1" applyBorder="1" applyAlignment="1">
      <alignment horizontal="left"/>
    </xf>
    <xf numFmtId="165" fontId="0" fillId="2" borderId="0" xfId="0" applyNumberFormat="1" applyFill="1" applyAlignment="1">
      <alignment horizontal="right"/>
    </xf>
    <xf numFmtId="168" fontId="0" fillId="2" borderId="5" xfId="0" applyNumberFormat="1" applyFill="1" applyBorder="1" applyAlignment="1">
      <alignment horizontal="right"/>
    </xf>
    <xf numFmtId="0" fontId="0" fillId="2" borderId="0" xfId="0" applyFill="1" applyAlignment="1">
      <alignment horizontal="left"/>
    </xf>
    <xf numFmtId="4" fontId="0" fillId="2" borderId="0" xfId="0" applyNumberFormat="1" applyFill="1"/>
    <xf numFmtId="4" fontId="0" fillId="2" borderId="5" xfId="0" applyNumberFormat="1" applyFill="1" applyBorder="1"/>
    <xf numFmtId="0" fontId="7" fillId="2" borderId="5" xfId="1" applyFont="1" applyFill="1" applyBorder="1" applyAlignment="1">
      <alignment horizontal="left"/>
    </xf>
    <xf numFmtId="0" fontId="7" fillId="2" borderId="0" xfId="0" applyFont="1" applyFill="1" applyAlignment="1">
      <alignment horizontal="left"/>
    </xf>
    <xf numFmtId="3" fontId="0" fillId="10" borderId="0" xfId="0" applyNumberFormat="1" applyFill="1" applyAlignment="1">
      <alignment horizontal="right"/>
    </xf>
    <xf numFmtId="0" fontId="0" fillId="10" borderId="0" xfId="0" applyFill="1" applyAlignment="1">
      <alignment horizontal="right"/>
    </xf>
    <xf numFmtId="3" fontId="0" fillId="10" borderId="0" xfId="0" applyNumberFormat="1" applyFill="1"/>
    <xf numFmtId="1" fontId="0" fillId="10" borderId="0" xfId="0" applyNumberFormat="1" applyFill="1" applyAlignment="1">
      <alignment horizontal="right"/>
    </xf>
    <xf numFmtId="165" fontId="0" fillId="10" borderId="0" xfId="0" applyNumberFormat="1" applyFill="1" applyAlignment="1">
      <alignment horizontal="right"/>
    </xf>
    <xf numFmtId="4" fontId="0" fillId="10" borderId="5" xfId="0" applyNumberFormat="1" applyFill="1" applyBorder="1" applyAlignment="1">
      <alignment horizontal="right"/>
    </xf>
    <xf numFmtId="0" fontId="7" fillId="10" borderId="0" xfId="1" applyFont="1" applyFill="1" applyBorder="1" applyAlignment="1">
      <alignment horizontal="right"/>
    </xf>
    <xf numFmtId="3" fontId="7" fillId="10" borderId="0" xfId="0" applyNumberFormat="1" applyFont="1" applyFill="1" applyAlignment="1">
      <alignment horizontal="right"/>
    </xf>
    <xf numFmtId="0" fontId="7" fillId="10" borderId="0" xfId="1" applyFont="1" applyFill="1" applyBorder="1"/>
    <xf numFmtId="3" fontId="6" fillId="10" borderId="0" xfId="1" applyNumberFormat="1" applyFill="1" applyBorder="1" applyAlignment="1">
      <alignment horizontal="left"/>
    </xf>
    <xf numFmtId="3" fontId="0" fillId="10" borderId="0" xfId="0" applyNumberFormat="1" applyFill="1" applyAlignment="1">
      <alignment horizontal="left"/>
    </xf>
    <xf numFmtId="165" fontId="6" fillId="10" borderId="0" xfId="1" applyNumberFormat="1" applyFill="1" applyBorder="1" applyAlignment="1">
      <alignment horizontal="left"/>
    </xf>
    <xf numFmtId="165" fontId="7" fillId="10" borderId="0" xfId="0" applyNumberFormat="1" applyFont="1" applyFill="1" applyAlignment="1">
      <alignment horizontal="right"/>
    </xf>
    <xf numFmtId="165" fontId="7" fillId="10" borderId="0" xfId="1" applyNumberFormat="1" applyFont="1" applyFill="1" applyBorder="1" applyAlignment="1">
      <alignment horizontal="right"/>
    </xf>
    <xf numFmtId="165" fontId="7" fillId="10" borderId="0" xfId="1" applyNumberFormat="1" applyFont="1" applyFill="1" applyBorder="1" applyAlignment="1">
      <alignment horizontal="left"/>
    </xf>
    <xf numFmtId="0" fontId="6" fillId="10" borderId="0" xfId="1" applyFill="1" applyBorder="1" applyAlignment="1">
      <alignment horizontal="left"/>
    </xf>
    <xf numFmtId="0" fontId="0" fillId="10" borderId="0" xfId="0" applyFill="1" applyAlignment="1">
      <alignment horizontal="left"/>
    </xf>
    <xf numFmtId="165" fontId="0" fillId="10" borderId="0" xfId="0" applyNumberFormat="1" applyFill="1" applyAlignment="1">
      <alignment horizontal="left"/>
    </xf>
    <xf numFmtId="165" fontId="0" fillId="10" borderId="5" xfId="0" applyNumberFormat="1" applyFill="1" applyBorder="1" applyAlignment="1">
      <alignment horizontal="left"/>
    </xf>
    <xf numFmtId="0" fontId="6" fillId="10" borderId="0" xfId="1" applyFill="1" applyBorder="1"/>
    <xf numFmtId="0" fontId="7" fillId="9" borderId="7" xfId="1" applyFont="1" applyFill="1" applyBorder="1"/>
    <xf numFmtId="0" fontId="7" fillId="10" borderId="5" xfId="1" applyFont="1" applyFill="1" applyBorder="1"/>
    <xf numFmtId="169" fontId="0" fillId="10" borderId="0" xfId="0" applyNumberFormat="1" applyFill="1"/>
    <xf numFmtId="4" fontId="0" fillId="10" borderId="0" xfId="0" applyNumberFormat="1" applyFill="1" applyAlignment="1">
      <alignment horizontal="right"/>
    </xf>
    <xf numFmtId="4" fontId="0" fillId="10" borderId="5" xfId="0" applyNumberFormat="1" applyFill="1" applyBorder="1"/>
    <xf numFmtId="0" fontId="10" fillId="10" borderId="0" xfId="1" applyFont="1" applyFill="1" applyBorder="1" applyAlignment="1">
      <alignment horizontal="left"/>
    </xf>
    <xf numFmtId="0" fontId="7" fillId="10" borderId="0" xfId="1" applyFont="1" applyFill="1" applyBorder="1" applyAlignment="1">
      <alignment horizontal="left"/>
    </xf>
    <xf numFmtId="2" fontId="0" fillId="10" borderId="0" xfId="0" applyNumberFormat="1" applyFill="1" applyAlignment="1">
      <alignment horizontal="right"/>
    </xf>
    <xf numFmtId="165" fontId="10" fillId="10" borderId="0" xfId="1" applyNumberFormat="1" applyFont="1" applyFill="1" applyBorder="1" applyAlignment="1">
      <alignment horizontal="right"/>
    </xf>
    <xf numFmtId="2" fontId="0" fillId="10" borderId="0" xfId="0" applyNumberFormat="1" applyFill="1" applyAlignment="1">
      <alignment horizontal="left"/>
    </xf>
    <xf numFmtId="2" fontId="0" fillId="10" borderId="5" xfId="0" applyNumberFormat="1" applyFill="1" applyBorder="1" applyAlignment="1">
      <alignment horizontal="left"/>
    </xf>
    <xf numFmtId="169" fontId="0" fillId="0" borderId="5" xfId="0" applyNumberFormat="1" applyBorder="1"/>
    <xf numFmtId="174" fontId="0" fillId="0" borderId="5" xfId="0" applyNumberFormat="1" applyBorder="1"/>
    <xf numFmtId="175" fontId="0" fillId="0" borderId="5" xfId="0" applyNumberFormat="1" applyBorder="1"/>
    <xf numFmtId="1" fontId="1" fillId="2" borderId="0" xfId="0" applyNumberFormat="1" applyFont="1" applyFill="1"/>
    <xf numFmtId="173" fontId="0" fillId="10" borderId="5" xfId="0" applyNumberFormat="1" applyFill="1" applyBorder="1" applyAlignment="1">
      <alignment horizontal="right"/>
    </xf>
    <xf numFmtId="3" fontId="1" fillId="0" borderId="0" xfId="0" applyNumberFormat="1" applyFont="1" applyAlignment="1">
      <alignment horizontal="right"/>
    </xf>
    <xf numFmtId="0" fontId="0" fillId="14" borderId="4" xfId="0" applyFill="1" applyBorder="1"/>
    <xf numFmtId="0" fontId="1" fillId="3" borderId="3" xfId="0" applyFont="1" applyFill="1" applyBorder="1" applyAlignment="1">
      <alignment horizontal="left"/>
    </xf>
    <xf numFmtId="10" fontId="0" fillId="14" borderId="0" xfId="0" applyNumberFormat="1" applyFill="1" applyAlignment="1">
      <alignment horizontal="right"/>
    </xf>
    <xf numFmtId="0" fontId="16" fillId="6" borderId="0" xfId="0" applyFont="1" applyFill="1"/>
    <xf numFmtId="0" fontId="8" fillId="6" borderId="0" xfId="0" applyFont="1" applyFill="1"/>
    <xf numFmtId="165" fontId="8" fillId="0" borderId="0" xfId="0" applyNumberFormat="1" applyFont="1"/>
    <xf numFmtId="3" fontId="6" fillId="8" borderId="0" xfId="1" applyNumberFormat="1" applyFill="1"/>
    <xf numFmtId="167" fontId="0" fillId="8" borderId="0" xfId="0" applyNumberFormat="1" applyFill="1"/>
    <xf numFmtId="0" fontId="6" fillId="3" borderId="0" xfId="1" applyFill="1"/>
    <xf numFmtId="169" fontId="0" fillId="8" borderId="0" xfId="0" applyNumberFormat="1" applyFill="1" applyAlignment="1">
      <alignment horizontal="right"/>
    </xf>
    <xf numFmtId="0" fontId="6" fillId="8" borderId="0" xfId="1" applyFill="1"/>
    <xf numFmtId="169" fontId="0" fillId="8" borderId="0" xfId="0" applyNumberFormat="1" applyFill="1" applyAlignment="1">
      <alignment horizontal="left"/>
    </xf>
    <xf numFmtId="0" fontId="6" fillId="8" borderId="0" xfId="1" applyFill="1" applyAlignment="1">
      <alignment horizontal="left"/>
    </xf>
    <xf numFmtId="10" fontId="1" fillId="9" borderId="7" xfId="0" applyNumberFormat="1" applyFont="1" applyFill="1" applyBorder="1" applyAlignment="1">
      <alignment horizontal="right"/>
    </xf>
    <xf numFmtId="166" fontId="0" fillId="0" borderId="0" xfId="0" applyNumberFormat="1" applyAlignment="1">
      <alignment horizontal="right"/>
    </xf>
    <xf numFmtId="167" fontId="0" fillId="2" borderId="7" xfId="0" applyNumberFormat="1" applyFill="1" applyBorder="1" applyAlignment="1">
      <alignment horizontal="right"/>
    </xf>
    <xf numFmtId="166" fontId="1" fillId="9" borderId="7" xfId="0" applyNumberFormat="1" applyFont="1" applyFill="1" applyBorder="1" applyAlignment="1">
      <alignment horizontal="right"/>
    </xf>
    <xf numFmtId="10" fontId="1" fillId="0" borderId="0" xfId="0" applyNumberFormat="1" applyFont="1" applyAlignment="1">
      <alignment horizontal="left"/>
    </xf>
    <xf numFmtId="3" fontId="1" fillId="0" borderId="0" xfId="0" applyNumberFormat="1" applyFont="1" applyAlignment="1">
      <alignment horizontal="left"/>
    </xf>
    <xf numFmtId="10" fontId="0" fillId="0" borderId="0" xfId="0" applyNumberFormat="1" applyAlignment="1">
      <alignment horizontal="right"/>
    </xf>
    <xf numFmtId="169" fontId="6" fillId="3" borderId="0" xfId="1" applyNumberFormat="1" applyFill="1"/>
    <xf numFmtId="10" fontId="0" fillId="4" borderId="0" xfId="0" applyNumberFormat="1" applyFill="1"/>
    <xf numFmtId="3" fontId="0" fillId="4" borderId="0" xfId="0" applyNumberFormat="1" applyFill="1"/>
    <xf numFmtId="168" fontId="0" fillId="4" borderId="0" xfId="0" applyNumberFormat="1" applyFill="1"/>
    <xf numFmtId="0" fontId="0" fillId="4" borderId="0" xfId="0" applyFill="1" applyAlignment="1">
      <alignment horizontal="right"/>
    </xf>
    <xf numFmtId="9" fontId="0" fillId="4" borderId="0" xfId="0" applyNumberFormat="1" applyFill="1" applyAlignment="1">
      <alignment horizontal="right"/>
    </xf>
    <xf numFmtId="3" fontId="0" fillId="4" borderId="0" xfId="0" applyNumberFormat="1" applyFill="1" applyAlignment="1">
      <alignment horizontal="right"/>
    </xf>
    <xf numFmtId="9" fontId="0" fillId="4" borderId="0" xfId="0" applyNumberFormat="1" applyFill="1"/>
    <xf numFmtId="4" fontId="6" fillId="0" borderId="0" xfId="1" applyNumberFormat="1" applyFill="1"/>
    <xf numFmtId="4" fontId="7" fillId="0" borderId="0" xfId="1" applyNumberFormat="1" applyFont="1" applyFill="1"/>
    <xf numFmtId="10" fontId="0" fillId="4" borderId="0" xfId="0" applyNumberFormat="1" applyFill="1" applyAlignment="1">
      <alignment horizontal="right"/>
    </xf>
    <xf numFmtId="0" fontId="1" fillId="11" borderId="4" xfId="0" applyFont="1" applyFill="1" applyBorder="1"/>
    <xf numFmtId="0" fontId="1" fillId="2" borderId="6" xfId="0" applyFont="1" applyFill="1" applyBorder="1"/>
    <xf numFmtId="168" fontId="0" fillId="4" borderId="0" xfId="0" applyNumberFormat="1" applyFill="1" applyAlignment="1">
      <alignment horizontal="right"/>
    </xf>
    <xf numFmtId="10" fontId="1" fillId="4" borderId="0" xfId="0" applyNumberFormat="1" applyFont="1" applyFill="1" applyAlignment="1">
      <alignment horizontal="right"/>
    </xf>
    <xf numFmtId="1" fontId="1" fillId="4" borderId="0" xfId="0" applyNumberFormat="1" applyFont="1" applyFill="1" applyAlignment="1">
      <alignment horizontal="right"/>
    </xf>
    <xf numFmtId="173" fontId="0" fillId="4" borderId="0" xfId="0" applyNumberFormat="1" applyFill="1" applyAlignment="1">
      <alignment horizontal="right"/>
    </xf>
    <xf numFmtId="172" fontId="1" fillId="4" borderId="0" xfId="0" applyNumberFormat="1" applyFont="1" applyFill="1" applyAlignment="1">
      <alignment horizontal="right"/>
    </xf>
    <xf numFmtId="173" fontId="0" fillId="4" borderId="0" xfId="0" applyNumberFormat="1" applyFill="1"/>
    <xf numFmtId="170" fontId="0" fillId="4" borderId="0" xfId="0" applyNumberFormat="1" applyFill="1"/>
    <xf numFmtId="0" fontId="7" fillId="4" borderId="0" xfId="1" applyFont="1" applyFill="1" applyAlignment="1"/>
    <xf numFmtId="9" fontId="6" fillId="4" borderId="0" xfId="1" applyNumberFormat="1" applyFill="1" applyAlignment="1"/>
    <xf numFmtId="0" fontId="7" fillId="0" borderId="0" xfId="1" applyFont="1" applyAlignment="1"/>
    <xf numFmtId="0" fontId="6" fillId="4" borderId="0" xfId="1" applyFill="1" applyAlignment="1">
      <alignment horizontal="right"/>
    </xf>
    <xf numFmtId="0" fontId="7" fillId="4" borderId="0" xfId="1" applyFont="1" applyFill="1" applyAlignment="1">
      <alignment horizontal="right"/>
    </xf>
    <xf numFmtId="4" fontId="6" fillId="4" borderId="0" xfId="1" applyNumberFormat="1" applyFill="1" applyAlignment="1">
      <alignment horizontal="right"/>
    </xf>
    <xf numFmtId="3" fontId="6" fillId="4" borderId="0" xfId="1" applyNumberFormat="1" applyFill="1" applyBorder="1"/>
    <xf numFmtId="166" fontId="0" fillId="4" borderId="0" xfId="0" applyNumberFormat="1" applyFill="1"/>
    <xf numFmtId="10" fontId="6" fillId="4" borderId="0" xfId="1" applyNumberFormat="1" applyFill="1"/>
    <xf numFmtId="1" fontId="0" fillId="4" borderId="0" xfId="0" applyNumberFormat="1" applyFill="1" applyAlignment="1">
      <alignment horizontal="right"/>
    </xf>
    <xf numFmtId="0" fontId="1" fillId="4" borderId="1" xfId="0" applyFont="1" applyFill="1" applyBorder="1"/>
    <xf numFmtId="3" fontId="0" fillId="4" borderId="2" xfId="0" applyNumberFormat="1" applyFill="1" applyBorder="1" applyAlignment="1">
      <alignment horizontal="right"/>
    </xf>
    <xf numFmtId="166" fontId="1" fillId="4" borderId="0" xfId="0" applyNumberFormat="1" applyFont="1" applyFill="1" applyAlignment="1">
      <alignment horizontal="right"/>
    </xf>
    <xf numFmtId="10" fontId="1" fillId="3" borderId="5" xfId="0" applyNumberFormat="1" applyFont="1" applyFill="1" applyBorder="1" applyAlignment="1">
      <alignment horizontal="left"/>
    </xf>
    <xf numFmtId="0" fontId="1" fillId="3" borderId="5" xfId="0" applyFont="1" applyFill="1" applyBorder="1" applyAlignment="1">
      <alignment horizontal="left"/>
    </xf>
    <xf numFmtId="168" fontId="0" fillId="4" borderId="5" xfId="0" applyNumberFormat="1" applyFill="1" applyBorder="1"/>
    <xf numFmtId="168" fontId="0" fillId="13" borderId="5" xfId="0" applyNumberFormat="1" applyFill="1" applyBorder="1"/>
    <xf numFmtId="168" fontId="0" fillId="11" borderId="5" xfId="0" applyNumberFormat="1" applyFill="1" applyBorder="1"/>
    <xf numFmtId="167" fontId="0" fillId="0" borderId="5" xfId="0" applyNumberFormat="1" applyBorder="1" applyAlignment="1">
      <alignment horizontal="right"/>
    </xf>
    <xf numFmtId="167" fontId="0" fillId="11" borderId="5" xfId="0" applyNumberFormat="1" applyFill="1" applyBorder="1" applyAlignment="1">
      <alignment horizontal="right"/>
    </xf>
    <xf numFmtId="167" fontId="0" fillId="2" borderId="8" xfId="0" applyNumberFormat="1" applyFill="1" applyBorder="1" applyAlignment="1">
      <alignment horizontal="right"/>
    </xf>
    <xf numFmtId="10" fontId="1" fillId="3" borderId="5" xfId="0" applyNumberFormat="1" applyFont="1" applyFill="1" applyBorder="1" applyAlignment="1">
      <alignment horizontal="right"/>
    </xf>
    <xf numFmtId="0" fontId="6" fillId="4" borderId="5" xfId="1" applyFill="1" applyBorder="1"/>
    <xf numFmtId="0" fontId="0" fillId="4" borderId="5" xfId="0" applyFill="1" applyBorder="1" applyAlignment="1">
      <alignment horizontal="right"/>
    </xf>
    <xf numFmtId="0" fontId="0" fillId="0" borderId="5" xfId="0" applyBorder="1" applyAlignment="1">
      <alignment horizontal="right"/>
    </xf>
    <xf numFmtId="0" fontId="0" fillId="11" borderId="5" xfId="0" applyFill="1" applyBorder="1" applyAlignment="1">
      <alignment horizontal="right"/>
    </xf>
    <xf numFmtId="0" fontId="0" fillId="2" borderId="8" xfId="0" applyFill="1" applyBorder="1" applyAlignment="1">
      <alignment horizontal="right"/>
    </xf>
    <xf numFmtId="167" fontId="0" fillId="14" borderId="0" xfId="0" applyNumberFormat="1" applyFill="1"/>
    <xf numFmtId="167" fontId="0" fillId="14" borderId="0" xfId="0" applyNumberFormat="1" applyFill="1" applyAlignment="1">
      <alignment horizontal="right"/>
    </xf>
    <xf numFmtId="3" fontId="0" fillId="14" borderId="0" xfId="0" applyNumberFormat="1" applyFill="1" applyAlignment="1">
      <alignment horizontal="left"/>
    </xf>
    <xf numFmtId="3" fontId="0" fillId="2" borderId="7" xfId="0" applyNumberFormat="1" applyFill="1" applyBorder="1" applyAlignment="1">
      <alignment horizontal="left"/>
    </xf>
    <xf numFmtId="166" fontId="1" fillId="9" borderId="0" xfId="0" applyNumberFormat="1" applyFont="1" applyFill="1"/>
    <xf numFmtId="0" fontId="1" fillId="11" borderId="0" xfId="0" applyFont="1" applyFill="1"/>
    <xf numFmtId="0" fontId="1" fillId="14" borderId="4" xfId="0" applyFont="1" applyFill="1" applyBorder="1"/>
    <xf numFmtId="0" fontId="11" fillId="2" borderId="6" xfId="0" applyFont="1" applyFill="1" applyBorder="1"/>
    <xf numFmtId="0" fontId="1" fillId="2" borderId="7" xfId="0" applyFont="1" applyFill="1" applyBorder="1"/>
    <xf numFmtId="0" fontId="1" fillId="9" borderId="4" xfId="0" applyFont="1" applyFill="1" applyBorder="1"/>
    <xf numFmtId="10" fontId="1" fillId="9" borderId="5" xfId="0" applyNumberFormat="1" applyFont="1" applyFill="1" applyBorder="1" applyAlignment="1">
      <alignment horizontal="right"/>
    </xf>
    <xf numFmtId="10" fontId="1" fillId="0" borderId="4" xfId="0" applyNumberFormat="1" applyFont="1" applyBorder="1" applyAlignment="1">
      <alignment horizontal="right"/>
    </xf>
    <xf numFmtId="0" fontId="6" fillId="0" borderId="4" xfId="1" applyFill="1" applyBorder="1" applyAlignment="1">
      <alignment horizontal="right"/>
    </xf>
    <xf numFmtId="10" fontId="0" fillId="9" borderId="7" xfId="0" applyNumberFormat="1" applyFill="1" applyBorder="1" applyAlignment="1">
      <alignment horizontal="right"/>
    </xf>
    <xf numFmtId="10" fontId="0" fillId="8" borderId="0" xfId="0" applyNumberFormat="1" applyFill="1"/>
    <xf numFmtId="10" fontId="1" fillId="9" borderId="5" xfId="0" applyNumberFormat="1" applyFont="1" applyFill="1" applyBorder="1"/>
    <xf numFmtId="0" fontId="1" fillId="9" borderId="1" xfId="0" applyFont="1" applyFill="1" applyBorder="1"/>
    <xf numFmtId="10" fontId="1" fillId="9" borderId="2" xfId="0" applyNumberFormat="1" applyFont="1" applyFill="1" applyBorder="1"/>
    <xf numFmtId="10" fontId="1" fillId="9" borderId="3" xfId="0" applyNumberFormat="1" applyFont="1" applyFill="1" applyBorder="1" applyAlignment="1">
      <alignment horizontal="right"/>
    </xf>
    <xf numFmtId="10" fontId="1" fillId="9" borderId="2" xfId="0" applyNumberFormat="1" applyFont="1" applyFill="1" applyBorder="1" applyAlignment="1">
      <alignment horizontal="right"/>
    </xf>
    <xf numFmtId="10" fontId="1" fillId="9" borderId="3" xfId="0" applyNumberFormat="1" applyFont="1" applyFill="1" applyBorder="1"/>
    <xf numFmtId="169" fontId="1" fillId="9" borderId="2" xfId="0" applyNumberFormat="1" applyFont="1" applyFill="1" applyBorder="1" applyAlignment="1">
      <alignment horizontal="right"/>
    </xf>
    <xf numFmtId="169" fontId="0" fillId="9" borderId="2" xfId="0" applyNumberFormat="1" applyFill="1" applyBorder="1" applyAlignment="1">
      <alignment horizontal="right"/>
    </xf>
    <xf numFmtId="169" fontId="0" fillId="9" borderId="3" xfId="0" applyNumberFormat="1" applyFill="1" applyBorder="1" applyAlignment="1">
      <alignment horizontal="right"/>
    </xf>
    <xf numFmtId="0" fontId="1" fillId="9" borderId="2" xfId="0" applyFont="1" applyFill="1" applyBorder="1"/>
    <xf numFmtId="10" fontId="1" fillId="9" borderId="0" xfId="0" applyNumberFormat="1" applyFont="1" applyFill="1"/>
    <xf numFmtId="0" fontId="0" fillId="9" borderId="2" xfId="0" applyFill="1" applyBorder="1"/>
    <xf numFmtId="0" fontId="1" fillId="9" borderId="0" xfId="0" applyFont="1" applyFill="1"/>
    <xf numFmtId="10" fontId="1" fillId="9" borderId="0" xfId="0" applyNumberFormat="1" applyFont="1" applyFill="1" applyAlignment="1">
      <alignment horizontal="right"/>
    </xf>
    <xf numFmtId="3" fontId="0" fillId="9" borderId="2" xfId="0" applyNumberFormat="1" applyFill="1" applyBorder="1"/>
    <xf numFmtId="3" fontId="0" fillId="9" borderId="3" xfId="0" applyNumberFormat="1" applyFill="1" applyBorder="1" applyAlignment="1">
      <alignment horizontal="right"/>
    </xf>
    <xf numFmtId="3" fontId="0" fillId="9" borderId="5" xfId="0" applyNumberFormat="1" applyFill="1" applyBorder="1" applyAlignment="1">
      <alignment horizontal="right"/>
    </xf>
    <xf numFmtId="10" fontId="0" fillId="9" borderId="7" xfId="0" applyNumberFormat="1" applyFill="1" applyBorder="1"/>
    <xf numFmtId="10" fontId="0" fillId="9" borderId="8" xfId="0" applyNumberFormat="1" applyFill="1" applyBorder="1" applyAlignment="1">
      <alignment horizontal="right"/>
    </xf>
    <xf numFmtId="3" fontId="0" fillId="9" borderId="2" xfId="0" applyNumberFormat="1" applyFill="1" applyBorder="1" applyAlignment="1">
      <alignment horizontal="right"/>
    </xf>
    <xf numFmtId="0" fontId="0" fillId="9" borderId="5" xfId="0" applyFill="1" applyBorder="1"/>
    <xf numFmtId="10" fontId="1" fillId="3" borderId="7" xfId="0" applyNumberFormat="1" applyFont="1" applyFill="1" applyBorder="1"/>
    <xf numFmtId="3" fontId="1" fillId="3" borderId="7" xfId="0" applyNumberFormat="1" applyFont="1" applyFill="1" applyBorder="1"/>
    <xf numFmtId="1" fontId="1" fillId="3" borderId="7" xfId="0" applyNumberFormat="1" applyFont="1" applyFill="1" applyBorder="1"/>
    <xf numFmtId="10" fontId="1" fillId="3" borderId="7" xfId="0" applyNumberFormat="1" applyFont="1" applyFill="1" applyBorder="1" applyAlignment="1">
      <alignment horizontal="left"/>
    </xf>
    <xf numFmtId="172" fontId="1" fillId="3" borderId="7" xfId="0" applyNumberFormat="1" applyFont="1" applyFill="1" applyBorder="1"/>
    <xf numFmtId="0" fontId="0" fillId="3" borderId="8" xfId="0" applyFill="1" applyBorder="1"/>
    <xf numFmtId="1" fontId="1" fillId="0" borderId="0" xfId="0" applyNumberFormat="1" applyFont="1" applyAlignment="1">
      <alignment horizontal="right"/>
    </xf>
    <xf numFmtId="10" fontId="0" fillId="3" borderId="7" xfId="0" applyNumberFormat="1" applyFill="1" applyBorder="1"/>
    <xf numFmtId="0" fontId="0" fillId="3" borderId="7" xfId="0" applyFill="1" applyBorder="1"/>
    <xf numFmtId="1" fontId="0" fillId="3" borderId="7" xfId="0" applyNumberFormat="1" applyFill="1" applyBorder="1"/>
    <xf numFmtId="172" fontId="6" fillId="3" borderId="7" xfId="1" applyNumberFormat="1" applyFill="1" applyBorder="1"/>
    <xf numFmtId="10" fontId="0" fillId="9" borderId="2" xfId="0" applyNumberFormat="1" applyFill="1" applyBorder="1"/>
    <xf numFmtId="10" fontId="0" fillId="9" borderId="3" xfId="0" applyNumberFormat="1" applyFill="1" applyBorder="1"/>
    <xf numFmtId="10" fontId="0" fillId="9" borderId="8" xfId="0" applyNumberFormat="1" applyFill="1" applyBorder="1"/>
    <xf numFmtId="169" fontId="1" fillId="3" borderId="5" xfId="0" applyNumberFormat="1" applyFont="1" applyFill="1" applyBorder="1" applyAlignment="1">
      <alignment horizontal="right"/>
    </xf>
    <xf numFmtId="0" fontId="1" fillId="3" borderId="7" xfId="0" applyFont="1" applyFill="1" applyBorder="1" applyAlignment="1">
      <alignment horizontal="left"/>
    </xf>
    <xf numFmtId="10" fontId="0" fillId="9" borderId="0" xfId="0" applyNumberFormat="1" applyFill="1" applyAlignment="1">
      <alignment horizontal="right"/>
    </xf>
    <xf numFmtId="10" fontId="0" fillId="9" borderId="5" xfId="0" applyNumberFormat="1" applyFill="1" applyBorder="1" applyAlignment="1">
      <alignment horizontal="right"/>
    </xf>
    <xf numFmtId="0" fontId="6" fillId="0" borderId="0" xfId="1" applyFill="1" applyBorder="1" applyAlignment="1">
      <alignment horizontal="right"/>
    </xf>
    <xf numFmtId="166" fontId="0" fillId="14" borderId="0" xfId="0" applyNumberFormat="1" applyFill="1" applyAlignment="1">
      <alignment horizontal="right"/>
    </xf>
    <xf numFmtId="166" fontId="0" fillId="14" borderId="0" xfId="0" applyNumberFormat="1" applyFill="1"/>
    <xf numFmtId="9" fontId="0" fillId="14" borderId="0" xfId="0" applyNumberFormat="1" applyFill="1" applyAlignment="1">
      <alignment horizontal="right"/>
    </xf>
    <xf numFmtId="168" fontId="0" fillId="14" borderId="0" xfId="0" applyNumberFormat="1" applyFill="1"/>
    <xf numFmtId="0" fontId="0" fillId="14" borderId="0" xfId="0" applyFill="1" applyAlignment="1">
      <alignment horizontal="right"/>
    </xf>
    <xf numFmtId="3" fontId="0" fillId="14" borderId="5" xfId="0" applyNumberFormat="1" applyFill="1" applyBorder="1" applyAlignment="1">
      <alignment horizontal="right"/>
    </xf>
    <xf numFmtId="9" fontId="0" fillId="14" borderId="0" xfId="0" applyNumberFormat="1" applyFill="1"/>
    <xf numFmtId="0" fontId="6" fillId="14" borderId="0" xfId="1" applyFill="1"/>
    <xf numFmtId="0" fontId="7" fillId="14" borderId="0" xfId="1" applyFont="1" applyFill="1"/>
    <xf numFmtId="4" fontId="6" fillId="14" borderId="0" xfId="1" applyNumberFormat="1" applyFill="1"/>
    <xf numFmtId="4" fontId="0" fillId="14" borderId="0" xfId="0" applyNumberFormat="1" applyFill="1" applyAlignment="1">
      <alignment horizontal="right"/>
    </xf>
    <xf numFmtId="3" fontId="6" fillId="14" borderId="5" xfId="1" applyNumberFormat="1" applyFill="1" applyBorder="1" applyAlignment="1">
      <alignment horizontal="left"/>
    </xf>
    <xf numFmtId="0" fontId="0" fillId="14" borderId="0" xfId="0" applyFill="1"/>
    <xf numFmtId="0" fontId="0" fillId="14" borderId="0" xfId="0" applyFill="1" applyAlignment="1">
      <alignment horizontal="left"/>
    </xf>
    <xf numFmtId="9" fontId="6" fillId="14" borderId="0" xfId="1" applyNumberFormat="1" applyFill="1"/>
    <xf numFmtId="168" fontId="0" fillId="14" borderId="0" xfId="0" applyNumberFormat="1" applyFill="1" applyAlignment="1">
      <alignment horizontal="right"/>
    </xf>
    <xf numFmtId="10" fontId="0" fillId="9" borderId="0" xfId="0" applyNumberFormat="1" applyFill="1"/>
    <xf numFmtId="10" fontId="0" fillId="9" borderId="5" xfId="0" applyNumberFormat="1" applyFill="1" applyBorder="1"/>
    <xf numFmtId="10" fontId="1" fillId="0" borderId="0" xfId="0" applyNumberFormat="1" applyFont="1" applyAlignment="1">
      <alignment horizontal="right"/>
    </xf>
    <xf numFmtId="166" fontId="1" fillId="9" borderId="2" xfId="0" applyNumberFormat="1" applyFont="1" applyFill="1" applyBorder="1"/>
    <xf numFmtId="166" fontId="0" fillId="9" borderId="2" xfId="0" applyNumberFormat="1" applyFill="1" applyBorder="1"/>
    <xf numFmtId="166" fontId="1" fillId="9" borderId="3" xfId="0" applyNumberFormat="1" applyFont="1" applyFill="1" applyBorder="1"/>
    <xf numFmtId="166" fontId="0" fillId="9" borderId="0" xfId="0" applyNumberFormat="1" applyFill="1"/>
    <xf numFmtId="166" fontId="1" fillId="9" borderId="5" xfId="0" applyNumberFormat="1" applyFont="1" applyFill="1" applyBorder="1"/>
    <xf numFmtId="0" fontId="1" fillId="8" borderId="0" xfId="0" applyFont="1" applyFill="1" applyAlignment="1">
      <alignment horizontal="right"/>
    </xf>
    <xf numFmtId="165" fontId="0" fillId="2" borderId="7" xfId="0" applyNumberFormat="1" applyFill="1" applyBorder="1"/>
    <xf numFmtId="166" fontId="1" fillId="9" borderId="0" xfId="0" applyNumberFormat="1" applyFont="1" applyFill="1" applyAlignment="1">
      <alignment horizontal="right"/>
    </xf>
    <xf numFmtId="166" fontId="1" fillId="9" borderId="2" xfId="0" applyNumberFormat="1" applyFont="1" applyFill="1" applyBorder="1" applyAlignment="1">
      <alignment horizontal="right"/>
    </xf>
    <xf numFmtId="0" fontId="0" fillId="9" borderId="3" xfId="0" applyFill="1" applyBorder="1"/>
    <xf numFmtId="166" fontId="1" fillId="9" borderId="3" xfId="0" applyNumberFormat="1" applyFont="1" applyFill="1" applyBorder="1" applyAlignment="1">
      <alignment horizontal="right"/>
    </xf>
    <xf numFmtId="166" fontId="1" fillId="9" borderId="5" xfId="0" applyNumberFormat="1" applyFont="1" applyFill="1" applyBorder="1" applyAlignment="1">
      <alignment horizontal="right"/>
    </xf>
    <xf numFmtId="166" fontId="1" fillId="9" borderId="8" xfId="0" applyNumberFormat="1" applyFont="1" applyFill="1" applyBorder="1" applyAlignment="1">
      <alignment horizontal="right"/>
    </xf>
    <xf numFmtId="0" fontId="0" fillId="15" borderId="0" xfId="0" applyFill="1" applyAlignment="1">
      <alignment horizontal="left"/>
    </xf>
    <xf numFmtId="0" fontId="0" fillId="15" borderId="0" xfId="0" applyFill="1"/>
    <xf numFmtId="0" fontId="0" fillId="4" borderId="0" xfId="0" applyFill="1" applyAlignment="1">
      <alignment horizontal="left"/>
    </xf>
    <xf numFmtId="0" fontId="0" fillId="4" borderId="0" xfId="0" applyFill="1"/>
    <xf numFmtId="166" fontId="0" fillId="9" borderId="2" xfId="0" applyNumberFormat="1" applyFill="1" applyBorder="1" applyAlignment="1">
      <alignment horizontal="right"/>
    </xf>
    <xf numFmtId="166" fontId="0" fillId="9" borderId="3" xfId="0" applyNumberFormat="1" applyFill="1" applyBorder="1" applyAlignment="1">
      <alignment horizontal="right"/>
    </xf>
    <xf numFmtId="166" fontId="0" fillId="9" borderId="0" xfId="0" applyNumberFormat="1" applyFill="1" applyAlignment="1">
      <alignment horizontal="right"/>
    </xf>
    <xf numFmtId="166" fontId="0" fillId="9" borderId="5" xfId="0" applyNumberFormat="1" applyFill="1" applyBorder="1" applyAlignment="1">
      <alignment horizontal="right"/>
    </xf>
    <xf numFmtId="166" fontId="0" fillId="9" borderId="7" xfId="0" applyNumberFormat="1" applyFill="1" applyBorder="1" applyAlignment="1">
      <alignment horizontal="right"/>
    </xf>
    <xf numFmtId="166" fontId="0" fillId="9" borderId="8" xfId="0" applyNumberFormat="1" applyFill="1" applyBorder="1" applyAlignment="1">
      <alignment horizontal="right"/>
    </xf>
    <xf numFmtId="166" fontId="1" fillId="0" borderId="5" xfId="0" applyNumberFormat="1" applyFont="1" applyBorder="1" applyAlignment="1">
      <alignment horizontal="right"/>
    </xf>
    <xf numFmtId="166" fontId="0" fillId="2" borderId="7" xfId="0" applyNumberFormat="1" applyFill="1" applyBorder="1" applyAlignment="1">
      <alignment horizontal="right"/>
    </xf>
    <xf numFmtId="166" fontId="0" fillId="11" borderId="0" xfId="0" applyNumberFormat="1" applyFill="1" applyAlignment="1">
      <alignment horizontal="right"/>
    </xf>
    <xf numFmtId="0" fontId="0" fillId="8" borderId="8" xfId="0" applyFill="1" applyBorder="1" applyAlignment="1">
      <alignment horizontal="right"/>
    </xf>
    <xf numFmtId="0" fontId="0" fillId="9" borderId="3" xfId="0" applyFill="1" applyBorder="1" applyAlignment="1">
      <alignment horizontal="right"/>
    </xf>
    <xf numFmtId="10" fontId="0" fillId="9" borderId="2" xfId="0" applyNumberFormat="1" applyFill="1" applyBorder="1" applyAlignment="1">
      <alignment horizontal="right"/>
    </xf>
    <xf numFmtId="0" fontId="1" fillId="6" borderId="4" xfId="0" applyFont="1" applyFill="1" applyBorder="1"/>
    <xf numFmtId="166" fontId="0" fillId="6" borderId="0" xfId="0" applyNumberFormat="1" applyFill="1"/>
    <xf numFmtId="3" fontId="0" fillId="6" borderId="0" xfId="0" applyNumberFormat="1" applyFill="1"/>
    <xf numFmtId="167" fontId="0" fillId="6" borderId="0" xfId="0" applyNumberFormat="1" applyFill="1"/>
    <xf numFmtId="167" fontId="0" fillId="6" borderId="5" xfId="0" applyNumberFormat="1" applyFill="1" applyBorder="1"/>
    <xf numFmtId="49" fontId="0" fillId="10" borderId="0" xfId="0" applyNumberFormat="1" applyFill="1" applyAlignment="1">
      <alignment horizontal="right"/>
    </xf>
    <xf numFmtId="0" fontId="0" fillId="11" borderId="5" xfId="0" applyFill="1" applyBorder="1"/>
    <xf numFmtId="0" fontId="0" fillId="2" borderId="5" xfId="0" applyFill="1" applyBorder="1"/>
    <xf numFmtId="173" fontId="0" fillId="4" borderId="5" xfId="0" applyNumberFormat="1" applyFill="1" applyBorder="1" applyAlignment="1">
      <alignment horizontal="right"/>
    </xf>
    <xf numFmtId="0" fontId="7" fillId="4" borderId="0" xfId="1" applyFont="1" applyFill="1" applyBorder="1"/>
    <xf numFmtId="0" fontId="10" fillId="4" borderId="0" xfId="1" applyFont="1" applyFill="1" applyBorder="1"/>
    <xf numFmtId="165" fontId="7" fillId="4" borderId="0" xfId="1" applyNumberFormat="1" applyFont="1" applyFill="1" applyBorder="1" applyAlignment="1">
      <alignment horizontal="left"/>
    </xf>
    <xf numFmtId="0" fontId="7" fillId="4" borderId="5" xfId="1" applyFont="1" applyFill="1" applyBorder="1"/>
    <xf numFmtId="0" fontId="6" fillId="4" borderId="0" xfId="1" applyFill="1" applyBorder="1"/>
    <xf numFmtId="3" fontId="0" fillId="4" borderId="7" xfId="0" applyNumberFormat="1" applyFill="1" applyBorder="1" applyAlignment="1">
      <alignment horizontal="right"/>
    </xf>
    <xf numFmtId="0" fontId="0" fillId="4" borderId="7" xfId="0" applyFill="1" applyBorder="1"/>
    <xf numFmtId="0" fontId="0" fillId="4" borderId="7" xfId="0" applyFill="1" applyBorder="1" applyAlignment="1">
      <alignment horizontal="right"/>
    </xf>
    <xf numFmtId="173" fontId="0" fillId="4" borderId="8" xfId="0" applyNumberFormat="1" applyFill="1" applyBorder="1" applyAlignment="1">
      <alignment horizontal="right"/>
    </xf>
    <xf numFmtId="0" fontId="0" fillId="4" borderId="2" xfId="0" applyFill="1" applyBorder="1"/>
    <xf numFmtId="0" fontId="0" fillId="4" borderId="2" xfId="0" applyFill="1" applyBorder="1" applyAlignment="1">
      <alignment horizontal="right"/>
    </xf>
    <xf numFmtId="173" fontId="0" fillId="4" borderId="3" xfId="0" applyNumberFormat="1" applyFill="1" applyBorder="1" applyAlignment="1">
      <alignment horizontal="right"/>
    </xf>
    <xf numFmtId="0" fontId="7" fillId="4" borderId="2" xfId="1" applyFont="1" applyFill="1" applyBorder="1"/>
    <xf numFmtId="0" fontId="10" fillId="4" borderId="2" xfId="1" applyFont="1" applyFill="1" applyBorder="1"/>
    <xf numFmtId="0" fontId="17" fillId="4" borderId="2" xfId="0" applyFont="1" applyFill="1" applyBorder="1"/>
    <xf numFmtId="165" fontId="7" fillId="4" borderId="2" xfId="1" applyNumberFormat="1" applyFont="1" applyFill="1" applyBorder="1" applyAlignment="1">
      <alignment horizontal="left"/>
    </xf>
    <xf numFmtId="0" fontId="7" fillId="4" borderId="3" xfId="1" applyFont="1" applyFill="1" applyBorder="1"/>
    <xf numFmtId="0" fontId="17" fillId="4" borderId="0" xfId="0" applyFont="1" applyFill="1"/>
    <xf numFmtId="0" fontId="7" fillId="4" borderId="7" xfId="1" applyFont="1" applyFill="1" applyBorder="1"/>
    <xf numFmtId="0" fontId="6" fillId="4" borderId="7" xfId="1" applyFill="1" applyBorder="1"/>
    <xf numFmtId="165" fontId="7" fillId="4" borderId="7" xfId="1" applyNumberFormat="1" applyFont="1" applyFill="1" applyBorder="1" applyAlignment="1">
      <alignment horizontal="left"/>
    </xf>
    <xf numFmtId="0" fontId="10" fillId="4" borderId="7" xfId="1" applyFont="1" applyFill="1" applyBorder="1"/>
    <xf numFmtId="0" fontId="7" fillId="4" borderId="8" xfId="1" applyFont="1" applyFill="1" applyBorder="1"/>
    <xf numFmtId="0" fontId="1" fillId="4" borderId="10" xfId="0" applyFont="1" applyFill="1" applyBorder="1"/>
    <xf numFmtId="0" fontId="0" fillId="4" borderId="11" xfId="0" applyFill="1" applyBorder="1"/>
    <xf numFmtId="3" fontId="0" fillId="4" borderId="11" xfId="0" applyNumberFormat="1" applyFill="1" applyBorder="1"/>
    <xf numFmtId="3" fontId="0" fillId="4" borderId="11" xfId="0" applyNumberFormat="1" applyFill="1" applyBorder="1" applyAlignment="1">
      <alignment horizontal="right"/>
    </xf>
    <xf numFmtId="1" fontId="0" fillId="4" borderId="11" xfId="0" applyNumberFormat="1" applyFill="1" applyBorder="1" applyAlignment="1">
      <alignment horizontal="right"/>
    </xf>
    <xf numFmtId="165" fontId="0" fillId="4" borderId="11" xfId="0" applyNumberFormat="1" applyFill="1" applyBorder="1" applyAlignment="1">
      <alignment horizontal="right"/>
    </xf>
    <xf numFmtId="2" fontId="0" fillId="4" borderId="11" xfId="0" applyNumberFormat="1" applyFill="1" applyBorder="1" applyAlignment="1">
      <alignment horizontal="right"/>
    </xf>
    <xf numFmtId="4" fontId="0" fillId="4" borderId="9" xfId="0" applyNumberFormat="1" applyFill="1" applyBorder="1" applyAlignment="1">
      <alignment horizontal="right"/>
    </xf>
    <xf numFmtId="0" fontId="0" fillId="4" borderId="11" xfId="0" applyFill="1" applyBorder="1" applyAlignment="1">
      <alignment horizontal="right"/>
    </xf>
    <xf numFmtId="0" fontId="6" fillId="4" borderId="11" xfId="1" applyFill="1" applyBorder="1"/>
    <xf numFmtId="0" fontId="7" fillId="4" borderId="11" xfId="1" applyFont="1" applyFill="1" applyBorder="1" applyAlignment="1">
      <alignment horizontal="left"/>
    </xf>
    <xf numFmtId="0" fontId="6" fillId="4" borderId="11" xfId="1" applyFill="1" applyBorder="1" applyAlignment="1">
      <alignment horizontal="left"/>
    </xf>
    <xf numFmtId="0" fontId="7" fillId="4" borderId="11" xfId="1" applyFont="1" applyFill="1" applyBorder="1" applyAlignment="1">
      <alignment horizontal="right"/>
    </xf>
    <xf numFmtId="2" fontId="7" fillId="4" borderId="11" xfId="0" applyNumberFormat="1" applyFont="1" applyFill="1" applyBorder="1" applyAlignment="1">
      <alignment horizontal="left"/>
    </xf>
    <xf numFmtId="2" fontId="7" fillId="4" borderId="9" xfId="0" applyNumberFormat="1" applyFont="1" applyFill="1" applyBorder="1" applyAlignment="1">
      <alignment horizontal="left"/>
    </xf>
    <xf numFmtId="4" fontId="0" fillId="4" borderId="11" xfId="0" applyNumberFormat="1" applyFill="1" applyBorder="1"/>
    <xf numFmtId="4" fontId="0" fillId="4" borderId="9" xfId="0" applyNumberFormat="1" applyFill="1" applyBorder="1"/>
    <xf numFmtId="0" fontId="7" fillId="4" borderId="7" xfId="1" applyFont="1" applyFill="1" applyBorder="1" applyAlignment="1">
      <alignment horizontal="left"/>
    </xf>
    <xf numFmtId="4" fontId="0" fillId="2" borderId="7" xfId="0" applyNumberFormat="1" applyFill="1" applyBorder="1" applyAlignment="1">
      <alignment horizontal="right"/>
    </xf>
    <xf numFmtId="167" fontId="0" fillId="10" borderId="0" xfId="0" applyNumberFormat="1" applyFill="1"/>
    <xf numFmtId="167" fontId="0" fillId="10" borderId="0" xfId="0" applyNumberFormat="1" applyFill="1" applyAlignment="1">
      <alignment horizontal="right"/>
    </xf>
    <xf numFmtId="2" fontId="6" fillId="12" borderId="0" xfId="1" applyNumberFormat="1" applyFill="1" applyAlignment="1">
      <alignment horizontal="left"/>
    </xf>
    <xf numFmtId="165" fontId="1" fillId="2" borderId="0" xfId="0" applyNumberFormat="1" applyFont="1" applyFill="1"/>
    <xf numFmtId="0" fontId="18" fillId="2" borderId="0" xfId="0" applyFont="1" applyFill="1"/>
    <xf numFmtId="176" fontId="0" fillId="4" borderId="2" xfId="0" applyNumberFormat="1" applyFill="1" applyBorder="1" applyAlignment="1">
      <alignment horizontal="right"/>
    </xf>
    <xf numFmtId="176" fontId="0" fillId="4" borderId="0" xfId="0" applyNumberFormat="1" applyFill="1" applyAlignment="1">
      <alignment horizontal="right"/>
    </xf>
    <xf numFmtId="176" fontId="0" fillId="4" borderId="7" xfId="0" applyNumberFormat="1" applyFill="1" applyBorder="1" applyAlignment="1">
      <alignment horizontal="right"/>
    </xf>
    <xf numFmtId="176" fontId="0" fillId="4" borderId="11" xfId="0" applyNumberFormat="1" applyFill="1" applyBorder="1" applyAlignment="1">
      <alignment horizontal="right"/>
    </xf>
    <xf numFmtId="176" fontId="0" fillId="10" borderId="0" xfId="0" applyNumberFormat="1" applyFill="1" applyAlignment="1">
      <alignment horizontal="right"/>
    </xf>
    <xf numFmtId="168" fontId="0" fillId="10" borderId="0" xfId="0" applyNumberFormat="1" applyFill="1" applyAlignment="1">
      <alignment horizontal="right"/>
    </xf>
    <xf numFmtId="168" fontId="0" fillId="2" borderId="0" xfId="0" applyNumberFormat="1" applyFill="1" applyAlignment="1">
      <alignment horizontal="right"/>
    </xf>
    <xf numFmtId="168" fontId="0" fillId="0" borderId="0" xfId="0" applyNumberFormat="1" applyAlignment="1">
      <alignment horizontal="right"/>
    </xf>
    <xf numFmtId="168" fontId="7" fillId="0" borderId="0" xfId="0" applyNumberFormat="1" applyFont="1"/>
    <xf numFmtId="168" fontId="0" fillId="12" borderId="0" xfId="0" applyNumberFormat="1" applyFill="1"/>
    <xf numFmtId="168" fontId="0" fillId="10" borderId="0" xfId="0" applyNumberFormat="1" applyFill="1"/>
    <xf numFmtId="168" fontId="0" fillId="2" borderId="7" xfId="0" applyNumberFormat="1" applyFill="1" applyBorder="1" applyAlignment="1">
      <alignment horizontal="right"/>
    </xf>
    <xf numFmtId="173" fontId="0" fillId="0" borderId="0" xfId="0" applyNumberFormat="1" applyAlignment="1">
      <alignment horizontal="right"/>
    </xf>
    <xf numFmtId="173" fontId="0" fillId="12" borderId="0" xfId="0" applyNumberFormat="1" applyFill="1"/>
    <xf numFmtId="173" fontId="0" fillId="10" borderId="0" xfId="0" applyNumberFormat="1" applyFill="1"/>
    <xf numFmtId="173" fontId="0" fillId="10" borderId="0" xfId="0" applyNumberFormat="1" applyFill="1" applyAlignment="1">
      <alignment horizontal="right"/>
    </xf>
    <xf numFmtId="173" fontId="0" fillId="2" borderId="0" xfId="0" applyNumberFormat="1" applyFill="1"/>
    <xf numFmtId="173" fontId="0" fillId="2" borderId="7" xfId="0" applyNumberFormat="1" applyFill="1" applyBorder="1" applyAlignment="1">
      <alignment horizontal="right"/>
    </xf>
    <xf numFmtId="9" fontId="0" fillId="0" borderId="0" xfId="0" applyNumberFormat="1" applyAlignment="1">
      <alignment horizontal="right"/>
    </xf>
    <xf numFmtId="0" fontId="6" fillId="14" borderId="0" xfId="1" applyFill="1" applyAlignment="1">
      <alignment horizontal="left"/>
    </xf>
    <xf numFmtId="173" fontId="0" fillId="14" borderId="0" xfId="0" applyNumberFormat="1" applyFill="1"/>
    <xf numFmtId="172" fontId="0" fillId="14" borderId="0" xfId="0" applyNumberFormat="1" applyFill="1"/>
    <xf numFmtId="170" fontId="0" fillId="14" borderId="0" xfId="0" applyNumberFormat="1" applyFill="1"/>
    <xf numFmtId="170" fontId="0" fillId="0" borderId="0" xfId="0" applyNumberFormat="1"/>
    <xf numFmtId="170" fontId="0" fillId="11" borderId="0" xfId="0" applyNumberFormat="1" applyFill="1"/>
    <xf numFmtId="170" fontId="0" fillId="2" borderId="7" xfId="0" applyNumberFormat="1" applyFill="1" applyBorder="1"/>
    <xf numFmtId="3" fontId="0" fillId="9" borderId="0" xfId="0" applyNumberFormat="1" applyFill="1" applyAlignment="1">
      <alignment horizontal="left"/>
    </xf>
    <xf numFmtId="0" fontId="7" fillId="2" borderId="0" xfId="1" applyFont="1" applyFill="1" applyBorder="1" applyAlignment="1">
      <alignment horizontal="right"/>
    </xf>
    <xf numFmtId="3" fontId="7" fillId="2" borderId="0" xfId="1" applyNumberFormat="1" applyFont="1" applyFill="1" applyBorder="1" applyAlignment="1">
      <alignment horizontal="right"/>
    </xf>
    <xf numFmtId="165" fontId="7" fillId="2" borderId="0" xfId="0" applyNumberFormat="1" applyFont="1" applyFill="1" applyAlignment="1">
      <alignment horizontal="right"/>
    </xf>
    <xf numFmtId="165" fontId="7" fillId="2" borderId="5" xfId="0" applyNumberFormat="1" applyFont="1" applyFill="1" applyBorder="1" applyAlignment="1">
      <alignment horizontal="right"/>
    </xf>
    <xf numFmtId="2" fontId="0" fillId="2" borderId="0" xfId="0" applyNumberFormat="1" applyFill="1" applyAlignment="1">
      <alignment horizontal="right"/>
    </xf>
    <xf numFmtId="2" fontId="0" fillId="2" borderId="5" xfId="0" applyNumberFormat="1" applyFill="1" applyBorder="1" applyAlignment="1">
      <alignment horizontal="right"/>
    </xf>
    <xf numFmtId="0" fontId="6" fillId="2" borderId="0" xfId="1" applyFill="1" applyAlignment="1">
      <alignment horizontal="right"/>
    </xf>
    <xf numFmtId="4" fontId="0" fillId="2" borderId="5" xfId="0" applyNumberFormat="1" applyFill="1" applyBorder="1" applyAlignment="1">
      <alignment horizontal="right"/>
    </xf>
    <xf numFmtId="4" fontId="0" fillId="2" borderId="0" xfId="0" applyNumberFormat="1" applyFill="1" applyAlignment="1">
      <alignment horizontal="right"/>
    </xf>
    <xf numFmtId="169" fontId="0" fillId="9" borderId="0" xfId="0" applyNumberFormat="1" applyFill="1"/>
    <xf numFmtId="0" fontId="10" fillId="0" borderId="0" xfId="1" applyFont="1" applyBorder="1"/>
    <xf numFmtId="169" fontId="0" fillId="0" borderId="0" xfId="0" applyNumberFormat="1"/>
    <xf numFmtId="0" fontId="15" fillId="16" borderId="0" xfId="0" applyFont="1" applyFill="1"/>
    <xf numFmtId="0" fontId="0" fillId="16" borderId="0" xfId="0" applyFill="1"/>
    <xf numFmtId="0" fontId="0" fillId="0" borderId="7" xfId="0" applyBorder="1" applyAlignment="1">
      <alignment horizontal="left"/>
    </xf>
    <xf numFmtId="0" fontId="6" fillId="0" borderId="7" xfId="1" applyFill="1" applyBorder="1"/>
    <xf numFmtId="0" fontId="7" fillId="0" borderId="7" xfId="1" applyFont="1" applyFill="1" applyBorder="1"/>
    <xf numFmtId="0" fontId="11" fillId="0" borderId="7" xfId="0" applyFont="1" applyBorder="1"/>
    <xf numFmtId="0" fontId="11" fillId="12" borderId="0" xfId="0" applyFont="1" applyFill="1"/>
    <xf numFmtId="0" fontId="11" fillId="12" borderId="5" xfId="0" applyFont="1" applyFill="1" applyBorder="1"/>
    <xf numFmtId="168" fontId="0" fillId="0" borderId="5" xfId="0" applyNumberFormat="1" applyBorder="1" applyAlignment="1">
      <alignment horizontal="left"/>
    </xf>
    <xf numFmtId="168" fontId="6" fillId="0" borderId="5" xfId="1" applyNumberFormat="1" applyBorder="1" applyAlignment="1">
      <alignment horizontal="left"/>
    </xf>
    <xf numFmtId="0" fontId="6" fillId="0" borderId="8" xfId="1" applyBorder="1"/>
    <xf numFmtId="168" fontId="6" fillId="0" borderId="8" xfId="1" applyNumberFormat="1" applyBorder="1" applyAlignment="1">
      <alignment horizontal="left"/>
    </xf>
    <xf numFmtId="169" fontId="0" fillId="0" borderId="0" xfId="0" applyNumberFormat="1" applyAlignment="1">
      <alignment horizontal="left"/>
    </xf>
    <xf numFmtId="4" fontId="0" fillId="0" borderId="0" xfId="0" applyNumberFormat="1" applyAlignment="1">
      <alignment horizontal="left"/>
    </xf>
    <xf numFmtId="1" fontId="0" fillId="0" borderId="0" xfId="0" applyNumberFormat="1" applyAlignment="1">
      <alignment horizontal="left"/>
    </xf>
    <xf numFmtId="3" fontId="0" fillId="0" borderId="7" xfId="0" applyNumberFormat="1" applyBorder="1" applyAlignment="1">
      <alignment horizontal="left"/>
    </xf>
    <xf numFmtId="4" fontId="0" fillId="0" borderId="7" xfId="0" applyNumberFormat="1" applyBorder="1" applyAlignment="1">
      <alignment horizontal="left"/>
    </xf>
    <xf numFmtId="1" fontId="0" fillId="0" borderId="7" xfId="0" applyNumberFormat="1" applyBorder="1" applyAlignment="1">
      <alignment horizontal="left"/>
    </xf>
    <xf numFmtId="0" fontId="0" fillId="4" borderId="4" xfId="0" applyFill="1" applyBorder="1"/>
    <xf numFmtId="0" fontId="0" fillId="17" borderId="0" xfId="0" applyFill="1"/>
    <xf numFmtId="164" fontId="0" fillId="9" borderId="0" xfId="0" applyNumberFormat="1" applyFill="1"/>
    <xf numFmtId="0" fontId="1" fillId="10" borderId="4" xfId="0" applyFont="1" applyFill="1" applyBorder="1"/>
    <xf numFmtId="3" fontId="7" fillId="2" borderId="0" xfId="0" applyNumberFormat="1" applyFont="1" applyFill="1"/>
    <xf numFmtId="0" fontId="7" fillId="2" borderId="0" xfId="0" applyFont="1" applyFill="1"/>
    <xf numFmtId="168" fontId="7" fillId="2" borderId="0" xfId="0" applyNumberFormat="1" applyFont="1" applyFill="1" applyAlignment="1">
      <alignment horizontal="right"/>
    </xf>
    <xf numFmtId="3" fontId="0" fillId="2" borderId="5" xfId="0" applyNumberFormat="1" applyFill="1" applyBorder="1" applyAlignment="1">
      <alignment horizontal="right"/>
    </xf>
    <xf numFmtId="168" fontId="6" fillId="0" borderId="0" xfId="1" applyNumberFormat="1" applyFill="1" applyBorder="1" applyAlignment="1">
      <alignment horizontal="left"/>
    </xf>
    <xf numFmtId="0" fontId="1" fillId="0" borderId="7" xfId="0" applyFont="1" applyBorder="1"/>
    <xf numFmtId="168" fontId="7" fillId="0" borderId="0" xfId="1" applyNumberFormat="1" applyFont="1" applyFill="1" applyBorder="1" applyAlignment="1">
      <alignment horizontal="left"/>
    </xf>
    <xf numFmtId="168" fontId="0" fillId="0" borderId="0" xfId="0" applyNumberFormat="1" applyAlignment="1">
      <alignment horizontal="left"/>
    </xf>
    <xf numFmtId="0" fontId="0" fillId="3" borderId="6" xfId="0" applyFill="1" applyBorder="1"/>
    <xf numFmtId="0" fontId="0" fillId="3" borderId="2" xfId="0" applyFill="1" applyBorder="1"/>
    <xf numFmtId="0" fontId="0" fillId="0" borderId="3" xfId="0" applyBorder="1" applyAlignment="1">
      <alignment horizontal="left"/>
    </xf>
    <xf numFmtId="0" fontId="7" fillId="0" borderId="5" xfId="0" applyFont="1" applyBorder="1" applyAlignment="1">
      <alignment horizontal="left"/>
    </xf>
    <xf numFmtId="0" fontId="7" fillId="2" borderId="8" xfId="0" applyFont="1" applyFill="1" applyBorder="1" applyAlignment="1">
      <alignment horizontal="left"/>
    </xf>
    <xf numFmtId="0" fontId="7" fillId="2" borderId="7" xfId="0" applyFont="1" applyFill="1" applyBorder="1" applyAlignment="1">
      <alignment horizontal="left"/>
    </xf>
    <xf numFmtId="0" fontId="7" fillId="0" borderId="5" xfId="0" applyFont="1" applyBorder="1"/>
    <xf numFmtId="173" fontId="0" fillId="2" borderId="0" xfId="0" applyNumberFormat="1" applyFill="1" applyAlignment="1">
      <alignment horizontal="right"/>
    </xf>
    <xf numFmtId="177" fontId="0" fillId="0" borderId="0" xfId="0" applyNumberFormat="1"/>
    <xf numFmtId="49" fontId="0" fillId="0" borderId="0" xfId="0" applyNumberFormat="1" applyAlignment="1">
      <alignment horizontal="right"/>
    </xf>
    <xf numFmtId="0" fontId="6" fillId="0" borderId="7" xfId="1" applyBorder="1"/>
    <xf numFmtId="49" fontId="0" fillId="0" borderId="0" xfId="0" applyNumberFormat="1" applyAlignment="1">
      <alignment horizontal="left"/>
    </xf>
    <xf numFmtId="0" fontId="19" fillId="0" borderId="0" xfId="1" applyFont="1" applyFill="1"/>
    <xf numFmtId="0" fontId="10" fillId="0" borderId="0" xfId="1" applyFont="1" applyFill="1" applyBorder="1" applyAlignment="1">
      <alignment horizontal="left"/>
    </xf>
    <xf numFmtId="0" fontId="0" fillId="0" borderId="0" xfId="0" quotePrefix="1" applyAlignment="1">
      <alignment horizontal="right"/>
    </xf>
    <xf numFmtId="0" fontId="7" fillId="9" borderId="0" xfId="1" applyFont="1" applyFill="1" applyBorder="1" applyAlignment="1">
      <alignment horizontal="right"/>
    </xf>
    <xf numFmtId="0" fontId="7" fillId="5" borderId="0" xfId="1" applyFont="1" applyFill="1" applyBorder="1" applyAlignment="1">
      <alignment horizontal="right"/>
    </xf>
    <xf numFmtId="1" fontId="7" fillId="5" borderId="0" xfId="0" quotePrefix="1" applyNumberFormat="1" applyFont="1" applyFill="1" applyAlignment="1">
      <alignment horizontal="right"/>
    </xf>
    <xf numFmtId="0" fontId="7" fillId="5" borderId="5" xfId="1" applyFont="1" applyFill="1" applyBorder="1" applyAlignment="1">
      <alignment horizontal="right"/>
    </xf>
    <xf numFmtId="1" fontId="7" fillId="5" borderId="0" xfId="0" applyNumberFormat="1" applyFont="1" applyFill="1" applyAlignment="1">
      <alignment horizontal="right"/>
    </xf>
    <xf numFmtId="0" fontId="10" fillId="0" borderId="0" xfId="1" applyFont="1" applyAlignment="1">
      <alignment horizontal="right"/>
    </xf>
    <xf numFmtId="170" fontId="0" fillId="0" borderId="0" xfId="0" applyNumberFormat="1" applyAlignment="1">
      <alignment horizontal="right"/>
    </xf>
    <xf numFmtId="1" fontId="7" fillId="0" borderId="0" xfId="0" applyNumberFormat="1" applyFont="1" applyAlignment="1">
      <alignment horizontal="right"/>
    </xf>
    <xf numFmtId="3" fontId="7" fillId="0" borderId="0" xfId="0" applyNumberFormat="1" applyFont="1" applyAlignment="1">
      <alignment horizontal="left"/>
    </xf>
    <xf numFmtId="169" fontId="7" fillId="0" borderId="0" xfId="0" applyNumberFormat="1" applyFont="1" applyAlignment="1">
      <alignment horizontal="left"/>
    </xf>
    <xf numFmtId="167" fontId="7" fillId="0" borderId="0" xfId="0" applyNumberFormat="1" applyFont="1" applyAlignment="1">
      <alignment horizontal="left"/>
    </xf>
    <xf numFmtId="0" fontId="11" fillId="0" borderId="0" xfId="0" applyFont="1" applyAlignment="1">
      <alignment horizontal="left"/>
    </xf>
    <xf numFmtId="1" fontId="7" fillId="0" borderId="0" xfId="0" applyNumberFormat="1" applyFont="1" applyAlignment="1">
      <alignment horizontal="left"/>
    </xf>
    <xf numFmtId="168" fontId="7" fillId="0" borderId="5" xfId="1" applyNumberFormat="1" applyFont="1" applyBorder="1" applyAlignment="1">
      <alignment horizontal="left"/>
    </xf>
    <xf numFmtId="168" fontId="7" fillId="0" borderId="5" xfId="0" applyNumberFormat="1" applyFont="1" applyBorder="1" applyAlignment="1">
      <alignment horizontal="left"/>
    </xf>
    <xf numFmtId="0" fontId="11" fillId="12" borderId="0" xfId="0" applyFont="1" applyFill="1" applyAlignment="1">
      <alignment horizontal="left"/>
    </xf>
    <xf numFmtId="1" fontId="11" fillId="12" borderId="0" xfId="0" applyNumberFormat="1" applyFont="1" applyFill="1" applyAlignment="1">
      <alignment horizontal="right"/>
    </xf>
    <xf numFmtId="0" fontId="11" fillId="12" borderId="5" xfId="0" applyFont="1" applyFill="1" applyBorder="1" applyAlignment="1">
      <alignment horizontal="left"/>
    </xf>
    <xf numFmtId="49" fontId="7" fillId="0" borderId="0" xfId="0" applyNumberFormat="1" applyFont="1" applyAlignment="1">
      <alignment horizontal="left"/>
    </xf>
    <xf numFmtId="49" fontId="7" fillId="0" borderId="0" xfId="0" applyNumberFormat="1" applyFont="1" applyAlignment="1">
      <alignment horizontal="right"/>
    </xf>
    <xf numFmtId="0" fontId="7" fillId="0" borderId="7" xfId="1" applyFont="1" applyBorder="1"/>
    <xf numFmtId="0" fontId="7" fillId="0" borderId="7" xfId="0" applyFont="1" applyBorder="1" applyAlignment="1">
      <alignment horizontal="left"/>
    </xf>
    <xf numFmtId="1" fontId="7" fillId="0" borderId="7" xfId="0" applyNumberFormat="1" applyFont="1" applyBorder="1" applyAlignment="1">
      <alignment horizontal="left"/>
    </xf>
    <xf numFmtId="3" fontId="7" fillId="0" borderId="7" xfId="0" applyNumberFormat="1" applyFont="1" applyBorder="1" applyAlignment="1">
      <alignment horizontal="left"/>
    </xf>
    <xf numFmtId="1" fontId="7" fillId="0" borderId="7" xfId="0" applyNumberFormat="1" applyFont="1" applyBorder="1" applyAlignment="1">
      <alignment horizontal="right"/>
    </xf>
    <xf numFmtId="4" fontId="7" fillId="0" borderId="7" xfId="0" applyNumberFormat="1" applyFont="1" applyBorder="1" applyAlignment="1">
      <alignment horizontal="left"/>
    </xf>
    <xf numFmtId="0" fontId="11" fillId="0" borderId="7" xfId="0" applyFont="1" applyBorder="1" applyAlignment="1">
      <alignment horizontal="left"/>
    </xf>
    <xf numFmtId="168" fontId="7" fillId="0" borderId="8" xfId="1" applyNumberFormat="1" applyFont="1" applyBorder="1" applyAlignment="1">
      <alignment horizontal="left"/>
    </xf>
    <xf numFmtId="0" fontId="0" fillId="12" borderId="5" xfId="0" applyFill="1" applyBorder="1"/>
    <xf numFmtId="0" fontId="7" fillId="0" borderId="7" xfId="0" applyFont="1" applyBorder="1"/>
    <xf numFmtId="1" fontId="11" fillId="0" borderId="0" xfId="0" applyNumberFormat="1" applyFont="1" applyAlignment="1">
      <alignment horizontal="right"/>
    </xf>
    <xf numFmtId="0" fontId="11" fillId="0" borderId="5" xfId="0" applyFont="1" applyBorder="1" applyAlignment="1">
      <alignment horizontal="left"/>
    </xf>
    <xf numFmtId="178" fontId="0" fillId="0" borderId="0" xfId="0" applyNumberFormat="1"/>
    <xf numFmtId="4" fontId="0" fillId="10" borderId="0" xfId="0" applyNumberFormat="1" applyFill="1"/>
    <xf numFmtId="176" fontId="0" fillId="9" borderId="0" xfId="0" applyNumberFormat="1" applyFill="1" applyAlignment="1">
      <alignment horizontal="right"/>
    </xf>
    <xf numFmtId="179" fontId="0" fillId="10" borderId="0" xfId="0" applyNumberFormat="1" applyFill="1"/>
    <xf numFmtId="0" fontId="10" fillId="0" borderId="0" xfId="1" applyFont="1" applyFill="1"/>
    <xf numFmtId="4" fontId="0" fillId="9" borderId="0" xfId="0" applyNumberFormat="1" applyFill="1" applyAlignment="1">
      <alignment horizontal="right"/>
    </xf>
    <xf numFmtId="3" fontId="1" fillId="12" borderId="0" xfId="0" applyNumberFormat="1" applyFont="1" applyFill="1"/>
    <xf numFmtId="1" fontId="10" fillId="0" borderId="0" xfId="1" applyNumberFormat="1" applyFont="1"/>
    <xf numFmtId="179" fontId="0" fillId="9" borderId="0" xfId="0" applyNumberFormat="1" applyFill="1" applyAlignment="1">
      <alignment horizontal="right"/>
    </xf>
    <xf numFmtId="1" fontId="0" fillId="9" borderId="0" xfId="0" applyNumberFormat="1" applyFill="1" applyAlignment="1">
      <alignment horizontal="right"/>
    </xf>
    <xf numFmtId="0" fontId="1" fillId="12" borderId="1" xfId="0" applyFont="1" applyFill="1" applyBorder="1"/>
    <xf numFmtId="0" fontId="1" fillId="12" borderId="2" xfId="0" applyFont="1" applyFill="1" applyBorder="1"/>
    <xf numFmtId="0" fontId="1" fillId="12" borderId="2" xfId="0" applyFont="1" applyFill="1" applyBorder="1" applyAlignment="1">
      <alignment horizontal="left"/>
    </xf>
    <xf numFmtId="1" fontId="1" fillId="12" borderId="2" xfId="0" applyNumberFormat="1" applyFont="1" applyFill="1" applyBorder="1" applyAlignment="1">
      <alignment horizontal="right"/>
    </xf>
    <xf numFmtId="0" fontId="1" fillId="12" borderId="3" xfId="0" applyFont="1" applyFill="1" applyBorder="1" applyAlignment="1">
      <alignment horizontal="left"/>
    </xf>
    <xf numFmtId="0" fontId="0" fillId="12" borderId="2" xfId="0" applyFill="1" applyBorder="1" applyAlignment="1">
      <alignment horizontal="left"/>
    </xf>
    <xf numFmtId="1" fontId="0" fillId="12" borderId="2" xfId="0" applyNumberFormat="1" applyFill="1" applyBorder="1" applyAlignment="1">
      <alignment horizontal="right"/>
    </xf>
    <xf numFmtId="3" fontId="0" fillId="12" borderId="2" xfId="0" applyNumberFormat="1" applyFill="1" applyBorder="1" applyAlignment="1">
      <alignment horizontal="left"/>
    </xf>
    <xf numFmtId="169" fontId="0" fillId="12" borderId="2" xfId="0" applyNumberFormat="1" applyFill="1" applyBorder="1" applyAlignment="1">
      <alignment horizontal="left"/>
    </xf>
    <xf numFmtId="1" fontId="0" fillId="12" borderId="2" xfId="0" applyNumberFormat="1" applyFill="1" applyBorder="1" applyAlignment="1">
      <alignment horizontal="left"/>
    </xf>
    <xf numFmtId="168" fontId="0" fillId="12" borderId="3" xfId="0" applyNumberFormat="1" applyFill="1" applyBorder="1" applyAlignment="1">
      <alignment horizontal="left"/>
    </xf>
    <xf numFmtId="0" fontId="0" fillId="12" borderId="2" xfId="0" applyFill="1" applyBorder="1"/>
    <xf numFmtId="3" fontId="0" fillId="12" borderId="2" xfId="0" applyNumberFormat="1" applyFill="1" applyBorder="1"/>
    <xf numFmtId="3" fontId="0" fillId="12" borderId="2" xfId="0" applyNumberFormat="1" applyFill="1" applyBorder="1" applyAlignment="1">
      <alignment horizontal="right"/>
    </xf>
    <xf numFmtId="168" fontId="0" fillId="12" borderId="2" xfId="0" applyNumberFormat="1" applyFill="1" applyBorder="1"/>
    <xf numFmtId="1" fontId="0" fillId="12" borderId="2" xfId="0" applyNumberFormat="1" applyFill="1" applyBorder="1"/>
    <xf numFmtId="165" fontId="0" fillId="12" borderId="2" xfId="0" applyNumberFormat="1" applyFill="1" applyBorder="1"/>
    <xf numFmtId="2" fontId="0" fillId="12" borderId="2" xfId="0" applyNumberFormat="1" applyFill="1" applyBorder="1"/>
    <xf numFmtId="2" fontId="0" fillId="12" borderId="3" xfId="0" applyNumberFormat="1" applyFill="1" applyBorder="1"/>
    <xf numFmtId="0" fontId="1" fillId="12" borderId="3" xfId="0" applyFont="1" applyFill="1" applyBorder="1"/>
    <xf numFmtId="0" fontId="0" fillId="12" borderId="2" xfId="0" applyFill="1" applyBorder="1" applyAlignment="1">
      <alignment horizontal="right"/>
    </xf>
    <xf numFmtId="168" fontId="0" fillId="12" borderId="2" xfId="0" applyNumberFormat="1" applyFill="1" applyBorder="1" applyAlignment="1">
      <alignment horizontal="right"/>
    </xf>
    <xf numFmtId="165" fontId="0" fillId="12" borderId="2" xfId="0" applyNumberFormat="1" applyFill="1" applyBorder="1" applyAlignment="1">
      <alignment horizontal="right"/>
    </xf>
    <xf numFmtId="2" fontId="0" fillId="12" borderId="2" xfId="0" applyNumberFormat="1" applyFill="1" applyBorder="1" applyAlignment="1">
      <alignment horizontal="right"/>
    </xf>
    <xf numFmtId="167" fontId="0" fillId="12" borderId="2" xfId="0" applyNumberFormat="1" applyFill="1" applyBorder="1" applyAlignment="1">
      <alignment horizontal="right"/>
    </xf>
    <xf numFmtId="168" fontId="0" fillId="12" borderId="3" xfId="0" applyNumberFormat="1" applyFill="1" applyBorder="1" applyAlignment="1">
      <alignment horizontal="right"/>
    </xf>
    <xf numFmtId="167" fontId="0" fillId="12" borderId="2" xfId="0" applyNumberFormat="1" applyFill="1" applyBorder="1"/>
    <xf numFmtId="168" fontId="0" fillId="12" borderId="3" xfId="0" applyNumberFormat="1" applyFill="1" applyBorder="1"/>
    <xf numFmtId="0" fontId="6" fillId="12" borderId="2" xfId="1" applyFill="1" applyBorder="1"/>
    <xf numFmtId="0" fontId="7" fillId="12" borderId="2" xfId="1" applyFont="1" applyFill="1" applyBorder="1"/>
    <xf numFmtId="0" fontId="7" fillId="12" borderId="3" xfId="1" applyFont="1" applyFill="1" applyBorder="1"/>
    <xf numFmtId="0" fontId="6" fillId="12" borderId="3" xfId="1" applyFill="1" applyBorder="1"/>
    <xf numFmtId="0" fontId="7" fillId="12" borderId="2" xfId="1" applyFont="1" applyFill="1" applyBorder="1" applyAlignment="1">
      <alignment horizontal="left"/>
    </xf>
    <xf numFmtId="1" fontId="7" fillId="12" borderId="2" xfId="0" applyNumberFormat="1" applyFont="1" applyFill="1" applyBorder="1"/>
    <xf numFmtId="0" fontId="10" fillId="12" borderId="3" xfId="1" applyFont="1" applyFill="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Exa-FLOPS by the</a:t>
            </a:r>
            <a:r>
              <a:rPr lang="en-US" baseline="0"/>
              <a:t> most powerful s</a:t>
            </a:r>
            <a:r>
              <a:rPr lang="en-US"/>
              <a:t>upercomputer</a:t>
            </a:r>
            <a:r>
              <a:rPr lang="en-US" baseline="0"/>
              <a:t> in the world</a:t>
            </a:r>
            <a:r>
              <a:rPr lang="en-US"/>
              <a:t>. </a:t>
            </a:r>
          </a:p>
          <a:p>
            <a:pPr>
              <a:defRPr/>
            </a:pPr>
            <a:r>
              <a:rPr lang="en-US"/>
              <a:t>Annual</a:t>
            </a:r>
            <a:r>
              <a:rPr lang="en-US" baseline="0"/>
              <a:t> growth since 1993 is 74%</a:t>
            </a:r>
            <a:endParaRPr lang="en-US"/>
          </a:p>
        </c:rich>
      </c:tx>
      <c:layout>
        <c:manualLayout>
          <c:xMode val="edge"/>
          <c:yMode val="edge"/>
          <c:x val="8.4401053087119635E-2"/>
          <c:y val="2.898550724637681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FP32</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FutureAISupercomputers!$B$12:$B$36</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FutureAISupercomputers!$E$12:$E$36</c:f>
              <c:numCache>
                <c:formatCode>#,##0.0</c:formatCode>
                <c:ptCount val="25"/>
                <c:pt idx="0">
                  <c:v>0.5</c:v>
                </c:pt>
                <c:pt idx="1">
                  <c:v>0.30873600000000001</c:v>
                </c:pt>
                <c:pt idx="2">
                  <c:v>0.67</c:v>
                </c:pt>
                <c:pt idx="3">
                  <c:v>6.7</c:v>
                </c:pt>
                <c:pt idx="4" formatCode="#,##0">
                  <c:v>23.45</c:v>
                </c:pt>
                <c:pt idx="5" formatCode="#,##0">
                  <c:v>36</c:v>
                </c:pt>
                <c:pt idx="6" formatCode="#,##0">
                  <c:v>74.900646891759479</c:v>
                </c:pt>
                <c:pt idx="7" formatCode="#,##0">
                  <c:v>155.83630291122333</c:v>
                </c:pt>
                <c:pt idx="8" formatCode="#,##0">
                  <c:v>223.2082186316855</c:v>
                </c:pt>
                <c:pt idx="9" formatCode="#,##0">
                  <c:v>354.18324670979041</c:v>
                </c:pt>
                <c:pt idx="10" formatCode="#,##0">
                  <c:v>510.92030497515594</c:v>
                </c:pt>
                <c:pt idx="11" formatCode="#,##0">
                  <c:v>818.90929643796699</c:v>
                </c:pt>
                <c:pt idx="12" formatCode="#,##0">
                  <c:v>1328.9647810590529</c:v>
                </c:pt>
                <c:pt idx="13" formatCode="#,##0">
                  <c:v>1851.4377921268401</c:v>
                </c:pt>
                <c:pt idx="14" formatCode="#,##0">
                  <c:v>2633.0531133697209</c:v>
                </c:pt>
                <c:pt idx="15" formatCode="#,##0">
                  <c:v>3851.6300942372277</c:v>
                </c:pt>
                <c:pt idx="16" formatCode="#,##0">
                  <c:v>5868.9213560939761</c:v>
                </c:pt>
                <c:pt idx="17" formatCode="#,##0">
                  <c:v>8734.3359005398597</c:v>
                </c:pt>
                <c:pt idx="18" formatCode="#,##0">
                  <c:v>10055.514340244967</c:v>
                </c:pt>
                <c:pt idx="19" formatCode="#,##0">
                  <c:v>13120.076035321561</c:v>
                </c:pt>
                <c:pt idx="20" formatCode="#,##0">
                  <c:v>15104.65297197076</c:v>
                </c:pt>
                <c:pt idx="21" formatCode="#,##0">
                  <c:v>20976.750549448887</c:v>
                </c:pt>
                <c:pt idx="22" formatCode="#,##0">
                  <c:v>32821.703744194157</c:v>
                </c:pt>
                <c:pt idx="23" formatCode="#,##0">
                  <c:v>49379.954934291593</c:v>
                </c:pt>
                <c:pt idx="24" formatCode="#,##0">
                  <c:v>59433.354668408865</c:v>
                </c:pt>
              </c:numCache>
            </c:numRef>
          </c:val>
          <c:smooth val="0"/>
          <c:extLst>
            <c:ext xmlns:c16="http://schemas.microsoft.com/office/drawing/2014/chart" uri="{C3380CC4-5D6E-409C-BE32-E72D297353CC}">
              <c16:uniqueId val="{00000000-7671-4E2A-85D7-65313AD3A561}"/>
            </c:ext>
          </c:extLst>
        </c:ser>
        <c:ser>
          <c:idx val="2"/>
          <c:order val="1"/>
          <c:tx>
            <c:v>FP8</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FutureAISupercomputers!$B$12:$B$36</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FutureAISupercomputers!$F$12:$F$36</c:f>
              <c:numCache>
                <c:formatCode>#,##0</c:formatCode>
                <c:ptCount val="25"/>
                <c:pt idx="0">
                  <c:v>7.8</c:v>
                </c:pt>
                <c:pt idx="1">
                  <c:v>18.238464</c:v>
                </c:pt>
                <c:pt idx="2">
                  <c:v>39.58</c:v>
                </c:pt>
                <c:pt idx="3">
                  <c:v>395.8</c:v>
                </c:pt>
                <c:pt idx="4">
                  <c:v>1385.3</c:v>
                </c:pt>
                <c:pt idx="5">
                  <c:v>4000</c:v>
                </c:pt>
                <c:pt idx="6">
                  <c:v>8322.2940990843872</c:v>
                </c:pt>
                <c:pt idx="7">
                  <c:v>17315.144767913705</c:v>
                </c:pt>
                <c:pt idx="8">
                  <c:v>24800.913181298387</c:v>
                </c:pt>
                <c:pt idx="9">
                  <c:v>39353.694078865592</c:v>
                </c:pt>
                <c:pt idx="10">
                  <c:v>56768.922775017323</c:v>
                </c:pt>
                <c:pt idx="11">
                  <c:v>90989.921826440768</c:v>
                </c:pt>
                <c:pt idx="12">
                  <c:v>147662.75345100585</c:v>
                </c:pt>
                <c:pt idx="13">
                  <c:v>205715.31023631559</c:v>
                </c:pt>
                <c:pt idx="14">
                  <c:v>292561.45704108017</c:v>
                </c:pt>
                <c:pt idx="15">
                  <c:v>427958.899359692</c:v>
                </c:pt>
                <c:pt idx="16">
                  <c:v>652102.37289933069</c:v>
                </c:pt>
                <c:pt idx="17">
                  <c:v>970481.76672665111</c:v>
                </c:pt>
                <c:pt idx="18">
                  <c:v>1117279.3711383296</c:v>
                </c:pt>
                <c:pt idx="19">
                  <c:v>1457786.2261468403</c:v>
                </c:pt>
                <c:pt idx="20">
                  <c:v>1678294.7746634178</c:v>
                </c:pt>
                <c:pt idx="21">
                  <c:v>2330750.0610498763</c:v>
                </c:pt>
                <c:pt idx="22">
                  <c:v>3646855.9715771289</c:v>
                </c:pt>
                <c:pt idx="23">
                  <c:v>5486661.6593657332</c:v>
                </c:pt>
                <c:pt idx="24">
                  <c:v>6603706.074267651</c:v>
                </c:pt>
              </c:numCache>
            </c:numRef>
          </c:val>
          <c:smooth val="0"/>
          <c:extLst>
            <c:ext xmlns:c16="http://schemas.microsoft.com/office/drawing/2014/chart" uri="{C3380CC4-5D6E-409C-BE32-E72D297353CC}">
              <c16:uniqueId val="{00000002-7671-4E2A-85D7-65313AD3A561}"/>
            </c:ext>
          </c:extLst>
        </c:ser>
        <c:ser>
          <c:idx val="1"/>
          <c:order val="2"/>
          <c:tx>
            <c:v>FP4</c:v>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FutureAISupercomputers!$G$12:$G$36</c:f>
              <c:numCache>
                <c:formatCode>#,##0</c:formatCode>
                <c:ptCount val="25"/>
                <c:pt idx="0">
                  <c:v>0</c:v>
                </c:pt>
                <c:pt idx="1">
                  <c:v>0</c:v>
                </c:pt>
                <c:pt idx="2">
                  <c:v>0</c:v>
                </c:pt>
                <c:pt idx="3">
                  <c:v>0</c:v>
                </c:pt>
                <c:pt idx="4">
                  <c:v>0</c:v>
                </c:pt>
                <c:pt idx="5">
                  <c:v>8000</c:v>
                </c:pt>
                <c:pt idx="6">
                  <c:v>16644.588198168774</c:v>
                </c:pt>
                <c:pt idx="7">
                  <c:v>34630.289535827404</c:v>
                </c:pt>
                <c:pt idx="8">
                  <c:v>49601.826362596767</c:v>
                </c:pt>
                <c:pt idx="9">
                  <c:v>78707.388157731184</c:v>
                </c:pt>
                <c:pt idx="10">
                  <c:v>113537.84555003463</c:v>
                </c:pt>
                <c:pt idx="11">
                  <c:v>181979.84365288151</c:v>
                </c:pt>
                <c:pt idx="12">
                  <c:v>295325.50690201164</c:v>
                </c:pt>
                <c:pt idx="13">
                  <c:v>411430.62047263107</c:v>
                </c:pt>
                <c:pt idx="14">
                  <c:v>585122.91408215999</c:v>
                </c:pt>
                <c:pt idx="15">
                  <c:v>855917.79871938366</c:v>
                </c:pt>
                <c:pt idx="16">
                  <c:v>1304204.7457986609</c:v>
                </c:pt>
                <c:pt idx="17">
                  <c:v>1940963.5334533013</c:v>
                </c:pt>
                <c:pt idx="18">
                  <c:v>2234558.7422766583</c:v>
                </c:pt>
                <c:pt idx="19">
                  <c:v>2915572.4522936787</c:v>
                </c:pt>
                <c:pt idx="20">
                  <c:v>3356589.5493268333</c:v>
                </c:pt>
                <c:pt idx="21">
                  <c:v>4661500.1220997507</c:v>
                </c:pt>
                <c:pt idx="22">
                  <c:v>7293711.943154254</c:v>
                </c:pt>
                <c:pt idx="23">
                  <c:v>10973323.318731461</c:v>
                </c:pt>
                <c:pt idx="24">
                  <c:v>13207412.148535296</c:v>
                </c:pt>
              </c:numCache>
            </c:numRef>
          </c:val>
          <c:smooth val="0"/>
          <c:extLst>
            <c:ext xmlns:c16="http://schemas.microsoft.com/office/drawing/2014/chart" uri="{C3380CC4-5D6E-409C-BE32-E72D297353CC}">
              <c16:uniqueId val="{00000000-A11B-4F3C-AD26-ECEDAACB5181}"/>
            </c:ext>
          </c:extLst>
        </c:ser>
        <c:dLbls>
          <c:showLegendKey val="0"/>
          <c:showVal val="0"/>
          <c:showCatName val="0"/>
          <c:showSerName val="0"/>
          <c:showPercent val="0"/>
          <c:showBubbleSize val="0"/>
        </c:dLbls>
        <c:marker val="1"/>
        <c:smooth val="0"/>
        <c:axId val="994998432"/>
        <c:axId val="991673456"/>
      </c:lineChart>
      <c:catAx>
        <c:axId val="99499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1673456"/>
        <c:crosses val="autoZero"/>
        <c:auto val="1"/>
        <c:lblAlgn val="ctr"/>
        <c:lblOffset val="100"/>
        <c:noMultiLvlLbl val="0"/>
      </c:catAx>
      <c:valAx>
        <c:axId val="991673456"/>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4998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 AGIs </a:t>
            </a:r>
            <a:r>
              <a:rPr lang="en-US" baseline="0"/>
              <a:t>possible by the world's most powerful supercomputer</a:t>
            </a:r>
            <a:endParaRPr lang="en-US"/>
          </a:p>
        </c:rich>
      </c:tx>
      <c:layout>
        <c:manualLayout>
          <c:xMode val="edge"/>
          <c:yMode val="edge"/>
          <c:x val="1.4116696951342621E-2"/>
          <c:y val="2.209944751381215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v>If AGI require 12,900 TFLOPS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FutureAISupercomputers!$B$12:$B$36</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FutureAISupercomputers!$V$12:$V$36</c:f>
              <c:numCache>
                <c:formatCode>#,##0</c:formatCode>
                <c:ptCount val="25"/>
                <c:pt idx="0">
                  <c:v>604.65116279069764</c:v>
                </c:pt>
                <c:pt idx="1">
                  <c:v>1413.8344186046511</c:v>
                </c:pt>
                <c:pt idx="2">
                  <c:v>3068.2170542635658</c:v>
                </c:pt>
                <c:pt idx="3">
                  <c:v>30682.17054263566</c:v>
                </c:pt>
                <c:pt idx="4">
                  <c:v>107387.59689922481</c:v>
                </c:pt>
                <c:pt idx="5">
                  <c:v>620155.03875968989</c:v>
                </c:pt>
                <c:pt idx="6">
                  <c:v>1290278.1548968041</c:v>
                </c:pt>
                <c:pt idx="7">
                  <c:v>2684518.5686687906</c:v>
                </c:pt>
                <c:pt idx="8">
                  <c:v>3845102.8188059507</c:v>
                </c:pt>
                <c:pt idx="9">
                  <c:v>6101347.9192039678</c:v>
                </c:pt>
                <c:pt idx="10">
                  <c:v>8801383.3759716768</c:v>
                </c:pt>
                <c:pt idx="11">
                  <c:v>14106964.624254379</c:v>
                </c:pt>
                <c:pt idx="12">
                  <c:v>22893450.147442766</c:v>
                </c:pt>
                <c:pt idx="13">
                  <c:v>31893846.548265971</c:v>
                </c:pt>
                <c:pt idx="14">
                  <c:v>45358365.432725586</c:v>
                </c:pt>
                <c:pt idx="15">
                  <c:v>66350216.954990983</c:v>
                </c:pt>
                <c:pt idx="16">
                  <c:v>101101143.08516751</c:v>
                </c:pt>
                <c:pt idx="17">
                  <c:v>150462289.41498458</c:v>
                </c:pt>
                <c:pt idx="18">
                  <c:v>173221607.92842311</c:v>
                </c:pt>
                <c:pt idx="19">
                  <c:v>226013368.39485881</c:v>
                </c:pt>
                <c:pt idx="20">
                  <c:v>260200740.25789407</c:v>
                </c:pt>
                <c:pt idx="21">
                  <c:v>361356598.61238378</c:v>
                </c:pt>
                <c:pt idx="22">
                  <c:v>565404026.60110497</c:v>
                </c:pt>
                <c:pt idx="23">
                  <c:v>850645218.50631475</c:v>
                </c:pt>
                <c:pt idx="24">
                  <c:v>1023830399.1112633</c:v>
                </c:pt>
              </c:numCache>
            </c:numRef>
          </c:val>
          <c:smooth val="0"/>
          <c:extLst>
            <c:ext xmlns:c16="http://schemas.microsoft.com/office/drawing/2014/chart" uri="{C3380CC4-5D6E-409C-BE32-E72D297353CC}">
              <c16:uniqueId val="{00000001-CD11-4F7C-94C9-1EF993D53BF4}"/>
            </c:ext>
          </c:extLst>
        </c:ser>
        <c:ser>
          <c:idx val="0"/>
          <c:order val="1"/>
          <c:tx>
            <c:v>If AGI require 31,536 GB</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FutureAISupercomputers!$B$12:$B$36</c:f>
              <c:numCache>
                <c:formatCode>General</c:formatCode>
                <c:ptCount val="25"/>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numCache>
            </c:numRef>
          </c:cat>
          <c:val>
            <c:numRef>
              <c:f>FutureAISupercomputers!$U$12:$U$36</c:f>
              <c:numCache>
                <c:formatCode>#,##0</c:formatCode>
                <c:ptCount val="25"/>
                <c:pt idx="0">
                  <c:v>24.471417384494913</c:v>
                </c:pt>
                <c:pt idx="1">
                  <c:v>9.0211433046202032</c:v>
                </c:pt>
                <c:pt idx="2">
                  <c:v>19.577133907595929</c:v>
                </c:pt>
                <c:pt idx="3">
                  <c:v>195.7713390759593</c:v>
                </c:pt>
                <c:pt idx="4">
                  <c:v>685.19968676585756</c:v>
                </c:pt>
                <c:pt idx="5">
                  <c:v>4228.6609240407206</c:v>
                </c:pt>
                <c:pt idx="6">
                  <c:v>8412.711033917878</c:v>
                </c:pt>
                <c:pt idx="7">
                  <c:v>16736.671067155556</c:v>
                </c:pt>
                <c:pt idx="8">
                  <c:v>22922.430639977942</c:v>
                </c:pt>
                <c:pt idx="9">
                  <c:v>34779.917046444847</c:v>
                </c:pt>
                <c:pt idx="10">
                  <c:v>47973.757025729603</c:v>
                </c:pt>
                <c:pt idx="11">
                  <c:v>73525.233289415541</c:v>
                </c:pt>
                <c:pt idx="12">
                  <c:v>114094.34592449501</c:v>
                </c:pt>
                <c:pt idx="13">
                  <c:v>183317.44065912443</c:v>
                </c:pt>
                <c:pt idx="14">
                  <c:v>300675.67201695673</c:v>
                </c:pt>
                <c:pt idx="15">
                  <c:v>507256.06888567237</c:v>
                </c:pt>
                <c:pt idx="16">
                  <c:v>806537.14952821925</c:v>
                </c:pt>
                <c:pt idx="17">
                  <c:v>1252504.7498555877</c:v>
                </c:pt>
                <c:pt idx="18">
                  <c:v>1653306.269809376</c:v>
                </c:pt>
                <c:pt idx="19">
                  <c:v>2473346.1796348263</c:v>
                </c:pt>
                <c:pt idx="20">
                  <c:v>2992748.8773581404</c:v>
                </c:pt>
                <c:pt idx="21">
                  <c:v>4368262.3036823627</c:v>
                </c:pt>
                <c:pt idx="22">
                  <c:v>7183607.3584056441</c:v>
                </c:pt>
                <c:pt idx="23">
                  <c:v>11359079.135478929</c:v>
                </c:pt>
                <c:pt idx="24">
                  <c:v>14369235.106380839</c:v>
                </c:pt>
              </c:numCache>
            </c:numRef>
          </c:val>
          <c:smooth val="0"/>
          <c:extLst>
            <c:ext xmlns:c16="http://schemas.microsoft.com/office/drawing/2014/chart" uri="{C3380CC4-5D6E-409C-BE32-E72D297353CC}">
              <c16:uniqueId val="{00000001-EE00-4A46-B959-F2AFD3DBE768}"/>
            </c:ext>
          </c:extLst>
        </c:ser>
        <c:dLbls>
          <c:showLegendKey val="0"/>
          <c:showVal val="0"/>
          <c:showCatName val="0"/>
          <c:showSerName val="0"/>
          <c:showPercent val="0"/>
          <c:showBubbleSize val="0"/>
        </c:dLbls>
        <c:marker val="1"/>
        <c:smooth val="0"/>
        <c:axId val="93154000"/>
        <c:axId val="681287312"/>
      </c:lineChart>
      <c:catAx>
        <c:axId val="9315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1287312"/>
        <c:crosses val="autoZero"/>
        <c:auto val="1"/>
        <c:lblAlgn val="ctr"/>
        <c:lblOffset val="100"/>
        <c:noMultiLvlLbl val="0"/>
      </c:catAx>
      <c:valAx>
        <c:axId val="681287312"/>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54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Number of human level (HL) AGI's possible </a:t>
            </a:r>
          </a:p>
          <a:p>
            <a:pPr>
              <a:defRPr/>
            </a:pPr>
            <a:r>
              <a:rPr lang="en-US"/>
              <a:t>using global stock of AI chips made</a:t>
            </a:r>
          </a:p>
        </c:rich>
      </c:tx>
      <c:layout>
        <c:manualLayout>
          <c:xMode val="edge"/>
          <c:yMode val="edge"/>
          <c:x val="0.26176100401242947"/>
          <c:y val="2.8659013043217112E-4"/>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44720678950667"/>
          <c:y val="0.19748103624451524"/>
          <c:w val="0.85830311086826216"/>
          <c:h val="0.59623269564228654"/>
        </c:manualLayout>
      </c:layout>
      <c:lineChart>
        <c:grouping val="standard"/>
        <c:varyColors val="0"/>
        <c:ser>
          <c:idx val="1"/>
          <c:order val="0"/>
          <c:tx>
            <c:v># of AGIs possible if each require 12900 TFLOPS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extLst>
                <c:ext xmlns:c15="http://schemas.microsoft.com/office/drawing/2012/chart" uri="{02D57815-91ED-43cb-92C2-25804820EDAC}">
                  <c15:fullRef>
                    <c15:sqref>AI_Chip_Prod_TFLOPS_GB_RAM!$B$11:$B$34</c15:sqref>
                  </c15:fullRef>
                </c:ext>
              </c:extLst>
              <c:f>AI_Chip_Prod_TFLOPS_GB_RAM!$B$12:$B$34</c:f>
              <c:numCache>
                <c:formatCode>General</c:formatCode>
                <c:ptCount val="2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numCache>
            </c:numRef>
          </c:cat>
          <c:val>
            <c:numRef>
              <c:extLst>
                <c:ext xmlns:c15="http://schemas.microsoft.com/office/drawing/2012/chart" uri="{02D57815-91ED-43cb-92C2-25804820EDAC}">
                  <c15:fullRef>
                    <c15:sqref>AI_Chip_Prod_TFLOPS_GB_RAM!$Q$11:$Q$34</c15:sqref>
                  </c15:fullRef>
                </c:ext>
              </c:extLst>
              <c:f>AI_Chip_Prod_TFLOPS_GB_RAM!$Q$12:$Q$34</c:f>
              <c:numCache>
                <c:formatCode>#,##0</c:formatCode>
                <c:ptCount val="23"/>
                <c:pt idx="0">
                  <c:v>168751.93798449612</c:v>
                </c:pt>
                <c:pt idx="1">
                  <c:v>782395.34883720928</c:v>
                </c:pt>
                <c:pt idx="2">
                  <c:v>6983945.7364341086</c:v>
                </c:pt>
                <c:pt idx="3">
                  <c:v>20746912.722000021</c:v>
                </c:pt>
                <c:pt idx="4">
                  <c:v>49381777.454467133</c:v>
                </c:pt>
                <c:pt idx="5">
                  <c:v>101015126.70920342</c:v>
                </c:pt>
                <c:pt idx="6">
                  <c:v>193949756.96526083</c:v>
                </c:pt>
                <c:pt idx="7">
                  <c:v>354759806.93738174</c:v>
                </c:pt>
                <c:pt idx="8">
                  <c:v>628436475.48593676</c:v>
                </c:pt>
                <c:pt idx="9">
                  <c:v>1099929518.8992426</c:v>
                </c:pt>
                <c:pt idx="10">
                  <c:v>1912636994.143393</c:v>
                </c:pt>
                <c:pt idx="11">
                  <c:v>3070433258.6050444</c:v>
                </c:pt>
                <c:pt idx="12">
                  <c:v>4715884946.1283092</c:v>
                </c:pt>
                <c:pt idx="13">
                  <c:v>7053634165.4639645</c:v>
                </c:pt>
                <c:pt idx="14">
                  <c:v>10366317008.560839</c:v>
                </c:pt>
                <c:pt idx="15">
                  <c:v>15045367524.83444</c:v>
                </c:pt>
                <c:pt idx="16">
                  <c:v>20960244511.728619</c:v>
                </c:pt>
                <c:pt idx="17">
                  <c:v>28589658866.128487</c:v>
                </c:pt>
                <c:pt idx="18">
                  <c:v>38414547626.895821</c:v>
                </c:pt>
                <c:pt idx="19">
                  <c:v>51043284393.667801</c:v>
                </c:pt>
                <c:pt idx="20">
                  <c:v>66450210719.708595</c:v>
                </c:pt>
                <c:pt idx="21">
                  <c:v>84551247220.665024</c:v>
                </c:pt>
                <c:pt idx="22">
                  <c:v>105797025576.52254</c:v>
                </c:pt>
              </c:numCache>
            </c:numRef>
          </c:val>
          <c:smooth val="0"/>
          <c:extLst>
            <c:ext xmlns:c16="http://schemas.microsoft.com/office/drawing/2014/chart" uri="{C3380CC4-5D6E-409C-BE32-E72D297353CC}">
              <c16:uniqueId val="{00000001-8029-46C9-B8E5-A3721574B23D}"/>
            </c:ext>
          </c:extLst>
        </c:ser>
        <c:ser>
          <c:idx val="4"/>
          <c:order val="1"/>
          <c:tx>
            <c:v># of AGIs possible if each require 31.5TB</c:v>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Lit>
              <c:ptCount val="2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AI_Chip_Prod_TFLOPS_GB_RAM!$P$11:$P$34</c15:sqref>
                  </c15:fullRef>
                </c:ext>
              </c:extLst>
              <c:f>AI_Chip_Prod_TFLOPS_GB_RAM!$P$12:$P$34</c:f>
              <c:numCache>
                <c:formatCode>#,##0</c:formatCode>
                <c:ptCount val="23"/>
                <c:pt idx="0">
                  <c:v>1076.7423649177761</c:v>
                </c:pt>
                <c:pt idx="1">
                  <c:v>4992.1691464369615</c:v>
                </c:pt>
                <c:pt idx="2">
                  <c:v>47278.778386844169</c:v>
                </c:pt>
                <c:pt idx="3">
                  <c:v>137014.36274863486</c:v>
                </c:pt>
                <c:pt idx="4">
                  <c:v>315538.85413162742</c:v>
                </c:pt>
                <c:pt idx="5">
                  <c:v>623349.05395587813</c:v>
                </c:pt>
                <c:pt idx="6">
                  <c:v>1152995.6783506621</c:v>
                </c:pt>
                <c:pt idx="7">
                  <c:v>2028953.4162460195</c:v>
                </c:pt>
                <c:pt idx="8">
                  <c:v>3445386.8001447693</c:v>
                </c:pt>
                <c:pt idx="9">
                  <c:v>5774027.0724501563</c:v>
                </c:pt>
                <c:pt idx="10">
                  <c:v>9604868.1972363628</c:v>
                </c:pt>
                <c:pt idx="11">
                  <c:v>15944086.249783596</c:v>
                </c:pt>
                <c:pt idx="12">
                  <c:v>26433306.888539638</c:v>
                </c:pt>
                <c:pt idx="13">
                  <c:v>43823126.776750885</c:v>
                </c:pt>
                <c:pt idx="14">
                  <c:v>69768946.362943903</c:v>
                </c:pt>
                <c:pt idx="15">
                  <c:v>108457379.87527502</c:v>
                </c:pt>
                <c:pt idx="16">
                  <c:v>166108228.31260321</c:v>
                </c:pt>
                <c:pt idx="17">
                  <c:v>251951521.14047784</c:v>
                </c:pt>
                <c:pt idx="18">
                  <c:v>368105768.62030047</c:v>
                </c:pt>
                <c:pt idx="19">
                  <c:v>524700588.85975277</c:v>
                </c:pt>
                <c:pt idx="20">
                  <c:v>728117206.8263098</c:v>
                </c:pt>
                <c:pt idx="21">
                  <c:v>984077227.218871</c:v>
                </c:pt>
                <c:pt idx="22">
                  <c:v>1298206552.8137465</c:v>
                </c:pt>
              </c:numCache>
            </c:numRef>
          </c:val>
          <c:smooth val="0"/>
          <c:extLst>
            <c:ext xmlns:c16="http://schemas.microsoft.com/office/drawing/2014/chart" uri="{C3380CC4-5D6E-409C-BE32-E72D297353CC}">
              <c16:uniqueId val="{00000000-8EF5-42F3-AB1B-92E43490A71C}"/>
            </c:ext>
          </c:extLst>
        </c:ser>
        <c:ser>
          <c:idx val="3"/>
          <c:order val="2"/>
          <c:tx>
            <c:v>Humans on Earth</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extLst>
                <c:ext xmlns:c15="http://schemas.microsoft.com/office/drawing/2012/chart" uri="{02D57815-91ED-43cb-92C2-25804820EDAC}">
                  <c15:fullRef>
                    <c15:sqref>AI_Chip_Prod_TFLOPS_GB_RAM!$B$11:$B$34</c15:sqref>
                  </c15:fullRef>
                </c:ext>
              </c:extLst>
              <c:f>AI_Chip_Prod_TFLOPS_GB_RAM!$B$12:$B$34</c:f>
              <c:numCache>
                <c:formatCode>General</c:formatCode>
                <c:ptCount val="2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numCache>
            </c:numRef>
          </c:cat>
          <c:val>
            <c:numRef>
              <c:extLst>
                <c:ext xmlns:c15="http://schemas.microsoft.com/office/drawing/2012/chart" uri="{02D57815-91ED-43cb-92C2-25804820EDAC}">
                  <c15:fullRef>
                    <c15:sqref>AI_Chip_Prod_TFLOPS_GB_RAM!$R$11:$R$34</c15:sqref>
                  </c15:fullRef>
                </c:ext>
              </c:extLst>
              <c:f>AI_Chip_Prod_TFLOPS_GB_RAM!$R$12:$R$34</c:f>
              <c:numCache>
                <c:formatCode>#,##0</c:formatCode>
                <c:ptCount val="23"/>
                <c:pt idx="0">
                  <c:v>8041298528.7947998</c:v>
                </c:pt>
                <c:pt idx="1">
                  <c:v>8108041306.5837965</c:v>
                </c:pt>
                <c:pt idx="2">
                  <c:v>8175338049.428442</c:v>
                </c:pt>
                <c:pt idx="3">
                  <c:v>8243193355.238698</c:v>
                </c:pt>
                <c:pt idx="4">
                  <c:v>8311611860.0871792</c:v>
                </c:pt>
                <c:pt idx="5">
                  <c:v>8380598238.5259027</c:v>
                </c:pt>
                <c:pt idx="6">
                  <c:v>8450157203.9056673</c:v>
                </c:pt>
                <c:pt idx="7">
                  <c:v>8520293508.6980839</c:v>
                </c:pt>
                <c:pt idx="8">
                  <c:v>8591011944.8202782</c:v>
                </c:pt>
                <c:pt idx="9">
                  <c:v>8662317343.962286</c:v>
                </c:pt>
                <c:pt idx="10">
                  <c:v>8734214577.9171734</c:v>
                </c:pt>
                <c:pt idx="11">
                  <c:v>8806708558.9138851</c:v>
                </c:pt>
                <c:pt idx="12">
                  <c:v>8879804239.9528694</c:v>
                </c:pt>
                <c:pt idx="13">
                  <c:v>8953506615.1444778</c:v>
                </c:pt>
                <c:pt idx="14">
                  <c:v>9027820720.0501766</c:v>
                </c:pt>
                <c:pt idx="15">
                  <c:v>9102751632.0265923</c:v>
                </c:pt>
                <c:pt idx="16">
                  <c:v>9178304470.5724125</c:v>
                </c:pt>
                <c:pt idx="17">
                  <c:v>9254484397.6781635</c:v>
                </c:pt>
                <c:pt idx="18">
                  <c:v>9331296618.1788921</c:v>
                </c:pt>
                <c:pt idx="19">
                  <c:v>9408746380.1097775</c:v>
                </c:pt>
                <c:pt idx="20">
                  <c:v>9486838975.0646877</c:v>
                </c:pt>
                <c:pt idx="21">
                  <c:v>9565579738.557724</c:v>
                </c:pt>
                <c:pt idx="22">
                  <c:v>9644974050.3877525</c:v>
                </c:pt>
              </c:numCache>
            </c:numRef>
          </c:val>
          <c:smooth val="0"/>
          <c:extLst>
            <c:ext xmlns:c16="http://schemas.microsoft.com/office/drawing/2014/chart" uri="{C3380CC4-5D6E-409C-BE32-E72D297353CC}">
              <c16:uniqueId val="{00000003-8029-46C9-B8E5-A3721574B23D}"/>
            </c:ext>
          </c:extLst>
        </c:ser>
        <c:dLbls>
          <c:showLegendKey val="0"/>
          <c:showVal val="0"/>
          <c:showCatName val="0"/>
          <c:showSerName val="0"/>
          <c:showPercent val="0"/>
          <c:showBubbleSize val="0"/>
        </c:dLbls>
        <c:marker val="1"/>
        <c:smooth val="0"/>
        <c:axId val="998930112"/>
        <c:axId val="634590384"/>
        <c:extLst/>
      </c:lineChart>
      <c:catAx>
        <c:axId val="998930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4590384"/>
        <c:crosses val="autoZero"/>
        <c:auto val="1"/>
        <c:lblAlgn val="ctr"/>
        <c:lblOffset val="100"/>
        <c:noMultiLvlLbl val="0"/>
      </c:catAx>
      <c:valAx>
        <c:axId val="634590384"/>
        <c:scaling>
          <c:logBase val="10"/>
          <c:orientation val="minMax"/>
          <c:min val="10000"/>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8930112"/>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495300</xdr:colOff>
      <xdr:row>79</xdr:row>
      <xdr:rowOff>12700</xdr:rowOff>
    </xdr:from>
    <xdr:to>
      <xdr:col>23</xdr:col>
      <xdr:colOff>762000</xdr:colOff>
      <xdr:row>98</xdr:row>
      <xdr:rowOff>19050</xdr:rowOff>
    </xdr:to>
    <xdr:graphicFrame macro="">
      <xdr:nvGraphicFramePr>
        <xdr:cNvPr id="3" name="Chart 2">
          <a:extLst>
            <a:ext uri="{FF2B5EF4-FFF2-40B4-BE49-F238E27FC236}">
              <a16:creationId xmlns:a16="http://schemas.microsoft.com/office/drawing/2014/main" id="{751B1BCF-2AB2-196E-F629-2C7E42570C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0</xdr:colOff>
      <xdr:row>79</xdr:row>
      <xdr:rowOff>50800</xdr:rowOff>
    </xdr:from>
    <xdr:to>
      <xdr:col>43</xdr:col>
      <xdr:colOff>939800</xdr:colOff>
      <xdr:row>98</xdr:row>
      <xdr:rowOff>0</xdr:rowOff>
    </xdr:to>
    <xdr:graphicFrame macro="">
      <xdr:nvGraphicFramePr>
        <xdr:cNvPr id="4" name="Chart 3">
          <a:extLst>
            <a:ext uri="{FF2B5EF4-FFF2-40B4-BE49-F238E27FC236}">
              <a16:creationId xmlns:a16="http://schemas.microsoft.com/office/drawing/2014/main" id="{2BAB50FC-A554-723E-8F0B-B4E86B7552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304800</xdr:colOff>
      <xdr:row>10</xdr:row>
      <xdr:rowOff>184150</xdr:rowOff>
    </xdr:from>
    <xdr:to>
      <xdr:col>32</xdr:col>
      <xdr:colOff>952500</xdr:colOff>
      <xdr:row>33</xdr:row>
      <xdr:rowOff>101600</xdr:rowOff>
    </xdr:to>
    <xdr:graphicFrame macro="">
      <xdr:nvGraphicFramePr>
        <xdr:cNvPr id="2" name="Chart 1">
          <a:extLst>
            <a:ext uri="{FF2B5EF4-FFF2-40B4-BE49-F238E27FC236}">
              <a16:creationId xmlns:a16="http://schemas.microsoft.com/office/drawing/2014/main" id="{9021528B-6897-AB8A-A22A-B5BB7BE825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omnicalculator.com/other/audio-file-size" TargetMode="External"/><Relationship Id="rId21" Type="http://schemas.openxmlformats.org/officeDocument/2006/relationships/hyperlink" Target="https://www.perplexity.ai/" TargetMode="External"/><Relationship Id="rId42" Type="http://schemas.openxmlformats.org/officeDocument/2006/relationships/hyperlink" Target="https://www.howtogeek.com/853529/hardware-for-stable-diffusion/" TargetMode="External"/><Relationship Id="rId63" Type="http://schemas.openxmlformats.org/officeDocument/2006/relationships/hyperlink" Target="http://www.fhi.ox.ac.uk/brain-emulation-roadmap-report.pdf" TargetMode="External"/><Relationship Id="rId84" Type="http://schemas.openxmlformats.org/officeDocument/2006/relationships/hyperlink" Target="https://www.engadget.com/samsung-unveils-a-512-gb-ddr-5-ram-module-102447443.html" TargetMode="External"/><Relationship Id="rId138" Type="http://schemas.openxmlformats.org/officeDocument/2006/relationships/hyperlink" Target="https://en.wikipedia.org/wiki/AlphaZero" TargetMode="External"/><Relationship Id="rId159" Type="http://schemas.openxmlformats.org/officeDocument/2006/relationships/hyperlink" Target="https://www.macxdvd.com/gopro-video-processing/gopro-video-size-calculator.htm" TargetMode="External"/><Relationship Id="rId170" Type="http://schemas.openxmlformats.org/officeDocument/2006/relationships/hyperlink" Target="https://en.wikipedia.org/wiki/Anthropic" TargetMode="External"/><Relationship Id="rId191" Type="http://schemas.openxmlformats.org/officeDocument/2006/relationships/hyperlink" Target="https://en.wikipedia.org/wiki/GPT-4o" TargetMode="External"/><Relationship Id="rId205" Type="http://schemas.openxmlformats.org/officeDocument/2006/relationships/hyperlink" Target="https://youtu.be/fKXztwtXaGo?si=YhpgsxHENr8s560Y" TargetMode="External"/><Relationship Id="rId107" Type="http://schemas.openxmlformats.org/officeDocument/2006/relationships/hyperlink" Target="https://youtu.be/1WOjjgyZPj8?si=f4KA-OE7e2eDaO-h&amp;t=4442" TargetMode="External"/><Relationship Id="rId11" Type="http://schemas.openxmlformats.org/officeDocument/2006/relationships/hyperlink" Target="https://the-decoder.com/gpt-4-architecture-datasets-costs-and-more-leaked/" TargetMode="External"/><Relationship Id="rId32" Type="http://schemas.openxmlformats.org/officeDocument/2006/relationships/hyperlink" Target="https://en.wikipedia.org/wiki/LaMDA" TargetMode="External"/><Relationship Id="rId53" Type="http://schemas.openxmlformats.org/officeDocument/2006/relationships/hyperlink" Target="https://www.lesswrong.com/posts/7htxRA4TkHERiuPYK/parameter-vs-synapse" TargetMode="External"/><Relationship Id="rId74" Type="http://schemas.openxmlformats.org/officeDocument/2006/relationships/hyperlink" Target="https://ai.meta.com/blog/large-language-model-llama-meta-ai/" TargetMode="External"/><Relationship Id="rId128" Type="http://schemas.openxmlformats.org/officeDocument/2006/relationships/hyperlink" Target="https://the-decoder.com/stable-diffusion-xl-an-image-model-at-midjourneys-level/" TargetMode="External"/><Relationship Id="rId149" Type="http://schemas.openxmlformats.org/officeDocument/2006/relationships/hyperlink" Target="https://www.cnbc.com/2023/11/05/elon-musk-debuts-grok-ai-bot-to-rival-chatgpt-others-.html" TargetMode="External"/><Relationship Id="rId5" Type="http://schemas.openxmlformats.org/officeDocument/2006/relationships/hyperlink" Target="https://chat.openai.com/" TargetMode="External"/><Relationship Id="rId95" Type="http://schemas.openxmlformats.org/officeDocument/2006/relationships/hyperlink" Target="https://www.youtube.com/watch?v=Y6Sgp7y178k&amp;t=115s" TargetMode="External"/><Relationship Id="rId160" Type="http://schemas.openxmlformats.org/officeDocument/2006/relationships/hyperlink" Target="https://en.wikipedia.org/wiki/Llama_(language_model)" TargetMode="External"/><Relationship Id="rId181" Type="http://schemas.openxmlformats.org/officeDocument/2006/relationships/hyperlink" Target="https://chat.openai.com/" TargetMode="External"/><Relationship Id="rId216" Type="http://schemas.openxmlformats.org/officeDocument/2006/relationships/hyperlink" Target="https://ourworldindata.org/grapher/artificial-intelligence-training-computation?country=~GPT-1" TargetMode="External"/><Relationship Id="rId22" Type="http://schemas.openxmlformats.org/officeDocument/2006/relationships/hyperlink" Target="https://ai.meta.com/llama/" TargetMode="External"/><Relationship Id="rId43" Type="http://schemas.openxmlformats.org/officeDocument/2006/relationships/hyperlink" Target="https://www.howtogeek.com/853529/hardware-for-stable-diffusion/" TargetMode="External"/><Relationship Id="rId64" Type="http://schemas.openxmlformats.org/officeDocument/2006/relationships/hyperlink" Target="https://www.khanacademy.org/test-prep/mcat/organ-systems/neural-synapses/a/signal-propagation-the-movement-of-signals-between-neurons" TargetMode="External"/><Relationship Id="rId118" Type="http://schemas.openxmlformats.org/officeDocument/2006/relationships/hyperlink" Target="https://www.youtube.com/watch?v=e5xxejlecLs" TargetMode="External"/><Relationship Id="rId139" Type="http://schemas.openxmlformats.org/officeDocument/2006/relationships/hyperlink" Target="https://en.wikipedia.org/wiki/AlphaZero" TargetMode="External"/><Relationship Id="rId85" Type="http://schemas.openxmlformats.org/officeDocument/2006/relationships/hyperlink" Target="https://en.wikipedia.org/wiki/DDR5_SDRAM" TargetMode="External"/><Relationship Id="rId150" Type="http://schemas.openxmlformats.org/officeDocument/2006/relationships/hyperlink" Target="https://www.anthropic.com/news/claude-3-family" TargetMode="External"/><Relationship Id="rId171" Type="http://schemas.openxmlformats.org/officeDocument/2006/relationships/hyperlink" Target="https://thenewstack.io/how-perplexitys-online-llm-was-inspired-by-freshllms-paper/?utm_referrer=https%3A%2F%2Fwww.perplexity.ai%2F" TargetMode="External"/><Relationship Id="rId192" Type="http://schemas.openxmlformats.org/officeDocument/2006/relationships/hyperlink" Target="https://www.creatosaurus.io/blog/openai-o1-preview-model" TargetMode="External"/><Relationship Id="rId206" Type="http://schemas.openxmlformats.org/officeDocument/2006/relationships/hyperlink" Target="https://youtu.be/HS1wV9NMLr8?si=4kOA48fAuVhLXyZN" TargetMode="External"/><Relationship Id="rId12" Type="http://schemas.openxmlformats.org/officeDocument/2006/relationships/hyperlink" Target="https://the-decoder.com/gpt-4-architecture-datasets-costs-and-more-leaked/" TargetMode="External"/><Relationship Id="rId33" Type="http://schemas.openxmlformats.org/officeDocument/2006/relationships/hyperlink" Target="https://en.wikipedia.org/wiki/Stable_Diffusion" TargetMode="External"/><Relationship Id="rId108" Type="http://schemas.openxmlformats.org/officeDocument/2006/relationships/hyperlink" Target="https://en.wikipedia.org/wiki/PaLM" TargetMode="External"/><Relationship Id="rId129" Type="http://schemas.openxmlformats.org/officeDocument/2006/relationships/hyperlink" Target="https://en.wikipedia.org/wiki/Stable_Diffusion" TargetMode="External"/><Relationship Id="rId54" Type="http://schemas.openxmlformats.org/officeDocument/2006/relationships/hyperlink" Target="https://neurotray.com/how-many-calculations-per-second-can-the-human-brain-do/" TargetMode="External"/><Relationship Id="rId75" Type="http://schemas.openxmlformats.org/officeDocument/2006/relationships/hyperlink" Target="https://arxiv.org/pdf/2302.13971.pdf" TargetMode="External"/><Relationship Id="rId96" Type="http://schemas.openxmlformats.org/officeDocument/2006/relationships/hyperlink" Target="https://www.youtube.com/watch?v=Y6Sgp7y178k&amp;t=115s" TargetMode="External"/><Relationship Id="rId140" Type="http://schemas.openxmlformats.org/officeDocument/2006/relationships/hyperlink" Target="https://en.wikipedia.org/wiki/AlphaFold" TargetMode="External"/><Relationship Id="rId161" Type="http://schemas.openxmlformats.org/officeDocument/2006/relationships/hyperlink" Target="https://en.wikipedia.org/wiki/List_of_animals_by_number_of_neurons" TargetMode="External"/><Relationship Id="rId182" Type="http://schemas.openxmlformats.org/officeDocument/2006/relationships/hyperlink" Target="https://en.wikipedia.org/wiki/GPT-3" TargetMode="External"/><Relationship Id="rId217" Type="http://schemas.openxmlformats.org/officeDocument/2006/relationships/hyperlink" Target="https://x.com/HMexperienceDK/status/1847992543545331734" TargetMode="External"/><Relationship Id="rId6" Type="http://schemas.openxmlformats.org/officeDocument/2006/relationships/hyperlink" Target="https://en.wikipedia.org/wiki/GPT-4" TargetMode="External"/><Relationship Id="rId23" Type="http://schemas.openxmlformats.org/officeDocument/2006/relationships/hyperlink" Target="https://labs.perplexity.ai/" TargetMode="External"/><Relationship Id="rId119" Type="http://schemas.openxmlformats.org/officeDocument/2006/relationships/hyperlink" Target="https://www.youtube.com/watch?v=INawFGUy-nU" TargetMode="External"/><Relationship Id="rId44" Type="http://schemas.openxmlformats.org/officeDocument/2006/relationships/hyperlink" Target="https://the-decoder.com/training-cost-for-stable-diffusion-was-just-600000-and-that-is-a-good-sign-for-ai-progress/" TargetMode="External"/><Relationship Id="rId65" Type="http://schemas.openxmlformats.org/officeDocument/2006/relationships/hyperlink" Target="https://www.quora.com/Why-dont-neurons-in-the-brain-fire-all-the-time/answer/Paul-King-2" TargetMode="External"/><Relationship Id="rId86" Type="http://schemas.openxmlformats.org/officeDocument/2006/relationships/hyperlink" Target="https://www.anandtech.com/show/16900/samsung-teases-512-gb-ddr5-7200-modules" TargetMode="External"/><Relationship Id="rId130" Type="http://schemas.openxmlformats.org/officeDocument/2006/relationships/hyperlink" Target="https://youtu.be/1WOjjgyZPj8?si=f4KA-OE7e2eDaO-h&amp;t=4442" TargetMode="External"/><Relationship Id="rId151" Type="http://schemas.openxmlformats.org/officeDocument/2006/relationships/hyperlink" Target="https://www.substratus.ai/blog/calculating-gpu-memory-for-llm/" TargetMode="External"/><Relationship Id="rId172" Type="http://schemas.openxmlformats.org/officeDocument/2006/relationships/hyperlink" Target="https://www.amazon.com/KingSpec-Gen4x4-Speed-Internal-PCIe4-0/dp/B0C58GTGPM?th=1" TargetMode="External"/><Relationship Id="rId193" Type="http://schemas.openxmlformats.org/officeDocument/2006/relationships/hyperlink" Target="https://en.wikipedia.org/wiki/List_of_animals_by_number_of_neurons" TargetMode="External"/><Relationship Id="rId207" Type="http://schemas.openxmlformats.org/officeDocument/2006/relationships/hyperlink" Target="https://youtu.be/OopTOjnD3qY?si=tzIOvAm_kvBZRmsZ" TargetMode="External"/><Relationship Id="rId13" Type="http://schemas.openxmlformats.org/officeDocument/2006/relationships/hyperlink" Target="https://the-decoder.com/gpt-4-architecture-datasets-costs-and-more-leaked/" TargetMode="External"/><Relationship Id="rId109" Type="http://schemas.openxmlformats.org/officeDocument/2006/relationships/hyperlink" Target="https://youtu.be/FHhrN-GXrF8?si=SLSweYe6vRFKpDos&amp;t=112" TargetMode="External"/><Relationship Id="rId34" Type="http://schemas.openxmlformats.org/officeDocument/2006/relationships/hyperlink" Target="https://beta.dreamstudio.ai/generate" TargetMode="External"/><Relationship Id="rId55" Type="http://schemas.openxmlformats.org/officeDocument/2006/relationships/hyperlink" Target="https://www.slideshare.net/antonioeram/raymond-kurzweil-presentation" TargetMode="External"/><Relationship Id="rId76" Type="http://schemas.openxmlformats.org/officeDocument/2006/relationships/hyperlink" Target="https://en.m.wikipedia.org/wiki/Chimpanzee" TargetMode="External"/><Relationship Id="rId97" Type="http://schemas.openxmlformats.org/officeDocument/2006/relationships/hyperlink" Target="https://pc.net/helpcenter/answers/how_much_text_in_one_megabyte" TargetMode="External"/><Relationship Id="rId120" Type="http://schemas.openxmlformats.org/officeDocument/2006/relationships/hyperlink" Target="https://deepgram.com/learn/whisper-issues-smart-formatting" TargetMode="External"/><Relationship Id="rId141" Type="http://schemas.openxmlformats.org/officeDocument/2006/relationships/hyperlink" Target="https://en.wikipedia.org/wiki/AlphaFold" TargetMode="External"/><Relationship Id="rId7" Type="http://schemas.openxmlformats.org/officeDocument/2006/relationships/hyperlink" Target="https://en.wikipedia.org/wiki/GPT-3" TargetMode="External"/><Relationship Id="rId162" Type="http://schemas.openxmlformats.org/officeDocument/2006/relationships/hyperlink" Target="https://northernlightswildlife.com/learn-about-wolves/" TargetMode="External"/><Relationship Id="rId183" Type="http://schemas.openxmlformats.org/officeDocument/2006/relationships/hyperlink" Target="https://en.wikipedia.org/wiki/GPT-3" TargetMode="External"/><Relationship Id="rId218" Type="http://schemas.openxmlformats.org/officeDocument/2006/relationships/hyperlink" Target="https://ourworldindata.org/grapher/artificial-intelligence-training-computation?country=GPT~Llama+3.1-405B" TargetMode="External"/><Relationship Id="rId24" Type="http://schemas.openxmlformats.org/officeDocument/2006/relationships/hyperlink" Target="https://claude.ai/login" TargetMode="External"/><Relationship Id="rId45" Type="http://schemas.openxmlformats.org/officeDocument/2006/relationships/hyperlink" Target="https://en.wikipedia.org/wiki/Stable_Diffusion" TargetMode="External"/><Relationship Id="rId66" Type="http://schemas.openxmlformats.org/officeDocument/2006/relationships/hyperlink" Target="https://hypertextbook.com/facts/2001/JacquelineLing.shtml" TargetMode="External"/><Relationship Id="rId87" Type="http://schemas.openxmlformats.org/officeDocument/2006/relationships/hyperlink" Target="https://www.crucial.com/support/articles-faq-memory/how-much-power-does-memory-use" TargetMode="External"/><Relationship Id="rId110" Type="http://schemas.openxmlformats.org/officeDocument/2006/relationships/hyperlink" Target="https://sites.research.google/usm/" TargetMode="External"/><Relationship Id="rId131" Type="http://schemas.openxmlformats.org/officeDocument/2006/relationships/hyperlink" Target="https://waxy.org/2022/08/exploring-12-million-of-the-images-used-to-train-stable-diffusions-image-generator/" TargetMode="External"/><Relationship Id="rId152" Type="http://schemas.openxmlformats.org/officeDocument/2006/relationships/hyperlink" Target="https://en.wikipedia.org/wiki/Large_language_model" TargetMode="External"/><Relationship Id="rId173" Type="http://schemas.openxmlformats.org/officeDocument/2006/relationships/hyperlink" Target="https://www.amazon.com/KingSpec-Gen4x4-Speed-Internal-PCIe4-0/dp/B0C58GTGPM?th=1" TargetMode="External"/><Relationship Id="rId194" Type="http://schemas.openxmlformats.org/officeDocument/2006/relationships/hyperlink" Target="https://en.wikipedia.org/wiki/List_of_animals_by_number_of_neurons" TargetMode="External"/><Relationship Id="rId208" Type="http://schemas.openxmlformats.org/officeDocument/2006/relationships/hyperlink" Target="https://youtu.be/cpraXaw7dyc?si=-CjynClKa4yIn2oY&amp;t=24" TargetMode="External"/><Relationship Id="rId14" Type="http://schemas.openxmlformats.org/officeDocument/2006/relationships/hyperlink" Target="https://the-decoder.com/gpt-4-architecture-datasets-costs-and-more-leaked/" TargetMode="External"/><Relationship Id="rId30" Type="http://schemas.openxmlformats.org/officeDocument/2006/relationships/hyperlink" Target="https://en.wikipedia.org/wiki/Bard_(chatbot)" TargetMode="External"/><Relationship Id="rId35" Type="http://schemas.openxmlformats.org/officeDocument/2006/relationships/hyperlink" Target="https://beta.dreamstudio.ai/generate" TargetMode="External"/><Relationship Id="rId56" Type="http://schemas.openxmlformats.org/officeDocument/2006/relationships/hyperlink" Target="http://www.fhi.ox.ac.uk/brain-emulation-roadmap-report.pdf" TargetMode="External"/><Relationship Id="rId77" Type="http://schemas.openxmlformats.org/officeDocument/2006/relationships/hyperlink" Target="https://en.m.wikipedia.org/wiki/Chimpanzee" TargetMode="External"/><Relationship Id="rId100" Type="http://schemas.openxmlformats.org/officeDocument/2006/relationships/hyperlink" Target="https://en.wikipedia.org/wiki/Metric_prefix" TargetMode="External"/><Relationship Id="rId105" Type="http://schemas.openxmlformats.org/officeDocument/2006/relationships/hyperlink" Target="https://youtu.be/1WOjjgyZPj8?si=YDkBhg6YQHGVx9Yh&amp;t=4427" TargetMode="External"/><Relationship Id="rId126" Type="http://schemas.openxmlformats.org/officeDocument/2006/relationships/hyperlink" Target="https://beta.dreamstudio.ai/generate" TargetMode="External"/><Relationship Id="rId147" Type="http://schemas.openxmlformats.org/officeDocument/2006/relationships/hyperlink" Target="https://the-decoder.com/gpt-3-5-might-be-a-strong-example-of-the-efficiency-potential-of-large-ai-models/" TargetMode="External"/><Relationship Id="rId168" Type="http://schemas.openxmlformats.org/officeDocument/2006/relationships/hyperlink" Target="https://towardsdatascience.com/how-to-deploy-and-interpret-alphafold2-with-minimal-compute-9bf75942c6d7" TargetMode="External"/><Relationship Id="rId8" Type="http://schemas.openxmlformats.org/officeDocument/2006/relationships/hyperlink" Target="https://en.wikipedia.org/wiki/GPT-4" TargetMode="External"/><Relationship Id="rId51" Type="http://schemas.openxmlformats.org/officeDocument/2006/relationships/hyperlink" Target="https://www.beren.io/2022-08-06-The-scale-of-the-brain-vs-machine-learning/" TargetMode="External"/><Relationship Id="rId72" Type="http://schemas.openxmlformats.org/officeDocument/2006/relationships/hyperlink" Target="https://ai.meta.com/blog/large-language-model-llama-meta-ai/" TargetMode="External"/><Relationship Id="rId93" Type="http://schemas.openxmlformats.org/officeDocument/2006/relationships/hyperlink" Target="https://ourworldindata.org/grapher/historical-cost-of-computer-memory-and-storage" TargetMode="External"/><Relationship Id="rId98" Type="http://schemas.openxmlformats.org/officeDocument/2006/relationships/hyperlink" Target="https://basmo.app/how-long-does-it-take-to-read-100-pages/" TargetMode="External"/><Relationship Id="rId121" Type="http://schemas.openxmlformats.org/officeDocument/2006/relationships/hyperlink" Target="https://deepgram.com/learn/whisper-issues-smart-formatting" TargetMode="External"/><Relationship Id="rId142" Type="http://schemas.openxmlformats.org/officeDocument/2006/relationships/hyperlink" Target="https://towardsdatascience.com/how-to-deploy-and-interpret-alphafold2-with-minimal-compute-9bf75942c6d7" TargetMode="External"/><Relationship Id="rId163" Type="http://schemas.openxmlformats.org/officeDocument/2006/relationships/hyperlink" Target="https://x.com/reach_vb/status/1801648142963577103?ref_src=twsrc%5Etfw%7Ctwcamp%5Etweetembed%7Ctwterm%5E1801662289780822100%7Ctwgr%5Ee356aa4e988e30c7664c1990e8512ba9b1bb4980%7Ctwcon%5Es3_&amp;ref_url=https%3A%2F%2Fventurebeat.com%2Fai%2Fnvidias-nemotron-4-340b-model-redefines-synthetic-data-generation-rivals-gpt-4%2F" TargetMode="External"/><Relationship Id="rId184" Type="http://schemas.openxmlformats.org/officeDocument/2006/relationships/hyperlink" Target="https://en.wikipedia.org/wiki/GPT-1" TargetMode="External"/><Relationship Id="rId189" Type="http://schemas.openxmlformats.org/officeDocument/2006/relationships/hyperlink" Target="https://en.wikipedia.org/wiki/GPT-2" TargetMode="External"/><Relationship Id="rId219" Type="http://schemas.openxmlformats.org/officeDocument/2006/relationships/printerSettings" Target="../printerSettings/printerSettings1.bin"/><Relationship Id="rId3" Type="http://schemas.openxmlformats.org/officeDocument/2006/relationships/hyperlink" Target="https://platform.openai.com/docs/models/gpt-4" TargetMode="External"/><Relationship Id="rId214" Type="http://schemas.openxmlformats.org/officeDocument/2006/relationships/hyperlink" Target="https://youtu.be/UZDiGooFs54?si=LKk33NwxNG0MDvad&amp;t=68" TargetMode="External"/><Relationship Id="rId25" Type="http://schemas.openxmlformats.org/officeDocument/2006/relationships/hyperlink" Target="https://en.wikipedia.org/wiki/Microsoft_Bing" TargetMode="External"/><Relationship Id="rId46" Type="http://schemas.openxmlformats.org/officeDocument/2006/relationships/hyperlink" Target="https://www.theregister.com/2023/07/21/tesla_dojo_spending/" TargetMode="External"/><Relationship Id="rId67" Type="http://schemas.openxmlformats.org/officeDocument/2006/relationships/hyperlink" Target="https://www.openphilanthropy.org/research/new-report-on-how-much-computational-power-it-takes-to-match-the-human-brain/" TargetMode="External"/><Relationship Id="rId116" Type="http://schemas.openxmlformats.org/officeDocument/2006/relationships/hyperlink" Target="https://huggingface.co/datasets/laion/laion2B-en%20(this%20page%20no%20longer%20exist%20because%20model%20is%20old%20and%20copyright%20issues%20may%20have%20forced%20a%20takedown)" TargetMode="External"/><Relationship Id="rId137" Type="http://schemas.openxmlformats.org/officeDocument/2006/relationships/hyperlink" Target="https://en.wikipedia.org/wiki/AlphaZero" TargetMode="External"/><Relationship Id="rId158" Type="http://schemas.openxmlformats.org/officeDocument/2006/relationships/hyperlink" Target="https://worldostats.com/mice-population-by-country-2024/" TargetMode="External"/><Relationship Id="rId20" Type="http://schemas.openxmlformats.org/officeDocument/2006/relationships/hyperlink" Target="https://www.perplexity.ai/" TargetMode="External"/><Relationship Id="rId41" Type="http://schemas.openxmlformats.org/officeDocument/2006/relationships/hyperlink" Target="https://www.howtogeek.com/853529/hardware-for-stable-diffusion/" TargetMode="External"/><Relationship Id="rId62" Type="http://schemas.openxmlformats.org/officeDocument/2006/relationships/hyperlink" Target="https://en.wikipedia.org/wiki/Neuron" TargetMode="External"/><Relationship Id="rId83" Type="http://schemas.openxmlformats.org/officeDocument/2006/relationships/hyperlink" Target="https://en.wikipedia.org/wiki/LLaMA" TargetMode="External"/><Relationship Id="rId88" Type="http://schemas.openxmlformats.org/officeDocument/2006/relationships/hyperlink" Target="https://en.wikipedia.org/wiki/Human_evolution" TargetMode="External"/><Relationship Id="rId111" Type="http://schemas.openxmlformats.org/officeDocument/2006/relationships/hyperlink" Target="https://sites.research.google/usm/" TargetMode="External"/><Relationship Id="rId132" Type="http://schemas.openxmlformats.org/officeDocument/2006/relationships/hyperlink" Target="https://huggingface.co/datasets/laion/laion2B-en" TargetMode="External"/><Relationship Id="rId153" Type="http://schemas.openxmlformats.org/officeDocument/2006/relationships/hyperlink" Target="https://youtu.be/1WOjjgyZPj8?si=f4KA-OE7e2eDaO-h&amp;t=4442" TargetMode="External"/><Relationship Id="rId174" Type="http://schemas.openxmlformats.org/officeDocument/2006/relationships/hyperlink" Target="https://www.amazon.com/KingSpec-Gen4x4-Speed-Internal-PCIe4-0/dp/B0C58GTGPM?th=1" TargetMode="External"/><Relationship Id="rId179" Type="http://schemas.openxmlformats.org/officeDocument/2006/relationships/hyperlink" Target="https://en.wikipedia.org/wiki/GPT-3" TargetMode="External"/><Relationship Id="rId195" Type="http://schemas.openxmlformats.org/officeDocument/2006/relationships/hyperlink" Target="https://arxiv.org/abs/1906.01703" TargetMode="External"/><Relationship Id="rId209" Type="http://schemas.openxmlformats.org/officeDocument/2006/relationships/hyperlink" Target="https://youtu.be/Q9Ze7OSfZzE?si=pbBVTOYkHII_MtpO" TargetMode="External"/><Relationship Id="rId190" Type="http://schemas.openxmlformats.org/officeDocument/2006/relationships/hyperlink" Target="https://en.wikipedia.org/wiki/GPT-2" TargetMode="External"/><Relationship Id="rId204" Type="http://schemas.openxmlformats.org/officeDocument/2006/relationships/hyperlink" Target="https://huggingface.co/stabilityai/stable-diffusion-2-1" TargetMode="External"/><Relationship Id="rId15" Type="http://schemas.openxmlformats.org/officeDocument/2006/relationships/hyperlink" Target="https://the-decoder.com/gpt-4-architecture-datasets-costs-and-more-leaked/" TargetMode="External"/><Relationship Id="rId36" Type="http://schemas.openxmlformats.org/officeDocument/2006/relationships/hyperlink" Target="https://en.wikipedia.org/wiki/Stable_Diffusion" TargetMode="External"/><Relationship Id="rId57" Type="http://schemas.openxmlformats.org/officeDocument/2006/relationships/hyperlink" Target="https://aiimpacts.org/brain-performance-in-flops/" TargetMode="External"/><Relationship Id="rId106" Type="http://schemas.openxmlformats.org/officeDocument/2006/relationships/hyperlink" Target="https://youtu.be/1WOjjgyZPj8?si=f4KA-OE7e2eDaO-h&amp;t=4442" TargetMode="External"/><Relationship Id="rId127" Type="http://schemas.openxmlformats.org/officeDocument/2006/relationships/hyperlink" Target="https://stability.ai/stable-diffusion" TargetMode="External"/><Relationship Id="rId10" Type="http://schemas.openxmlformats.org/officeDocument/2006/relationships/hyperlink" Target="https://www.semafor.com/article/03/24/2023/the-secret-history-of-elon-musk-sam-altman-and-openai" TargetMode="External"/><Relationship Id="rId31" Type="http://schemas.openxmlformats.org/officeDocument/2006/relationships/hyperlink" Target="https://en.wikipedia.org/wiki/LaMDA" TargetMode="External"/><Relationship Id="rId52" Type="http://schemas.openxmlformats.org/officeDocument/2006/relationships/hyperlink" Target="https://bdtechtalks.com/2020/06/22/direct-fit-artificial-neural-networks/" TargetMode="External"/><Relationship Id="rId73" Type="http://schemas.openxmlformats.org/officeDocument/2006/relationships/hyperlink" Target="https://ai.meta.com/blog/large-language-model-llama-meta-ai/" TargetMode="External"/><Relationship Id="rId78" Type="http://schemas.openxmlformats.org/officeDocument/2006/relationships/hyperlink" Target="https://en.wikipedia.org/wiki/List_of_animals_by_number_of_neurons" TargetMode="External"/><Relationship Id="rId94" Type="http://schemas.openxmlformats.org/officeDocument/2006/relationships/hyperlink" Target="https://the-decoder.com/gpt-4-architecture-datasets-costs-and-more-leaked/" TargetMode="External"/><Relationship Id="rId99" Type="http://schemas.openxmlformats.org/officeDocument/2006/relationships/hyperlink" Target="https://basmo.app/how-long-does-it-take-to-read-100-pages/" TargetMode="External"/><Relationship Id="rId101" Type="http://schemas.openxmlformats.org/officeDocument/2006/relationships/hyperlink" Target="https://twitter.com/tim_zaman/status/1695488119729238147" TargetMode="External"/><Relationship Id="rId122" Type="http://schemas.openxmlformats.org/officeDocument/2006/relationships/hyperlink" Target="https://www.infoq.com/news/2022/10/openai-whisper-speech/" TargetMode="External"/><Relationship Id="rId143" Type="http://schemas.openxmlformats.org/officeDocument/2006/relationships/hyperlink" Target="https://towardsdatascience.com/how-to-deploy-and-interpret-alphafold2-with-minimal-compute-9bf75942c6d7" TargetMode="External"/><Relationship Id="rId148" Type="http://schemas.openxmlformats.org/officeDocument/2006/relationships/hyperlink" Target="https://www.cnbc.com/2023/11/05/elon-musk-debuts-grok-ai-bot-to-rival-chatgpt-others-.html" TargetMode="External"/><Relationship Id="rId164" Type="http://schemas.openxmlformats.org/officeDocument/2006/relationships/hyperlink" Target="https://x.com/reach_vb/status/1801648142963577103?ref_src=twsrc%5Etfw%7Ctwcamp%5Etweetembed%7Ctwterm%5E1801662289780822100%7Ctwgr%5Ee356aa4e988e30c7664c1990e8512ba9b1bb4980%7Ctwcon%5Es3_&amp;ref_url=https%3A%2F%2Fventurebeat.com%2Fai%2Fnvidias-nemotron-4-340b-model-redefines-synthetic-data-generation-rivals-gpt-4%2F" TargetMode="External"/><Relationship Id="rId169" Type="http://schemas.openxmlformats.org/officeDocument/2006/relationships/hyperlink" Target="https://the-decoder.com/gpt-3-5-might-be-a-strong-example-of-the-efficiency-potential-of-large-ai-models/" TargetMode="External"/><Relationship Id="rId185" Type="http://schemas.openxmlformats.org/officeDocument/2006/relationships/hyperlink" Target="https://en.wikipedia.org/wiki/GPT-2" TargetMode="External"/><Relationship Id="rId4" Type="http://schemas.openxmlformats.org/officeDocument/2006/relationships/hyperlink" Target="https://platform.openai.com/docs/models/gpt-3-5" TargetMode="External"/><Relationship Id="rId9" Type="http://schemas.openxmlformats.org/officeDocument/2006/relationships/hyperlink" Target="https://en.wikipedia.org/wiki/GPT-3" TargetMode="External"/><Relationship Id="rId180" Type="http://schemas.openxmlformats.org/officeDocument/2006/relationships/hyperlink" Target="https://chat.openai.com/" TargetMode="External"/><Relationship Id="rId210" Type="http://schemas.openxmlformats.org/officeDocument/2006/relationships/hyperlink" Target="https://www.youtube.com/watch?v=WlUFoZstcWg" TargetMode="External"/><Relationship Id="rId215" Type="http://schemas.openxmlformats.org/officeDocument/2006/relationships/hyperlink" Target="https://youtu.be/UZDiGooFs54?si=KGloKwOuX9n-CNdZ&amp;t=1013" TargetMode="External"/><Relationship Id="rId26" Type="http://schemas.openxmlformats.org/officeDocument/2006/relationships/hyperlink" Target="https://en.wikipedia.org/wiki/Anthropic" TargetMode="External"/><Relationship Id="rId47" Type="http://schemas.openxmlformats.org/officeDocument/2006/relationships/hyperlink" Target="https://golden.com/wiki/Perplexity_AI-X9D5GWB" TargetMode="External"/><Relationship Id="rId68" Type="http://schemas.openxmlformats.org/officeDocument/2006/relationships/hyperlink" Target="https://www.nih.gov/news-events/nih-research-matters/expanded-map-human-brain" TargetMode="External"/><Relationship Id="rId89" Type="http://schemas.openxmlformats.org/officeDocument/2006/relationships/hyperlink" Target="https://en.wikipedia.org/wiki/List_of_animals_by_number_of_neurons" TargetMode="External"/><Relationship Id="rId112" Type="http://schemas.openxmlformats.org/officeDocument/2006/relationships/hyperlink" Target="https://sites.research.google/usm/" TargetMode="External"/><Relationship Id="rId133" Type="http://schemas.openxmlformats.org/officeDocument/2006/relationships/hyperlink" Target="https://arxiv.org/pdf/2008.10080.pdf" TargetMode="External"/><Relationship Id="rId154" Type="http://schemas.openxmlformats.org/officeDocument/2006/relationships/hyperlink" Target="https://youtu.be/8VXlseU6iYM?si=TWC337MHXjd5zyXE&amp;t=1293" TargetMode="External"/><Relationship Id="rId175" Type="http://schemas.openxmlformats.org/officeDocument/2006/relationships/hyperlink" Target="https://youtu.be/1WOjjgyZPj8?si=f4KA-OE7e2eDaO-h&amp;t=4442" TargetMode="External"/><Relationship Id="rId196" Type="http://schemas.openxmlformats.org/officeDocument/2006/relationships/hyperlink" Target="https://www.youtube.com/watch?v=Y6Sgp7y178k&amp;t=177s" TargetMode="External"/><Relationship Id="rId200" Type="http://schemas.openxmlformats.org/officeDocument/2006/relationships/hyperlink" Target="https://youtu.be/0AgAcarLnU4?si=g77Hs0Y7EijhY_EJ&amp;t=277" TargetMode="External"/><Relationship Id="rId16" Type="http://schemas.openxmlformats.org/officeDocument/2006/relationships/hyperlink" Target="https://bard.google.com/" TargetMode="External"/><Relationship Id="rId37" Type="http://schemas.openxmlformats.org/officeDocument/2006/relationships/hyperlink" Target="https://en.wikipedia.org/wiki/DALL-E" TargetMode="External"/><Relationship Id="rId58" Type="http://schemas.openxmlformats.org/officeDocument/2006/relationships/hyperlink" Target="https://www.worldometers.info/world-population/" TargetMode="External"/><Relationship Id="rId79" Type="http://schemas.openxmlformats.org/officeDocument/2006/relationships/hyperlink" Target="https://en.wikipedia.org/wiki/List_of_animals_by_number_of_neurons" TargetMode="External"/><Relationship Id="rId102" Type="http://schemas.openxmlformats.org/officeDocument/2006/relationships/hyperlink" Target="https://en.wikipedia.org/wiki/PaLM" TargetMode="External"/><Relationship Id="rId123" Type="http://schemas.openxmlformats.org/officeDocument/2006/relationships/hyperlink" Target="https://www.infoq.com/news/2022/10/openai-whisper-speech/" TargetMode="External"/><Relationship Id="rId144" Type="http://schemas.openxmlformats.org/officeDocument/2006/relationships/hyperlink" Target="https://github.com/google-deepmind/alphafold" TargetMode="External"/><Relationship Id="rId90" Type="http://schemas.openxmlformats.org/officeDocument/2006/relationships/hyperlink" Target="https://www.worldometers.info/world-population/" TargetMode="External"/><Relationship Id="rId165" Type="http://schemas.openxmlformats.org/officeDocument/2006/relationships/hyperlink" Target="https://about.ideogram.ai/1.0" TargetMode="External"/><Relationship Id="rId186" Type="http://schemas.openxmlformats.org/officeDocument/2006/relationships/hyperlink" Target="https://en.wikipedia.org/wiki/GPT-1" TargetMode="External"/><Relationship Id="rId211" Type="http://schemas.openxmlformats.org/officeDocument/2006/relationships/hyperlink" Target="https://youtu.be/0SRVJaOg9Co?si=88KsVKansUH8rnLH" TargetMode="External"/><Relationship Id="rId27" Type="http://schemas.openxmlformats.org/officeDocument/2006/relationships/hyperlink" Target="https://en.wikipedia.org/wiki/Anthropic" TargetMode="External"/><Relationship Id="rId48" Type="http://schemas.openxmlformats.org/officeDocument/2006/relationships/hyperlink" Target="https://golden.com/wiki/Perplexity_AI-X9D5GWB" TargetMode="External"/><Relationship Id="rId69" Type="http://schemas.openxmlformats.org/officeDocument/2006/relationships/hyperlink" Target="https://www.nih.gov/news-events/nih-research-matters/expanded-map-human-brain" TargetMode="External"/><Relationship Id="rId113" Type="http://schemas.openxmlformats.org/officeDocument/2006/relationships/hyperlink" Target="https://sites.research.google/usm/" TargetMode="External"/><Relationship Id="rId134" Type="http://schemas.openxmlformats.org/officeDocument/2006/relationships/hyperlink" Target="https://youtu.be/1WOjjgyZPj8?si=f4KA-OE7e2eDaO-h&amp;t=4442" TargetMode="External"/><Relationship Id="rId80" Type="http://schemas.openxmlformats.org/officeDocument/2006/relationships/hyperlink" Target="https://en.wikipedia.org/wiki/LLaMA" TargetMode="External"/><Relationship Id="rId155" Type="http://schemas.openxmlformats.org/officeDocument/2006/relationships/hyperlink" Target="https://youtu.be/FHhrN-GXrF8?si=SLSweYe6vRFKpDos&amp;t=112" TargetMode="External"/><Relationship Id="rId176" Type="http://schemas.openxmlformats.org/officeDocument/2006/relationships/hyperlink" Target="https://youtu.be/1WOjjgyZPj8?si=f4KA-OE7e2eDaO-h&amp;t=4442" TargetMode="External"/><Relationship Id="rId197" Type="http://schemas.openxmlformats.org/officeDocument/2006/relationships/hyperlink" Target="https://www.youtube.com/watch?v=Y6Sgp7y178k&amp;t=177s" TargetMode="External"/><Relationship Id="rId201" Type="http://schemas.openxmlformats.org/officeDocument/2006/relationships/hyperlink" Target="https://youtu.be/mofEOSUkMpA?si=lKc-pY35MElxuapW&amp;t=868" TargetMode="External"/><Relationship Id="rId17" Type="http://schemas.openxmlformats.org/officeDocument/2006/relationships/hyperlink" Target="https://bard.google.com/" TargetMode="External"/><Relationship Id="rId38" Type="http://schemas.openxmlformats.org/officeDocument/2006/relationships/hyperlink" Target="https://labs.openai.com/" TargetMode="External"/><Relationship Id="rId59" Type="http://schemas.openxmlformats.org/officeDocument/2006/relationships/hyperlink" Target="https://elifesciences.org/articles/10778" TargetMode="External"/><Relationship Id="rId103" Type="http://schemas.openxmlformats.org/officeDocument/2006/relationships/hyperlink" Target="https://en.wikipedia.org/wiki/PaLM" TargetMode="External"/><Relationship Id="rId124" Type="http://schemas.openxmlformats.org/officeDocument/2006/relationships/hyperlink" Target="https://the-decoder.com/stable-diffusion-xl-an-image-model-at-midjourneys-level/" TargetMode="External"/><Relationship Id="rId70" Type="http://schemas.openxmlformats.org/officeDocument/2006/relationships/hyperlink" Target="https://aws.amazon.com/about-aws/whats-new/2023/08/claude-2-foundation-model-anthropic-amazon-bedrock/" TargetMode="External"/><Relationship Id="rId91" Type="http://schemas.openxmlformats.org/officeDocument/2006/relationships/hyperlink" Target="https://www.nih.gov/news-events/nih-research-matters/expanded-map-human-brain" TargetMode="External"/><Relationship Id="rId145" Type="http://schemas.openxmlformats.org/officeDocument/2006/relationships/hyperlink" Target="https://www.blopig.com/blog/2021/07/alphafold-2-is-here-whats-behind-the-structure-prediction-miracle/" TargetMode="External"/><Relationship Id="rId166" Type="http://schemas.openxmlformats.org/officeDocument/2006/relationships/hyperlink" Target="https://www.fahimai.com/ideogram-ai%20(source%20say%20it%20is%20based%20on%20stability%20XL,%20likely%20a%20finetuned%20version%20of%20it)" TargetMode="External"/><Relationship Id="rId187" Type="http://schemas.openxmlformats.org/officeDocument/2006/relationships/hyperlink" Target="https://en.wikipedia.org/wiki/GPT-2" TargetMode="External"/><Relationship Id="rId1" Type="http://schemas.openxmlformats.org/officeDocument/2006/relationships/hyperlink" Target="https://chat.openai.com/" TargetMode="External"/><Relationship Id="rId212" Type="http://schemas.openxmlformats.org/officeDocument/2006/relationships/hyperlink" Target="https://news.fsu.edu/news/science-technology/2017/08/09/fruit-fly-mutation-foretells-40-million-years-evolution/" TargetMode="External"/><Relationship Id="rId28" Type="http://schemas.openxmlformats.org/officeDocument/2006/relationships/hyperlink" Target="https://claude.ai/login" TargetMode="External"/><Relationship Id="rId49" Type="http://schemas.openxmlformats.org/officeDocument/2006/relationships/hyperlink" Target="https://www.omnicalculator.com/other/video-size" TargetMode="External"/><Relationship Id="rId114" Type="http://schemas.openxmlformats.org/officeDocument/2006/relationships/hyperlink" Target="https://waxy.org/2022/08/exploring-12-million-of-the-images-used-to-train-stable-diffusions-image-generator/" TargetMode="External"/><Relationship Id="rId60" Type="http://schemas.openxmlformats.org/officeDocument/2006/relationships/hyperlink" Target="https://convertlive.com/u/convert/bits/to/bytes" TargetMode="External"/><Relationship Id="rId81" Type="http://schemas.openxmlformats.org/officeDocument/2006/relationships/hyperlink" Target="https://en.wikipedia.org/wiki/LLaMA" TargetMode="External"/><Relationship Id="rId135" Type="http://schemas.openxmlformats.org/officeDocument/2006/relationships/hyperlink" Target="https://github.com/jonathan-laurent/AlphaZero.jl/blob/373852801dbf81f5fef0ed7feba69e82aecf0d6d/src/params.jl" TargetMode="External"/><Relationship Id="rId156" Type="http://schemas.openxmlformats.org/officeDocument/2006/relationships/hyperlink" Target="https://youtu.be/FHhrN-GXrF8?si=SLSweYe6vRFKpDos&amp;t=112" TargetMode="External"/><Relationship Id="rId177" Type="http://schemas.openxmlformats.org/officeDocument/2006/relationships/hyperlink" Target="https://youtu.be/1WOjjgyZPj8?si=f4KA-OE7e2eDaO-h&amp;t=4442" TargetMode="External"/><Relationship Id="rId198" Type="http://schemas.openxmlformats.org/officeDocument/2006/relationships/hyperlink" Target="https://www.worldwildlife.org/magazine/issues/winter-2018/articles/the-status-of-african-elephants" TargetMode="External"/><Relationship Id="rId202" Type="http://schemas.openxmlformats.org/officeDocument/2006/relationships/hyperlink" Target="https://youtu.be/Ha0KrXzI4SM?si=rR5nTkbFr0o7GKmz&amp;t=30" TargetMode="External"/><Relationship Id="rId18" Type="http://schemas.openxmlformats.org/officeDocument/2006/relationships/hyperlink" Target="https://the-decoder.com/gpt-4-architecture-datasets-costs-and-more-leaked/" TargetMode="External"/><Relationship Id="rId39" Type="http://schemas.openxmlformats.org/officeDocument/2006/relationships/hyperlink" Target="https://labs.openai.com/" TargetMode="External"/><Relationship Id="rId50" Type="http://schemas.openxmlformats.org/officeDocument/2006/relationships/hyperlink" Target="https://en.wikipedia.org/wiki/Human_evolution" TargetMode="External"/><Relationship Id="rId104" Type="http://schemas.openxmlformats.org/officeDocument/2006/relationships/hyperlink" Target="https://en.wikipedia.org/wiki/PaLM" TargetMode="External"/><Relationship Id="rId125" Type="http://schemas.openxmlformats.org/officeDocument/2006/relationships/hyperlink" Target="https://the-decoder.com/stable-diffusion-xl-an-image-model-at-midjourneys-level/" TargetMode="External"/><Relationship Id="rId146" Type="http://schemas.openxmlformats.org/officeDocument/2006/relationships/hyperlink" Target="https://en.wikipedia.org/wiki/AlphaFold" TargetMode="External"/><Relationship Id="rId167" Type="http://schemas.openxmlformats.org/officeDocument/2006/relationships/hyperlink" Target="https://waxy.org/2022/08/exploring-12-million-of-the-images-used-to-train-stable-diffusions-image-generator/" TargetMode="External"/><Relationship Id="rId188" Type="http://schemas.openxmlformats.org/officeDocument/2006/relationships/hyperlink" Target="https://en.wikipedia.org/wiki/GPT-2" TargetMode="External"/><Relationship Id="rId71" Type="http://schemas.openxmlformats.org/officeDocument/2006/relationships/hyperlink" Target="https://ai.meta.com/blog/large-language-model-llama-meta-ai/" TargetMode="External"/><Relationship Id="rId92" Type="http://schemas.openxmlformats.org/officeDocument/2006/relationships/hyperlink" Target="https://www.dell.com/en-us/shop/workstations-isv-certified/precision-7920-tower-workstation/spd/precision-7920-workstation/xctopt7920us_4?configurationid=3eb87352-f557-4fff-abfe-5a9a62aa8b6a" TargetMode="External"/><Relationship Id="rId213" Type="http://schemas.openxmlformats.org/officeDocument/2006/relationships/hyperlink" Target="https://youtu.be/0AgAcarLnU4?si=g77Hs0Y7EijhY_EJ&amp;t=277" TargetMode="External"/><Relationship Id="rId2" Type="http://schemas.openxmlformats.org/officeDocument/2006/relationships/hyperlink" Target="https://www.digitaltrends.com/computing/gpt-4-vs-gpt-35/" TargetMode="External"/><Relationship Id="rId29" Type="http://schemas.openxmlformats.org/officeDocument/2006/relationships/hyperlink" Target="https://en.wikipedia.org/wiki/Bard_(chatbot)" TargetMode="External"/><Relationship Id="rId40" Type="http://schemas.openxmlformats.org/officeDocument/2006/relationships/hyperlink" Target="https://en.wikipedia.org/wiki/DALL-E" TargetMode="External"/><Relationship Id="rId115" Type="http://schemas.openxmlformats.org/officeDocument/2006/relationships/hyperlink" Target="https://waxy.org/2022/08/exploring-12-million-of-the-images-used-to-train-stable-diffusions-image-generator/" TargetMode="External"/><Relationship Id="rId136" Type="http://schemas.openxmlformats.org/officeDocument/2006/relationships/hyperlink" Target="https://en.wikipedia.org/wiki/AlphaZero" TargetMode="External"/><Relationship Id="rId157" Type="http://schemas.openxmlformats.org/officeDocument/2006/relationships/hyperlink" Target="https://www.frontiersin.org/journals/neuroinformatics/articles/10.3389/fninf.2018.00084/full" TargetMode="External"/><Relationship Id="rId178" Type="http://schemas.openxmlformats.org/officeDocument/2006/relationships/hyperlink" Target="https://en.wikipedia.org/wiki/GPT-3" TargetMode="External"/><Relationship Id="rId61" Type="http://schemas.openxmlformats.org/officeDocument/2006/relationships/hyperlink" Target="https://en.wikipedia.org/wiki/Neuron" TargetMode="External"/><Relationship Id="rId82" Type="http://schemas.openxmlformats.org/officeDocument/2006/relationships/hyperlink" Target="https://en.wikipedia.org/wiki/LLaMA" TargetMode="External"/><Relationship Id="rId199" Type="http://schemas.openxmlformats.org/officeDocument/2006/relationships/hyperlink" Target="https://x.com/DrJimFan/status/1681372700881854465?ref_src=twsrc%5Etfw%7Ctwcamp%5Etweetembed%7Ctwterm%5E1681372700881854465%7Ctwgr%5E7249d5e9a5faa88242ea45b35b2543bea19bc1ba%7Ctwcon%5Es1_&amp;ref_url=https%3A%2F%2Fwww.searchenginejournal.com%2Fmeta-and-microsoft-release-llama-2-free-commercial-use-research%2F491963%2F" TargetMode="External"/><Relationship Id="rId203" Type="http://schemas.openxmlformats.org/officeDocument/2006/relationships/hyperlink" Target="https://x.com/HMexperienceDK/status/1847992543545331734" TargetMode="External"/><Relationship Id="rId19" Type="http://schemas.openxmlformats.org/officeDocument/2006/relationships/hyperlink" Target="https://ai.meta.com/llama/"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youtu.be/KrRD7r7y7NY?si=7wpi0fGu5UQYDxgi&amp;t=545" TargetMode="External"/><Relationship Id="rId2" Type="http://schemas.openxmlformats.org/officeDocument/2006/relationships/hyperlink" Target="https://youtu.be/DP454c1K_vQ?si=cWdMK1lWE9vSvSuA" TargetMode="External"/><Relationship Id="rId1" Type="http://schemas.openxmlformats.org/officeDocument/2006/relationships/hyperlink" Target="https://www.theverge.com/2024/7/11/24196746/heres-how-openai-will-determine-how-powerful-its-ai-systems-ar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bloomberg.com/news/articles/2024-07-11/openai-sets-levels-to-track-progress-toward-superintelligent-ai"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en.wikipedia.org/wiki/Human_brain" TargetMode="External"/><Relationship Id="rId21" Type="http://schemas.openxmlformats.org/officeDocument/2006/relationships/hyperlink" Target="https://resources.nvidia.com/en-us-tensor-core/nvidia-tensor-core-gpu-datasheet" TargetMode="External"/><Relationship Id="rId42" Type="http://schemas.openxmlformats.org/officeDocument/2006/relationships/hyperlink" Target="https://www.cpu-monkey.com/en/cpu-apple_m2_ultra_60_gpu" TargetMode="External"/><Relationship Id="rId63" Type="http://schemas.openxmlformats.org/officeDocument/2006/relationships/hyperlink" Target="https://www.notebookcheck.net/NVIDIA-GeForce-RTX-4070-Laptop-GPU-Benchmarks-and-Specs.675690.0.html" TargetMode="External"/><Relationship Id="rId84" Type="http://schemas.openxmlformats.org/officeDocument/2006/relationships/hyperlink" Target="https://www.businesswire.com/news/home/20220927006137/en/Kioxia-Develops-Industry%E2%80%99s-First-2TB-microSDXC-Memory-Card-Working-Prototypes" TargetMode="External"/><Relationship Id="rId138" Type="http://schemas.openxmlformats.org/officeDocument/2006/relationships/hyperlink" Target="https://f.hubspotusercontent30.net/hubfs/8968533/WSE-2%20Datasheet.pdf" TargetMode="External"/><Relationship Id="rId159" Type="http://schemas.openxmlformats.org/officeDocument/2006/relationships/hyperlink" Target="https://cloud.google.com/tpu/docs/v5e-training" TargetMode="External"/><Relationship Id="rId170" Type="http://schemas.openxmlformats.org/officeDocument/2006/relationships/hyperlink" Target="https://youtu.be/YZzROmj5Ols?si=BajlxtFnBcGDwmLY&amp;t=403" TargetMode="External"/><Relationship Id="rId191" Type="http://schemas.openxmlformats.org/officeDocument/2006/relationships/hyperlink" Target="https://www.tomshardware.com/news/intel-habana-gaudi2-outperforms-nvidia-a100" TargetMode="External"/><Relationship Id="rId205" Type="http://schemas.openxmlformats.org/officeDocument/2006/relationships/hyperlink" Target="https://appleinsider.com/articles/23/04/26/tsmc-struggling-with-early-yields-of-a17-and-m3-processors" TargetMode="External"/><Relationship Id="rId226" Type="http://schemas.openxmlformats.org/officeDocument/2006/relationships/hyperlink" Target="https://www.theregister.com/2024/02/14/german_gh200_workstation/" TargetMode="External"/><Relationship Id="rId107" Type="http://schemas.openxmlformats.org/officeDocument/2006/relationships/hyperlink" Target="https://resources.nvidia.com/en-us-grace-cpu/grace-hopper-superchip" TargetMode="External"/><Relationship Id="rId11" Type="http://schemas.openxmlformats.org/officeDocument/2006/relationships/hyperlink" Target="https://en.wikipedia.org/wiki/Apple_silicon" TargetMode="External"/><Relationship Id="rId32" Type="http://schemas.openxmlformats.org/officeDocument/2006/relationships/hyperlink" Target="https://cleantechnica.com/2019/06/15/teslas-new-hw3-self-driving-computer-its-a-beast-cleantechnica-deep-dive/" TargetMode="External"/><Relationship Id="rId53" Type="http://schemas.openxmlformats.org/officeDocument/2006/relationships/hyperlink" Target="https://nvidianews.nvidia.com/news/nvidia-unveils-drive-thor-centralized-car-computer-unifying-cluster-infotainment-automated-driving-and-parking-in-a-single-cost-saving-system" TargetMode="External"/><Relationship Id="rId74" Type="http://schemas.openxmlformats.org/officeDocument/2006/relationships/hyperlink" Target="https://www.tomshardware.com/news/new-amd-instinct-mi300-details-emerge-debuts-in-2-exaflop-el-capitan-supercomputer" TargetMode="External"/><Relationship Id="rId128" Type="http://schemas.openxmlformats.org/officeDocument/2006/relationships/hyperlink" Target="https://resources.nvidia.com/en-us-grace-cpu/grace-hopper-superchip" TargetMode="External"/><Relationship Id="rId149" Type="http://schemas.openxmlformats.org/officeDocument/2006/relationships/hyperlink" Target="https://en.wikipedia.org/wiki/Volta_%28microarchitecture%29" TargetMode="External"/><Relationship Id="rId5" Type="http://schemas.openxmlformats.org/officeDocument/2006/relationships/hyperlink" Target="https://www.cpu-monkey.com/en/cpu-apple_a15_bionic_5_gpu" TargetMode="External"/><Relationship Id="rId95" Type="http://schemas.openxmlformats.org/officeDocument/2006/relationships/hyperlink" Target="https://www.howtogeek.com/853529/hardware-for-stable-diffusion/" TargetMode="External"/><Relationship Id="rId160" Type="http://schemas.openxmlformats.org/officeDocument/2006/relationships/hyperlink" Target="https://d1.awsstatic.com/events/Summits/reinvent2022/CMP313_Accelerate-deep-learning-and-innovate-faster-with-AWS-Trainium.pdf" TargetMode="External"/><Relationship Id="rId181" Type="http://schemas.openxmlformats.org/officeDocument/2006/relationships/hyperlink" Target="https://youtu.be/YZzROmj5Ols?si=AG9ysgWslgkKVNfM&amp;t=239" TargetMode="External"/><Relationship Id="rId216" Type="http://schemas.openxmlformats.org/officeDocument/2006/relationships/hyperlink" Target="https://www.tomshardware.com/pc-components/gpus/explosive-hbm-demand-fueling-an-expected-20-increase-in-ddr5-memory-pricing-demand-for-ai-gpus-drives-production-cuts-for-standard-pc-memory" TargetMode="External"/><Relationship Id="rId237" Type="http://schemas.openxmlformats.org/officeDocument/2006/relationships/printerSettings" Target="../printerSettings/printerSettings2.bin"/><Relationship Id="rId22" Type="http://schemas.openxmlformats.org/officeDocument/2006/relationships/hyperlink" Target="https://resources.nvidia.com/en-us-tensor-core/nvidia-tensor-core-gpu-datasheet" TargetMode="External"/><Relationship Id="rId43" Type="http://schemas.openxmlformats.org/officeDocument/2006/relationships/hyperlink" Target="https://en.wikipedia.org/wiki/Apple_M2" TargetMode="External"/><Relationship Id="rId64" Type="http://schemas.openxmlformats.org/officeDocument/2006/relationships/hyperlink" Target="https://www.notebookcheck.net/NVIDIA-GeForce-RTX-4070-Laptop-GPU-Benchmarks-and-Specs.675690.0.html" TargetMode="External"/><Relationship Id="rId118" Type="http://schemas.openxmlformats.org/officeDocument/2006/relationships/hyperlink" Target="https://www.kryptex.com/en/hardware/nvidia-a100" TargetMode="External"/><Relationship Id="rId139" Type="http://schemas.openxmlformats.org/officeDocument/2006/relationships/hyperlink" Target="https://f.hubspotusercontent30.net/hubfs/8968533/WSE-2%20Datasheet.pdf" TargetMode="External"/><Relationship Id="rId85" Type="http://schemas.openxmlformats.org/officeDocument/2006/relationships/hyperlink" Target="https://resources.nvidia.com/en-us-tensor-core/nvidia-tensor-core-gpu-datasheet" TargetMode="External"/><Relationship Id="rId150" Type="http://schemas.openxmlformats.org/officeDocument/2006/relationships/hyperlink" Target="https://en.wikipedia.org/wiki/Volta_%28microarchitecture%29" TargetMode="External"/><Relationship Id="rId171" Type="http://schemas.openxmlformats.org/officeDocument/2006/relationships/hyperlink" Target="https://cloud.google.com/tpu/docs/system-architecture-tpu-vm" TargetMode="External"/><Relationship Id="rId192" Type="http://schemas.openxmlformats.org/officeDocument/2006/relationships/hyperlink" Target="https://www.tomshardware.com/news/intel-habana-gaudi2-outperforms-nvidia-a100" TargetMode="External"/><Relationship Id="rId206" Type="http://schemas.openxmlformats.org/officeDocument/2006/relationships/hyperlink" Target="https://www.cpu-monkey.com/en/cpu-apple_a17_pro" TargetMode="External"/><Relationship Id="rId227" Type="http://schemas.openxmlformats.org/officeDocument/2006/relationships/hyperlink" Target="https://www.amazon.com/KingSpec-Gen4x4-Speed-Internal-PCIe4-0/dp/B0C58GTGPM?th=1" TargetMode="External"/><Relationship Id="rId12" Type="http://schemas.openxmlformats.org/officeDocument/2006/relationships/hyperlink" Target="https://en.wikipedia.org/wiki/Apple_silicon" TargetMode="External"/><Relationship Id="rId33" Type="http://schemas.openxmlformats.org/officeDocument/2006/relationships/hyperlink" Target="https://www.youtube.com/watch?v=3ZoP1GCNwYE&amp;t=318" TargetMode="External"/><Relationship Id="rId108" Type="http://schemas.openxmlformats.org/officeDocument/2006/relationships/hyperlink" Target="https://resources.nvidia.com/en-us-grace-cpu/grace-hopper-superchip" TargetMode="External"/><Relationship Id="rId129" Type="http://schemas.openxmlformats.org/officeDocument/2006/relationships/hyperlink" Target="https://en.wikichip.org/wiki/tesla_(car_company)/fsd_chip" TargetMode="External"/><Relationship Id="rId54" Type="http://schemas.openxmlformats.org/officeDocument/2006/relationships/hyperlink" Target="https://resources.nvidia.com/en-us-grace-cpu/grace-hopper-superchip" TargetMode="External"/><Relationship Id="rId75" Type="http://schemas.openxmlformats.org/officeDocument/2006/relationships/hyperlink" Target="https://www.techpowerup.com/gpu-specs/radeon-instinct-mi300.c4019" TargetMode="External"/><Relationship Id="rId96" Type="http://schemas.openxmlformats.org/officeDocument/2006/relationships/hyperlink" Target="https://en.wikipedia.org/wiki/Stable_Diffusion" TargetMode="External"/><Relationship Id="rId140" Type="http://schemas.openxmlformats.org/officeDocument/2006/relationships/hyperlink" Target="https://f.hubspotusercontent30.net/hubfs/8968533/WSE-2%20Datasheet.pdf" TargetMode="External"/><Relationship Id="rId161" Type="http://schemas.openxmlformats.org/officeDocument/2006/relationships/hyperlink" Target="https://youtu.be/YZzROmj5Ols?si=np6xBwjEw18EvhZ7&amp;t=402" TargetMode="External"/><Relationship Id="rId182" Type="http://schemas.openxmlformats.org/officeDocument/2006/relationships/hyperlink" Target="https://youtu.be/YZzROmj5Ols?si=AG9ysgWslgkKVNfM&amp;t=239" TargetMode="External"/><Relationship Id="rId217" Type="http://schemas.openxmlformats.org/officeDocument/2006/relationships/hyperlink" Target="https://nvidianews.nvidia.com/news/nvidia-unveils-drive-thor-centralized-car-computer-unifying-cluster-infotainment-automated-driving-and-parking-in-a-single-cost-saving-system" TargetMode="External"/><Relationship Id="rId6" Type="http://schemas.openxmlformats.org/officeDocument/2006/relationships/hyperlink" Target="https://en.wikipedia.org/wiki/Apple_silicon" TargetMode="External"/><Relationship Id="rId23" Type="http://schemas.openxmlformats.org/officeDocument/2006/relationships/hyperlink" Target="https://resources.nvidia.com/en-us-tensor-core/nvidia-tensor-core-gpu-datasheet" TargetMode="External"/><Relationship Id="rId119" Type="http://schemas.openxmlformats.org/officeDocument/2006/relationships/hyperlink" Target="https://en.wikipedia.org/wiki/Large_language_model" TargetMode="External"/><Relationship Id="rId44" Type="http://schemas.openxmlformats.org/officeDocument/2006/relationships/hyperlink" Target="https://www.cpu-monkey.com/en/cpu-apple_m2_ultra_60_gpu" TargetMode="External"/><Relationship Id="rId65" Type="http://schemas.openxmlformats.org/officeDocument/2006/relationships/hyperlink" Target="https://www.notebookcheck.net/NVIDIA-GeForce-RTX-4070-Laptop-GPU-Benchmarks-and-Specs.675690.0.html" TargetMode="External"/><Relationship Id="rId86" Type="http://schemas.openxmlformats.org/officeDocument/2006/relationships/hyperlink" Target="https://resources.nvidia.com/en-us-grace-cpu/grace-hopper-superchip" TargetMode="External"/><Relationship Id="rId130" Type="http://schemas.openxmlformats.org/officeDocument/2006/relationships/hyperlink" Target="https://www.nvidia.com/content/dam/en-zz/Solutions/gtcf21/jetson-orin/nvidia-jetson-agx-orin-technical-brief.pdf" TargetMode="External"/><Relationship Id="rId151" Type="http://schemas.openxmlformats.org/officeDocument/2006/relationships/hyperlink" Target="https://images.nvidia.com/content/technologies/volta/pdf/volta-v100-datasheet-update-us-1165301-r5.pdf" TargetMode="External"/><Relationship Id="rId172" Type="http://schemas.openxmlformats.org/officeDocument/2006/relationships/hyperlink" Target="https://gwern.net/doc/ai/scaling/hardware/2021-jouppi.pdf" TargetMode="External"/><Relationship Id="rId193" Type="http://schemas.openxmlformats.org/officeDocument/2006/relationships/hyperlink" Target="https://awsdocs-neuron.readthedocs-hosted.com/en/latest/general/arch/neuron-hardware/trainium.html" TargetMode="External"/><Relationship Id="rId207" Type="http://schemas.openxmlformats.org/officeDocument/2006/relationships/hyperlink" Target="https://www.intel.com/content/www/us/en/content-details/817486/intel-gaudi-3-ai-accelerator-white-paper.html" TargetMode="External"/><Relationship Id="rId228" Type="http://schemas.openxmlformats.org/officeDocument/2006/relationships/hyperlink" Target="https://www.amazon.com/KingSpec-Gen4x4-Speed-Internal-PCIe4-0/dp/B0C58GTGPM?th=1" TargetMode="External"/><Relationship Id="rId13" Type="http://schemas.openxmlformats.org/officeDocument/2006/relationships/hyperlink" Target="https://en.wikipedia.org/wiki/Apple_silicon" TargetMode="External"/><Relationship Id="rId109" Type="http://schemas.openxmlformats.org/officeDocument/2006/relationships/hyperlink" Target="https://resources.nvidia.com/en-us-grace-cpu/grace-hopper-superchip" TargetMode="External"/><Relationship Id="rId34" Type="http://schemas.openxmlformats.org/officeDocument/2006/relationships/hyperlink" Target="https://nvidianews.nvidia.com/news/nvidia-introduces-drive-agx-orin-advanced-software-defined-platform-for-autonomous-machines" TargetMode="External"/><Relationship Id="rId55" Type="http://schemas.openxmlformats.org/officeDocument/2006/relationships/hyperlink" Target="https://resources.nvidia.com/en-us-grace-cpu/grace-hopper-superchip" TargetMode="External"/><Relationship Id="rId76" Type="http://schemas.openxmlformats.org/officeDocument/2006/relationships/hyperlink" Target="https://www.techpowerup.com/gpu-specs/geforce-rtx-4070-mobile.c3944" TargetMode="External"/><Relationship Id="rId97" Type="http://schemas.openxmlformats.org/officeDocument/2006/relationships/hyperlink" Target="https://arxiv.org/abs/2302.05442" TargetMode="External"/><Relationship Id="rId120" Type="http://schemas.openxmlformats.org/officeDocument/2006/relationships/hyperlink" Target="https://www.zdnet.com/article/apple-m2-ultra-what-makes-it-special-and-for-whom/" TargetMode="External"/><Relationship Id="rId141" Type="http://schemas.openxmlformats.org/officeDocument/2006/relationships/hyperlink" Target="https://en.wikipedia.org/wiki/Metric_prefix" TargetMode="External"/><Relationship Id="rId7" Type="http://schemas.openxmlformats.org/officeDocument/2006/relationships/hyperlink" Target="https://en.wikipedia.org/wiki/Apple_silicon" TargetMode="External"/><Relationship Id="rId162" Type="http://schemas.openxmlformats.org/officeDocument/2006/relationships/hyperlink" Target="https://youtu.be/YZzROmj5Ols?si=np6xBwjEw18EvhZ7&amp;t=402" TargetMode="External"/><Relationship Id="rId183" Type="http://schemas.openxmlformats.org/officeDocument/2006/relationships/hyperlink" Target="https://www.nextplatform.com/2023/05/18/meta-platforms-crafts-homegrown-ai-inference-chip-ai-training-next/" TargetMode="External"/><Relationship Id="rId218" Type="http://schemas.openxmlformats.org/officeDocument/2006/relationships/hyperlink" Target="https://www.tomshardware.com/news/nvidia-hopper-h100-80gb-price-revealed" TargetMode="External"/><Relationship Id="rId24" Type="http://schemas.openxmlformats.org/officeDocument/2006/relationships/hyperlink" Target="https://resources.nvidia.com/en-us-tensor-core/nvidia-tensor-core-gpu-datasheet" TargetMode="External"/><Relationship Id="rId45" Type="http://schemas.openxmlformats.org/officeDocument/2006/relationships/hyperlink" Target="https://www.techpowerup.com/gpu-specs/a100-pcie-40-gb.c3623" TargetMode="External"/><Relationship Id="rId66" Type="http://schemas.openxmlformats.org/officeDocument/2006/relationships/hyperlink" Target="https://www.dell.com/en-us/shop/workstations-isv-certified/precision-7920-tower-workstation/spd/precision-7920-workstation/xctopt7920us_4?configurationid=3eb87352-f557-4fff-abfe-5a9a62aa8b6a" TargetMode="External"/><Relationship Id="rId87" Type="http://schemas.openxmlformats.org/officeDocument/2006/relationships/hyperlink" Target="https://www.techpowerup.com/gpu-specs/a100-pcie-40-gb.c3623" TargetMode="External"/><Relationship Id="rId110" Type="http://schemas.openxmlformats.org/officeDocument/2006/relationships/hyperlink" Target="https://en.wikipedia.org/wiki/Human_brain" TargetMode="External"/><Relationship Id="rId131" Type="http://schemas.openxmlformats.org/officeDocument/2006/relationships/hyperlink" Target="https://en.wikipedia.org/wiki/DDR5_SDRAM" TargetMode="External"/><Relationship Id="rId152" Type="http://schemas.openxmlformats.org/officeDocument/2006/relationships/hyperlink" Target="https://images.nvidia.com/content/technologies/volta/pdf/volta-v100-datasheet-update-us-1165301-r5.pdf" TargetMode="External"/><Relationship Id="rId173" Type="http://schemas.openxmlformats.org/officeDocument/2006/relationships/hyperlink" Target="https://cloud.google.com/tpu/docs/system-architecture-tpu-vm" TargetMode="External"/><Relationship Id="rId194" Type="http://schemas.openxmlformats.org/officeDocument/2006/relationships/hyperlink" Target="https://awsdocs-neuron.readthedocs-hosted.com/en/latest/general/arch/neuron-hardware/trainium.html" TargetMode="External"/><Relationship Id="rId208" Type="http://schemas.openxmlformats.org/officeDocument/2006/relationships/hyperlink" Target="https://www.youtube.com/watch?v=ODSJsviD_SU&amp;t=2566s%20(2:09:55)" TargetMode="External"/><Relationship Id="rId229" Type="http://schemas.openxmlformats.org/officeDocument/2006/relationships/hyperlink" Target="https://www.amazon.com/KingSpec-Gen4x4-Speed-Internal-PCIe4-0/dp/B0C58GTGPM?th=1" TargetMode="External"/><Relationship Id="rId14" Type="http://schemas.openxmlformats.org/officeDocument/2006/relationships/hyperlink" Target="https://en.wikipedia.org/wiki/Apple_silicon" TargetMode="External"/><Relationship Id="rId35" Type="http://schemas.openxmlformats.org/officeDocument/2006/relationships/hyperlink" Target="https://en.wikichip.org/wiki/tesla_(car_company)/fsd_chip?utm_content=cmp-true" TargetMode="External"/><Relationship Id="rId56" Type="http://schemas.openxmlformats.org/officeDocument/2006/relationships/hyperlink" Target="https://www.tomshardware.com/news/nvidia-unveils-dgx-gh200-supercomputer-and-mgx-systems-grace-hopper-superchips-in-production" TargetMode="External"/><Relationship Id="rId77" Type="http://schemas.openxmlformats.org/officeDocument/2006/relationships/hyperlink" Target="https://www.techpowerup.com/gpu-specs/geforce-rtx-4070-mobile.c3944" TargetMode="External"/><Relationship Id="rId100" Type="http://schemas.openxmlformats.org/officeDocument/2006/relationships/hyperlink" Target="https://www.youtube.com/watch?v=1uIzS1uCOcE" TargetMode="External"/><Relationship Id="rId8" Type="http://schemas.openxmlformats.org/officeDocument/2006/relationships/hyperlink" Target="https://en.wikipedia.org/wiki/Apple_silicon" TargetMode="External"/><Relationship Id="rId98" Type="http://schemas.openxmlformats.org/officeDocument/2006/relationships/hyperlink" Target="https://www.nvidia.com/content/dam/en-zz/Solutions/gtcf21/jetson-orin/nvidia-jetson-agx-orin-technical-brief.pdf" TargetMode="External"/><Relationship Id="rId121" Type="http://schemas.openxmlformats.org/officeDocument/2006/relationships/hyperlink" Target="https://www.zdnet.com/article/apple-m2-ultra-what-makes-it-special-and-for-whom/" TargetMode="External"/><Relationship Id="rId142" Type="http://schemas.openxmlformats.org/officeDocument/2006/relationships/hyperlink" Target="https://youtu.be/Y6Sgp7y178k?t=177" TargetMode="External"/><Relationship Id="rId163" Type="http://schemas.openxmlformats.org/officeDocument/2006/relationships/hyperlink" Target="https://youtu.be/YZzROmj5Ols?si=BajlxtFnBcGDwmLY&amp;t=403" TargetMode="External"/><Relationship Id="rId184" Type="http://schemas.openxmlformats.org/officeDocument/2006/relationships/hyperlink" Target="https://www.nextplatform.com/2023/05/18/meta-platforms-crafts-homegrown-ai-inference-chip-ai-training-next/" TargetMode="External"/><Relationship Id="rId219" Type="http://schemas.openxmlformats.org/officeDocument/2006/relationships/hyperlink" Target="https://www.tomshardware.com/news/nvidia-hopper-h100-80gb-price-revealed" TargetMode="External"/><Relationship Id="rId230" Type="http://schemas.openxmlformats.org/officeDocument/2006/relationships/hyperlink" Target="https://en.wikichip.org/wiki/mobileye/eyeq/eyeq5" TargetMode="External"/><Relationship Id="rId25" Type="http://schemas.openxmlformats.org/officeDocument/2006/relationships/hyperlink" Target="https://developer.nvidia.com/blog/nvidia-hopper-architecture-in-depth/" TargetMode="External"/><Relationship Id="rId46" Type="http://schemas.openxmlformats.org/officeDocument/2006/relationships/hyperlink" Target="https://www.techpowerup.com/gpu-specs/a100-pcie-40-gb.c3623" TargetMode="External"/><Relationship Id="rId67" Type="http://schemas.openxmlformats.org/officeDocument/2006/relationships/hyperlink" Target="https://f.hubspotusercontent30.net/hubfs/8968533/CS-2%20Data%20Sheet.pdf" TargetMode="External"/><Relationship Id="rId88" Type="http://schemas.openxmlformats.org/officeDocument/2006/relationships/hyperlink" Target="https://www.cpu-monkey.com/en/cpu-apple_a15_bionic_5_gpu" TargetMode="External"/><Relationship Id="rId111" Type="http://schemas.openxmlformats.org/officeDocument/2006/relationships/hyperlink" Target="https://hypertextbook.com/facts/2001/JacquelineLing.shtml" TargetMode="External"/><Relationship Id="rId132" Type="http://schemas.openxmlformats.org/officeDocument/2006/relationships/hyperlink" Target="https://www.notebookcheck.net/NVIDIA-GeForce-RTX-4070-Laptop-GPU-Benchmarks-and-Specs.675690.0.html" TargetMode="External"/><Relationship Id="rId153" Type="http://schemas.openxmlformats.org/officeDocument/2006/relationships/hyperlink" Target="https://www.tomshardware.com/news/amd-expands-mi300-with-gpu-only-model-eight-gpu-platform-with-15tb-of-hbm3" TargetMode="External"/><Relationship Id="rId174" Type="http://schemas.openxmlformats.org/officeDocument/2006/relationships/hyperlink" Target="https://gwern.net/doc/ai/scaling/hardware/2021-jouppi.pdf" TargetMode="External"/><Relationship Id="rId195" Type="http://schemas.openxmlformats.org/officeDocument/2006/relationships/hyperlink" Target="https://awsdocs-neuron.readthedocs-hosted.com/en/latest/general/arch/neuron-hardware/trainium.html" TargetMode="External"/><Relationship Id="rId209" Type="http://schemas.openxmlformats.org/officeDocument/2006/relationships/hyperlink" Target="https://www.youtube.com/live/remZ1KMR_Z4?si=0MEFUZiNG85Inuls&amp;t=4879" TargetMode="External"/><Relationship Id="rId190" Type="http://schemas.openxmlformats.org/officeDocument/2006/relationships/hyperlink" Target="https://www.tomshardware.com/news/intel-habana-gaudi2-outperforms-nvidia-a100" TargetMode="External"/><Relationship Id="rId204" Type="http://schemas.openxmlformats.org/officeDocument/2006/relationships/hyperlink" Target="https://appleinsider.com/articles/23/04/26/tsmc-struggling-with-early-yields-of-a17-and-m3-processors" TargetMode="External"/><Relationship Id="rId220" Type="http://schemas.openxmlformats.org/officeDocument/2006/relationships/hyperlink" Target="https://www.tomshardware.com/pc-components/gpus/nvidias-next-gen-blackwell-ai-gpus-to-cost-up-to-dollar70000-fully-equipped-servers-range-up-to-dollar3000000-report" TargetMode="External"/><Relationship Id="rId225" Type="http://schemas.openxmlformats.org/officeDocument/2006/relationships/hyperlink" Target="https://www.tomshardware.com/pc-components/gpus/nvidias-next-gen-blackwell-ai-gpus-to-cost-up-to-dollar70000-fully-equipped-servers-range-up-to-dollar3000000-report" TargetMode="External"/><Relationship Id="rId15" Type="http://schemas.openxmlformats.org/officeDocument/2006/relationships/hyperlink" Target="https://en.wikipedia.org/wiki/Apple_silicon" TargetMode="External"/><Relationship Id="rId36" Type="http://schemas.openxmlformats.org/officeDocument/2006/relationships/hyperlink" Target="https://www.youtube.com/watch?v=3ZoP1GCNwYE&amp;t=590s" TargetMode="External"/><Relationship Id="rId57" Type="http://schemas.openxmlformats.org/officeDocument/2006/relationships/hyperlink" Target="https://www.hardware-corner.net/guides/computer-to-run-llama-ai-model/" TargetMode="External"/><Relationship Id="rId106" Type="http://schemas.openxmlformats.org/officeDocument/2006/relationships/hyperlink" Target="https://en.wikipedia.org/wiki/Human_evolution" TargetMode="External"/><Relationship Id="rId127" Type="http://schemas.openxmlformats.org/officeDocument/2006/relationships/hyperlink" Target="https://resources.nvidia.com/en-us-tensor-core/nvidia-tensor-core-gpu-datasheet" TargetMode="External"/><Relationship Id="rId10" Type="http://schemas.openxmlformats.org/officeDocument/2006/relationships/hyperlink" Target="https://en.wikipedia.org/wiki/Apple_silicon" TargetMode="External"/><Relationship Id="rId31" Type="http://schemas.openxmlformats.org/officeDocument/2006/relationships/hyperlink" Target="https://electrek.co/2019/11/10/tesla-update-forks-features-for-model-3s-built-pre-post-april-2019/" TargetMode="External"/><Relationship Id="rId52" Type="http://schemas.openxmlformats.org/officeDocument/2006/relationships/hyperlink" Target="https://blogs.nvidia.com/blog/2022/09/20/drive-thor/" TargetMode="External"/><Relationship Id="rId73" Type="http://schemas.openxmlformats.org/officeDocument/2006/relationships/hyperlink" Target="https://www.tomshardware.com/news/new-amd-instinct-mi300-details-emerge-debuts-in-2-exaflop-el-capitan-supercomputer" TargetMode="External"/><Relationship Id="rId78" Type="http://schemas.openxmlformats.org/officeDocument/2006/relationships/hyperlink" Target="https://www.tomshardware.com/news/new-amd-instinct-mi300-details-emerge-debuts-in-2-exaflop-el-capitan-supercomputer" TargetMode="External"/><Relationship Id="rId94" Type="http://schemas.openxmlformats.org/officeDocument/2006/relationships/hyperlink" Target="https://nanoreview.net/en/cpu/apple-m2-ultra" TargetMode="External"/><Relationship Id="rId99" Type="http://schemas.openxmlformats.org/officeDocument/2006/relationships/hyperlink" Target="https://blogs.nvidia.com/blog/2022/09/20/drive-thor/" TargetMode="External"/><Relationship Id="rId101" Type="http://schemas.openxmlformats.org/officeDocument/2006/relationships/hyperlink" Target="https://www.nvidia.com/content/dam/en-zz/Solutions/gtcf21/jetson-orin/nvidia-jetson-agx-orin-technical-brief.pdf" TargetMode="External"/><Relationship Id="rId122" Type="http://schemas.openxmlformats.org/officeDocument/2006/relationships/hyperlink" Target="https://www.cpu-monkey.com/en/cpu-apple_a15_bionic_5_gpu" TargetMode="External"/><Relationship Id="rId143" Type="http://schemas.openxmlformats.org/officeDocument/2006/relationships/hyperlink" Target="https://cleantechnica.com/2019/06/15/teslas-new-hw3-self-driving-computer-its-a-beast-cleantechnica-deep-dive/" TargetMode="External"/><Relationship Id="rId148" Type="http://schemas.openxmlformats.org/officeDocument/2006/relationships/hyperlink" Target="https://en.wikipedia.org/wiki/Volta_%28microarchitecture%29" TargetMode="External"/><Relationship Id="rId164" Type="http://schemas.openxmlformats.org/officeDocument/2006/relationships/hyperlink" Target="https://youtu.be/YZzROmj5Ols?si=BajlxtFnBcGDwmLY&amp;t=403" TargetMode="External"/><Relationship Id="rId169" Type="http://schemas.openxmlformats.org/officeDocument/2006/relationships/hyperlink" Target="https://youtu.be/YZzROmj5Ols?si=BajlxtFnBcGDwmLY&amp;t=403" TargetMode="External"/><Relationship Id="rId185" Type="http://schemas.openxmlformats.org/officeDocument/2006/relationships/hyperlink" Target="https://youtu.be/YZzROmj5Ols?si=0XtFAIohph3stdz9&amp;t=275" TargetMode="External"/><Relationship Id="rId4" Type="http://schemas.openxmlformats.org/officeDocument/2006/relationships/hyperlink" Target="https://www.cpu-monkey.com/en/cpu-apple_a15_bionic_5_gpu" TargetMode="External"/><Relationship Id="rId9" Type="http://schemas.openxmlformats.org/officeDocument/2006/relationships/hyperlink" Target="https://en.wikipedia.org/wiki/Apple_silicon" TargetMode="External"/><Relationship Id="rId180" Type="http://schemas.openxmlformats.org/officeDocument/2006/relationships/hyperlink" Target="https://youtu.be/YZzROmj5Ols?si=7_n0K6cA-Ezl17rd&amp;t=239" TargetMode="External"/><Relationship Id="rId210" Type="http://schemas.openxmlformats.org/officeDocument/2006/relationships/hyperlink" Target="https://www.cudocompute.com/blog/nvidias-blackwell-architecture-breaking-down-the-b100-b200-and-gb200" TargetMode="External"/><Relationship Id="rId215" Type="http://schemas.openxmlformats.org/officeDocument/2006/relationships/hyperlink" Target="https://www.crucial.com/support/articles-faq-memory/how-much-power-does-memory-use" TargetMode="External"/><Relationship Id="rId236" Type="http://schemas.openxmlformats.org/officeDocument/2006/relationships/hyperlink" Target="https://www.seeedstudio.com/blog/2022/04/24/nvidia-orin-bring-your-next-gen-ai-products-with-jetson-agx-orin-and-nx-orin/" TargetMode="External"/><Relationship Id="rId26" Type="http://schemas.openxmlformats.org/officeDocument/2006/relationships/hyperlink" Target="https://developer.nvidia.com/blog/nvidia-hopper-architecture-in-depth/" TargetMode="External"/><Relationship Id="rId231" Type="http://schemas.openxmlformats.org/officeDocument/2006/relationships/hyperlink" Target="http://www.researchinchina.com/Htmls/Report/2024/75004.html" TargetMode="External"/><Relationship Id="rId47" Type="http://schemas.openxmlformats.org/officeDocument/2006/relationships/hyperlink" Target="https://www.techpowerup.com/gpu-specs/a100-pcie-40-gb.c3623" TargetMode="External"/><Relationship Id="rId68" Type="http://schemas.openxmlformats.org/officeDocument/2006/relationships/hyperlink" Target="https://www.cerebras.net/condor-galaxy-1" TargetMode="External"/><Relationship Id="rId89" Type="http://schemas.openxmlformats.org/officeDocument/2006/relationships/hyperlink" Target="https://en.wikichip.org/wiki/tesla_(car_company)/fsd_chip" TargetMode="External"/><Relationship Id="rId112" Type="http://schemas.openxmlformats.org/officeDocument/2006/relationships/hyperlink" Target="https://developer.nvidia.com/blog/nvidia-hopper-architecture-in-depth/" TargetMode="External"/><Relationship Id="rId133" Type="http://schemas.openxmlformats.org/officeDocument/2006/relationships/hyperlink" Target="https://www.notebookcheck.net/NVIDIA-GeForce-RTX-4070-Laptop-GPU-Benchmarks-and-Specs.675690.0.html" TargetMode="External"/><Relationship Id="rId154" Type="http://schemas.openxmlformats.org/officeDocument/2006/relationships/hyperlink" Target="https://www.micron.com/products/nand-flash/232-layer-nand" TargetMode="External"/><Relationship Id="rId175" Type="http://schemas.openxmlformats.org/officeDocument/2006/relationships/hyperlink" Target="https://youtu.be/YZzROmj5Ols?si=70XR4fNTExe-Cf1z&amp;t=223" TargetMode="External"/><Relationship Id="rId196" Type="http://schemas.openxmlformats.org/officeDocument/2006/relationships/hyperlink" Target="https://en.wikipedia.org/wiki/Apple_A17" TargetMode="External"/><Relationship Id="rId200" Type="http://schemas.openxmlformats.org/officeDocument/2006/relationships/hyperlink" Target="https://9to5mac.com/2023/09/15/a17-pro-vs-a16-bionic-comparison/" TargetMode="External"/><Relationship Id="rId16" Type="http://schemas.openxmlformats.org/officeDocument/2006/relationships/hyperlink" Target="https://en.wikipedia.org/wiki/Apple_silicon" TargetMode="External"/><Relationship Id="rId221" Type="http://schemas.openxmlformats.org/officeDocument/2006/relationships/hyperlink" Target="https://www.tomshardware.com/pc-components/gpus/nvidias-next-gen-blackwell-ai-gpus-to-cost-up-to-dollar70000-fully-equipped-servers-range-up-to-dollar3000000-report" TargetMode="External"/><Relationship Id="rId37" Type="http://schemas.openxmlformats.org/officeDocument/2006/relationships/hyperlink" Target="https://en.wikichip.org/wiki/tesla_(car_company)/fsd_chip?utm_content=cmp-true" TargetMode="External"/><Relationship Id="rId58" Type="http://schemas.openxmlformats.org/officeDocument/2006/relationships/hyperlink" Target="https://www.pugetsystems.com/solutions/scientific-computing-workstations/machine-learning-ai/hardware-recommendations/" TargetMode="External"/><Relationship Id="rId79" Type="http://schemas.openxmlformats.org/officeDocument/2006/relationships/hyperlink" Target="https://www.techpowerup.com/gpu-specs/radeon-instinct-mi300.c4019" TargetMode="External"/><Relationship Id="rId102" Type="http://schemas.openxmlformats.org/officeDocument/2006/relationships/hyperlink" Target="https://www.beren.io/2022-08-06-The-scale-of-the-brain-vs-machine-learning/" TargetMode="External"/><Relationship Id="rId123" Type="http://schemas.openxmlformats.org/officeDocument/2006/relationships/hyperlink" Target="https://www.cpu-monkey.com/en/cpu-apple_m1_ultra_64_gpu" TargetMode="External"/><Relationship Id="rId144" Type="http://schemas.openxmlformats.org/officeDocument/2006/relationships/hyperlink" Target="https://en.wikipedia.org/wiki/Volta_%28microarchitecture%29" TargetMode="External"/><Relationship Id="rId90" Type="http://schemas.openxmlformats.org/officeDocument/2006/relationships/hyperlink" Target="https://cleantechnica.com/2019/06/15/teslas-new-hw3-self-driving-computer-its-a-beast-cleantechnica-deep-dive/" TargetMode="External"/><Relationship Id="rId165" Type="http://schemas.openxmlformats.org/officeDocument/2006/relationships/hyperlink" Target="https://youtu.be/YZzROmj5Ols?si=BajlxtFnBcGDwmLY&amp;t=403" TargetMode="External"/><Relationship Id="rId186" Type="http://schemas.openxmlformats.org/officeDocument/2006/relationships/hyperlink" Target="https://www.tomsguide.com/news/microsoft-readies-own-ai-chip-everything-you-need-to-know" TargetMode="External"/><Relationship Id="rId211" Type="http://schemas.openxmlformats.org/officeDocument/2006/relationships/hyperlink" Target="https://www.cudocompute.com/blog/nvidias-blackwell-architecture-breaking-down-the-b100-b200-and-gb200" TargetMode="External"/><Relationship Id="rId232" Type="http://schemas.openxmlformats.org/officeDocument/2006/relationships/hyperlink" Target="https://developer.nvidia.com/embedded/downloads" TargetMode="External"/><Relationship Id="rId27" Type="http://schemas.openxmlformats.org/officeDocument/2006/relationships/hyperlink" Target="https://www.guru3d.com/news-story/nvidia-will-manufacture-h100-gpus-using-tsmc-4-nm-process.html" TargetMode="External"/><Relationship Id="rId48" Type="http://schemas.openxmlformats.org/officeDocument/2006/relationships/hyperlink" Target="https://www.techpowerup.com/gpu-specs/a100-pcie-40-gb.c3623" TargetMode="External"/><Relationship Id="rId69" Type="http://schemas.openxmlformats.org/officeDocument/2006/relationships/hyperlink" Target="https://www.youtube.com/watch?app=desktop&amp;v=oVHkXEzKzxM&amp;feature=youtu.be&amp;noapp=1" TargetMode="External"/><Relationship Id="rId113" Type="http://schemas.openxmlformats.org/officeDocument/2006/relationships/hyperlink" Target="https://resources.nvidia.com/en-us-grace-cpu/grace-hopper-superchip" TargetMode="External"/><Relationship Id="rId134" Type="http://schemas.openxmlformats.org/officeDocument/2006/relationships/hyperlink" Target="https://f.hubspotusercontent30.net/hubfs/8968533/WSE-2%20Datasheet.pdf" TargetMode="External"/><Relationship Id="rId80" Type="http://schemas.openxmlformats.org/officeDocument/2006/relationships/hyperlink" Target="https://en.wikichip.org/wiki/tesla_(car_company)/fsd_chip" TargetMode="External"/><Relationship Id="rId155" Type="http://schemas.openxmlformats.org/officeDocument/2006/relationships/hyperlink" Target="https://www.youtube.com/live/ODSJsviD_SU?si=M-0Z5JAt7y0Q4H5N&amp;t=7786" TargetMode="External"/><Relationship Id="rId176" Type="http://schemas.openxmlformats.org/officeDocument/2006/relationships/hyperlink" Target="https://youtu.be/YZzROmj5Ols?si=np6xBwjEw18EvhZ7&amp;t=402" TargetMode="External"/><Relationship Id="rId197" Type="http://schemas.openxmlformats.org/officeDocument/2006/relationships/hyperlink" Target="https://en.wikipedia.org/wiki/Apple_A17" TargetMode="External"/><Relationship Id="rId201" Type="http://schemas.openxmlformats.org/officeDocument/2006/relationships/hyperlink" Target="https://9to5mac.com/2023/09/15/a17-pro-vs-a16-bionic-comparison/" TargetMode="External"/><Relationship Id="rId222" Type="http://schemas.openxmlformats.org/officeDocument/2006/relationships/hyperlink" Target="https://www.youtube.com/live/Y2F8yisiS6E?si=9Z5Da4BQy12XJ1mw&amp;t=1640" TargetMode="External"/><Relationship Id="rId17" Type="http://schemas.openxmlformats.org/officeDocument/2006/relationships/hyperlink" Target="https://www.cpu-monkey.com/en/igpu-apple_m1_ultra_64_core" TargetMode="External"/><Relationship Id="rId38" Type="http://schemas.openxmlformats.org/officeDocument/2006/relationships/hyperlink" Target="https://www.youtube.com/watch?v=3ZoP1GCNwYE&amp;t=700s" TargetMode="External"/><Relationship Id="rId59" Type="http://schemas.openxmlformats.org/officeDocument/2006/relationships/hyperlink" Target="https://www.techpowerup.com/cpu-specs/core-i9-13980hx.c3016" TargetMode="External"/><Relationship Id="rId103" Type="http://schemas.openxmlformats.org/officeDocument/2006/relationships/hyperlink" Target="https://superuser.com/questions/282202/which-consumes-more-power-hard-drive-or-sd-card-card-reader" TargetMode="External"/><Relationship Id="rId124" Type="http://schemas.openxmlformats.org/officeDocument/2006/relationships/hyperlink" Target="https://www.techpowerup.com/gpu-specs/a100-pcie-40-gb.c3623" TargetMode="External"/><Relationship Id="rId70" Type="http://schemas.openxmlformats.org/officeDocument/2006/relationships/hyperlink" Target="https://www.nvidia.com/content/dam/en-zz/Solutions/gtcf21/jetson-orin/nvidia-jetson-agx-orin-technical-brief.pdf" TargetMode="External"/><Relationship Id="rId91" Type="http://schemas.openxmlformats.org/officeDocument/2006/relationships/hyperlink" Target="https://www.youtube.com/watch?v=3tV1KPkuiBI&amp;t=2145s" TargetMode="External"/><Relationship Id="rId145" Type="http://schemas.openxmlformats.org/officeDocument/2006/relationships/hyperlink" Target="https://images.nvidia.com/content/technologies/volta/pdf/volta-v100-datasheet-update-us-1165301-r5.pdf" TargetMode="External"/><Relationship Id="rId166" Type="http://schemas.openxmlformats.org/officeDocument/2006/relationships/hyperlink" Target="https://youtu.be/YZzROmj5Ols?si=BajlxtFnBcGDwmLY&amp;t=403" TargetMode="External"/><Relationship Id="rId187" Type="http://schemas.openxmlformats.org/officeDocument/2006/relationships/hyperlink" Target="https://www.tomsguide.com/news/microsoft-readies-own-ai-chip-everything-you-need-to-know" TargetMode="External"/><Relationship Id="rId1" Type="http://schemas.openxmlformats.org/officeDocument/2006/relationships/hyperlink" Target="https://www.cpu-monkey.com/en/cpu-apple_a15_bionic_5_gpu" TargetMode="External"/><Relationship Id="rId212" Type="http://schemas.openxmlformats.org/officeDocument/2006/relationships/hyperlink" Target="https://www.youtube.com/watch?v=3tV1KPkuiBI&amp;t=2145s" TargetMode="External"/><Relationship Id="rId233" Type="http://schemas.openxmlformats.org/officeDocument/2006/relationships/hyperlink" Target="https://developer.nvidia.com/embedded/downloads" TargetMode="External"/><Relationship Id="rId28" Type="http://schemas.openxmlformats.org/officeDocument/2006/relationships/hyperlink" Target="https://www.youtube.com/watch?v=ODSJsviD_SU&amp;t=2566s%20(2:09:55)" TargetMode="External"/><Relationship Id="rId49" Type="http://schemas.openxmlformats.org/officeDocument/2006/relationships/hyperlink" Target="https://www.nvidia.com/content/dam/en-zz/Solutions/gtcf21/jetson-orin/nvidia-jetson-agx-orin-technical-brief.pdf" TargetMode="External"/><Relationship Id="rId114" Type="http://schemas.openxmlformats.org/officeDocument/2006/relationships/hyperlink" Target="https://www.nvidia.com/en-us/data-center/grace-hopper-superchip/" TargetMode="External"/><Relationship Id="rId60" Type="http://schemas.openxmlformats.org/officeDocument/2006/relationships/hyperlink" Target="https://ark.intel.com/content/www/us/en/ark/products/232138/intel-core-i913980hx-processor-36m-cache-up-to-5-60-ghz.html" TargetMode="External"/><Relationship Id="rId81" Type="http://schemas.openxmlformats.org/officeDocument/2006/relationships/hyperlink" Target="https://en.wikipedia.org/wiki/Transistor_count" TargetMode="External"/><Relationship Id="rId135" Type="http://schemas.openxmlformats.org/officeDocument/2006/relationships/hyperlink" Target="https://f.hubspotusercontent30.net/hubfs/8968533/WSE-2%20Datasheet.pdf" TargetMode="External"/><Relationship Id="rId156" Type="http://schemas.openxmlformats.org/officeDocument/2006/relationships/hyperlink" Target="https://www.youtube.com/live/ODSJsviD_SU?si=M-0Z5JAt7y0Q4H5N&amp;t=7786" TargetMode="External"/><Relationship Id="rId177" Type="http://schemas.openxmlformats.org/officeDocument/2006/relationships/hyperlink" Target="https://youtu.be/YZzROmj5Ols?si=np6xBwjEw18EvhZ7&amp;t=402" TargetMode="External"/><Relationship Id="rId198" Type="http://schemas.openxmlformats.org/officeDocument/2006/relationships/hyperlink" Target="https://en.wikipedia.org/wiki/Apple_A17" TargetMode="External"/><Relationship Id="rId202" Type="http://schemas.openxmlformats.org/officeDocument/2006/relationships/hyperlink" Target="https://www.cpu-monkey.com/en/cpu-apple_a17_pro" TargetMode="External"/><Relationship Id="rId223" Type="http://schemas.openxmlformats.org/officeDocument/2006/relationships/hyperlink" Target="https://northernlightswildlife.com/learn-about-wolves/" TargetMode="External"/><Relationship Id="rId18" Type="http://schemas.openxmlformats.org/officeDocument/2006/relationships/hyperlink" Target="https://www.cpu-monkey.com/en/igpu-apple_m1_ultra_64_core" TargetMode="External"/><Relationship Id="rId39" Type="http://schemas.openxmlformats.org/officeDocument/2006/relationships/hyperlink" Target="https://www.youtube.com/watch?v=3ZoP1GCNwYE&amp;t=318" TargetMode="External"/><Relationship Id="rId50" Type="http://schemas.openxmlformats.org/officeDocument/2006/relationships/hyperlink" Target="https://www.nvidia.com/content/dam/en-zz/Solutions/gtcf21/jetson-orin/nvidia-jetson-agx-orin-technical-brief.pdf" TargetMode="External"/><Relationship Id="rId104" Type="http://schemas.openxmlformats.org/officeDocument/2006/relationships/hyperlink" Target="https://en.wikipedia.org/wiki/Transistor_count" TargetMode="External"/><Relationship Id="rId125" Type="http://schemas.openxmlformats.org/officeDocument/2006/relationships/hyperlink" Target="https://www.techpowerup.com/gpu-specs/a100-pcie-40-gb.c3623" TargetMode="External"/><Relationship Id="rId146" Type="http://schemas.openxmlformats.org/officeDocument/2006/relationships/hyperlink" Target="https://en.wikipedia.org/wiki/Volta_%28microarchitecture%29" TargetMode="External"/><Relationship Id="rId167" Type="http://schemas.openxmlformats.org/officeDocument/2006/relationships/hyperlink" Target="https://youtu.be/YZzROmj5Ols?si=BajlxtFnBcGDwmLY&amp;t=403" TargetMode="External"/><Relationship Id="rId188" Type="http://schemas.openxmlformats.org/officeDocument/2006/relationships/hyperlink" Target="https://habana.ai/products/gaudi2/" TargetMode="External"/><Relationship Id="rId71" Type="http://schemas.openxmlformats.org/officeDocument/2006/relationships/hyperlink" Target="https://www.tomshardware.com/news/nvidia-hopper-h100-80gb-price-revealed" TargetMode="External"/><Relationship Id="rId92" Type="http://schemas.openxmlformats.org/officeDocument/2006/relationships/hyperlink" Target="https://www.youtube.com/watch?v=3tV1KPkuiBI&amp;t=2145s" TargetMode="External"/><Relationship Id="rId213" Type="http://schemas.openxmlformats.org/officeDocument/2006/relationships/hyperlink" Target="https://www.substratus.ai/blog/calculating-gpu-memory-for-llm/" TargetMode="External"/><Relationship Id="rId234" Type="http://schemas.openxmlformats.org/officeDocument/2006/relationships/hyperlink" Target="http://www.researchinchina.com/Htmls/Report/2024/75004.html" TargetMode="External"/><Relationship Id="rId2" Type="http://schemas.openxmlformats.org/officeDocument/2006/relationships/hyperlink" Target="https://www.cpu-monkey.com/en/cpu-apple_a15_bionic_5_gpu" TargetMode="External"/><Relationship Id="rId29" Type="http://schemas.openxmlformats.org/officeDocument/2006/relationships/hyperlink" Target="https://f.hubspotusercontent30.net/hubfs/8968533/WSE-2%20Datasheet.pdf" TargetMode="External"/><Relationship Id="rId40" Type="http://schemas.openxmlformats.org/officeDocument/2006/relationships/hyperlink" Target="https://www.youtube.com/watch?v=3ZoP1GCNwYE&amp;t=700s" TargetMode="External"/><Relationship Id="rId115" Type="http://schemas.openxmlformats.org/officeDocument/2006/relationships/hyperlink" Target="https://resources.nvidia.com/en-us-grace-cpu/grace-hopper-superchip" TargetMode="External"/><Relationship Id="rId136" Type="http://schemas.openxmlformats.org/officeDocument/2006/relationships/hyperlink" Target="https://f.hubspotusercontent30.net/hubfs/8968533/WSE-2%20Datasheet.pdf" TargetMode="External"/><Relationship Id="rId157" Type="http://schemas.openxmlformats.org/officeDocument/2006/relationships/hyperlink" Target="https://www.youtube.com/live/ODSJsviD_SU?si=M-0Z5JAt7y0Q4H5N&amp;t=7786" TargetMode="External"/><Relationship Id="rId178" Type="http://schemas.openxmlformats.org/officeDocument/2006/relationships/hyperlink" Target="https://youtu.be/YZzROmj5Ols?si=0uC5v2nfW_uUFmEd&amp;t=239" TargetMode="External"/><Relationship Id="rId61" Type="http://schemas.openxmlformats.org/officeDocument/2006/relationships/hyperlink" Target="https://www.techpowerup.com/cpu-specs/core-i9-13980hx.c3016" TargetMode="External"/><Relationship Id="rId82" Type="http://schemas.openxmlformats.org/officeDocument/2006/relationships/hyperlink" Target="https://en.wikipedia.org/wiki/Transistor_count" TargetMode="External"/><Relationship Id="rId199" Type="http://schemas.openxmlformats.org/officeDocument/2006/relationships/hyperlink" Target="https://en.wikipedia.org/wiki/Apple_A17" TargetMode="External"/><Relationship Id="rId203" Type="http://schemas.openxmlformats.org/officeDocument/2006/relationships/hyperlink" Target="https://www.cpu-monkey.com/en/cpu-apple_a17_pro" TargetMode="External"/><Relationship Id="rId19" Type="http://schemas.openxmlformats.org/officeDocument/2006/relationships/hyperlink" Target="https://www.cpu-monkey.com/en/cpu-apple_m1_ultra_64_gpu" TargetMode="External"/><Relationship Id="rId224" Type="http://schemas.openxmlformats.org/officeDocument/2006/relationships/hyperlink" Target="https://www.seeedstudio.com/blog/2022/04/24/nvidia-orin-bring-your-next-gen-ai-products-with-jetson-agx-orin-and-nx-orin/" TargetMode="External"/><Relationship Id="rId30" Type="http://schemas.openxmlformats.org/officeDocument/2006/relationships/hyperlink" Target="https://www.anandtech.com/show/17509/microns-232-layer-nand-now-shipping" TargetMode="External"/><Relationship Id="rId105" Type="http://schemas.openxmlformats.org/officeDocument/2006/relationships/hyperlink" Target="https://www.anandtech.com/show/17509/microns-232-layer-nand-now-shipping" TargetMode="External"/><Relationship Id="rId126" Type="http://schemas.openxmlformats.org/officeDocument/2006/relationships/hyperlink" Target="https://www.techpowerup.com/gpu-specs/a100-pcie-40-gb.c3623" TargetMode="External"/><Relationship Id="rId147" Type="http://schemas.openxmlformats.org/officeDocument/2006/relationships/hyperlink" Target="https://en.wikipedia.org/wiki/Volta_%28microarchitecture%29" TargetMode="External"/><Relationship Id="rId168" Type="http://schemas.openxmlformats.org/officeDocument/2006/relationships/hyperlink" Target="https://youtu.be/YZzROmj5Ols?si=BajlxtFnBcGDwmLY&amp;t=403" TargetMode="External"/><Relationship Id="rId51" Type="http://schemas.openxmlformats.org/officeDocument/2006/relationships/hyperlink" Target="https://www.nvidia.com/content/dam/en-zz/Solutions/gtcf21/jetson-orin/nvidia-jetson-agx-orin-technical-brief.pdf" TargetMode="External"/><Relationship Id="rId72" Type="http://schemas.openxmlformats.org/officeDocument/2006/relationships/hyperlink" Target="https://www.businesswire.com/news/home/20220927006137/en/Kioxia-Develops-Industry%E2%80%99s-First-2TB-microSDXC-Memory-Card-Working-Prototypes" TargetMode="External"/><Relationship Id="rId93" Type="http://schemas.openxmlformats.org/officeDocument/2006/relationships/hyperlink" Target="https://www.howtogeek.com/853529/hardware-for-stable-diffusion/" TargetMode="External"/><Relationship Id="rId189" Type="http://schemas.openxmlformats.org/officeDocument/2006/relationships/hyperlink" Target="https://www.tomshardware.com/news/intel-habana-gaudi2-outperforms-nvidia-a100" TargetMode="External"/><Relationship Id="rId3" Type="http://schemas.openxmlformats.org/officeDocument/2006/relationships/hyperlink" Target="https://www.cpu-monkey.com/en/cpu-apple_a15_bionic_5_gpu" TargetMode="External"/><Relationship Id="rId214" Type="http://schemas.openxmlformats.org/officeDocument/2006/relationships/hyperlink" Target="https://www.engadget.com/samsung-unveils-a-512-gb-ddr-5-ram-module-102447443.html" TargetMode="External"/><Relationship Id="rId235" Type="http://schemas.openxmlformats.org/officeDocument/2006/relationships/hyperlink" Target="https://www.seeedstudio.com/blog/2022/04/24/nvidia-orin-bring-your-next-gen-ai-products-with-jetson-agx-orin-and-nx-orin/" TargetMode="External"/><Relationship Id="rId116" Type="http://schemas.openxmlformats.org/officeDocument/2006/relationships/hyperlink" Target="https://ourworldindata.org/grapher/historical-cost-of-computer-memory-and-storage" TargetMode="External"/><Relationship Id="rId137" Type="http://schemas.openxmlformats.org/officeDocument/2006/relationships/hyperlink" Target="https://f.hubspotusercontent30.net/hubfs/8968533/WSE-2%20Datasheet.pdf" TargetMode="External"/><Relationship Id="rId158" Type="http://schemas.openxmlformats.org/officeDocument/2006/relationships/hyperlink" Target="https://cloud.google.com/tpu/docs/v5e-training" TargetMode="External"/><Relationship Id="rId20" Type="http://schemas.openxmlformats.org/officeDocument/2006/relationships/hyperlink" Target="https://www.cpu-monkey.com/en/cpu-apple_m1_ultra_64_gpu" TargetMode="External"/><Relationship Id="rId41" Type="http://schemas.openxmlformats.org/officeDocument/2006/relationships/hyperlink" Target="https://nanoreview.net/en/cpu/apple-m2-ultra" TargetMode="External"/><Relationship Id="rId62" Type="http://schemas.openxmlformats.org/officeDocument/2006/relationships/hyperlink" Target="https://www.techpowerup.com/cpu-specs/core-i9-13980hx.c3016" TargetMode="External"/><Relationship Id="rId83" Type="http://schemas.openxmlformats.org/officeDocument/2006/relationships/hyperlink" Target="https://en.wikipedia.org/wiki/Transistor_count" TargetMode="External"/><Relationship Id="rId179" Type="http://schemas.openxmlformats.org/officeDocument/2006/relationships/hyperlink" Target="https://youtu.be/YZzROmj5Ols?si=7_n0K6cA-Ezl17rd&amp;t=239"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tomshardware.com/news/new-amd-instinct-mi300-details-emerge-debuts-in-2-exaflop-el-capitan-supercomputer" TargetMode="External"/><Relationship Id="rId21" Type="http://schemas.openxmlformats.org/officeDocument/2006/relationships/hyperlink" Target="https://www.tomshardware.com/news/startup-builds-supercomputer-with-22000-nvidias-h100-compute-gpus" TargetMode="External"/><Relationship Id="rId42" Type="http://schemas.openxmlformats.org/officeDocument/2006/relationships/hyperlink" Target="https://the-decoder.com/gpt-4-architecture-datasets-costs-and-more-leaked/" TargetMode="External"/><Relationship Id="rId47" Type="http://schemas.openxmlformats.org/officeDocument/2006/relationships/hyperlink" Target="https://electrek.co/2019/11/10/tesla-update-forks-features-for-model-3s-built-pre-post-april-2019/" TargetMode="External"/><Relationship Id="rId63" Type="http://schemas.openxmlformats.org/officeDocument/2006/relationships/hyperlink" Target="https://twitter.com/Tesla_AI/status/1671589874686730270" TargetMode="External"/><Relationship Id="rId68" Type="http://schemas.openxmlformats.org/officeDocument/2006/relationships/hyperlink" Target="https://stability.ai/blog/stable-diffusion-announcement" TargetMode="External"/><Relationship Id="rId84" Type="http://schemas.openxmlformats.org/officeDocument/2006/relationships/hyperlink" Target="https://www.youtube.com/live/Y2F8yisiS6E?si=b2DWgOYESdhnDMJ9&amp;t=1705" TargetMode="External"/><Relationship Id="rId89" Type="http://schemas.openxmlformats.org/officeDocument/2006/relationships/hyperlink" Target="https://www.youtube.com/live/pKXDVsWZmUU?si=9tNViPhyZS8vUo7f&amp;t=4747" TargetMode="External"/><Relationship Id="rId16" Type="http://schemas.openxmlformats.org/officeDocument/2006/relationships/hyperlink" Target="https://resources.nvidia.com/en-us-grace-cpu/grace-hopper-superchip" TargetMode="External"/><Relationship Id="rId11" Type="http://schemas.openxmlformats.org/officeDocument/2006/relationships/hyperlink" Target="https://www.marktechpost.com/2022/05/03/totalenergies-utilize-the-cerebras-cs-2-system-to-turn-an-ai-problem-long-accepted-to-be-memory-bound-into-compute-bound/" TargetMode="External"/><Relationship Id="rId32" Type="http://schemas.openxmlformats.org/officeDocument/2006/relationships/hyperlink" Target="http://large.stanford.edu/courses/2014/ph240/labonta1/" TargetMode="External"/><Relationship Id="rId37" Type="http://schemas.openxmlformats.org/officeDocument/2006/relationships/hyperlink" Target="https://en.wikipedia.org/wiki/GPT-4" TargetMode="External"/><Relationship Id="rId53" Type="http://schemas.openxmlformats.org/officeDocument/2006/relationships/hyperlink" Target="https://youtu.be/GvMe3FVTknU?si=myHlK8lWrqzIb3KC&amp;t=536" TargetMode="External"/><Relationship Id="rId58" Type="http://schemas.openxmlformats.org/officeDocument/2006/relationships/hyperlink" Target="https://youtu.be/GvMe3FVTknU?si=myHlK8lWrqzIb3KC&amp;t=536" TargetMode="External"/><Relationship Id="rId74" Type="http://schemas.openxmlformats.org/officeDocument/2006/relationships/hyperlink" Target="https://stability.ai/blog/stable-diffusion-announcement" TargetMode="External"/><Relationship Id="rId79" Type="http://schemas.openxmlformats.org/officeDocument/2006/relationships/hyperlink" Target="https://nvidianews.nvidia.com/news/nvidia-announces-dgx-h100-systems-worlds-most-advanced-enterprise-ai-infrastructure" TargetMode="External"/><Relationship Id="rId102" Type="http://schemas.openxmlformats.org/officeDocument/2006/relationships/hyperlink" Target="https://x.com/elonmusk/status/1797382701541990841" TargetMode="External"/><Relationship Id="rId5" Type="http://schemas.openxmlformats.org/officeDocument/2006/relationships/hyperlink" Target="https://en.wikipedia.org/wiki/Tesla_Dojo" TargetMode="External"/><Relationship Id="rId90" Type="http://schemas.openxmlformats.org/officeDocument/2006/relationships/hyperlink" Target="https://resources.nvidia.com/en-us-grace-cpu/grace-hopper-superchip" TargetMode="External"/><Relationship Id="rId95" Type="http://schemas.openxmlformats.org/officeDocument/2006/relationships/hyperlink" Target="https://youtu.be/f4Dly8I8lMY?si=g-SYMUXUxv4HcAJb&amp;t=412" TargetMode="External"/><Relationship Id="rId22" Type="http://schemas.openxmlformats.org/officeDocument/2006/relationships/hyperlink" Target="https://www.youtube.com/watch?v=1uIzS1uCOcE" TargetMode="External"/><Relationship Id="rId27" Type="http://schemas.openxmlformats.org/officeDocument/2006/relationships/hyperlink" Target="https://www.tomshardware.com/news/new-amd-instinct-mi300-details-emerge-debuts-in-2-exaflop-el-capitan-supercomputer" TargetMode="External"/><Relationship Id="rId43" Type="http://schemas.openxmlformats.org/officeDocument/2006/relationships/hyperlink" Target="https://the-decoder.com/gpt-4-architecture-datasets-costs-and-more-leaked/" TargetMode="External"/><Relationship Id="rId48" Type="http://schemas.openxmlformats.org/officeDocument/2006/relationships/hyperlink" Target="https://electrek.co/2019/11/10/tesla-update-forks-features-for-model-3s-built-pre-post-april-2019/" TargetMode="External"/><Relationship Id="rId64" Type="http://schemas.openxmlformats.org/officeDocument/2006/relationships/hyperlink" Target="https://twitter.com/Tesla_AI/status/1671589874686730270" TargetMode="External"/><Relationship Id="rId69" Type="http://schemas.openxmlformats.org/officeDocument/2006/relationships/hyperlink" Target="https://stability.ai/about" TargetMode="External"/><Relationship Id="rId80" Type="http://schemas.openxmlformats.org/officeDocument/2006/relationships/hyperlink" Target="https://nvidianews.nvidia.com/news/nvidia-announces-dgx-h100-systems-worlds-most-advanced-enterprise-ai-infrastructure" TargetMode="External"/><Relationship Id="rId85" Type="http://schemas.openxmlformats.org/officeDocument/2006/relationships/hyperlink" Target="https://www.youtube.com/live/Y2F8yisiS6E?si=vDsvaOjBP9A7pyv8&amp;t=1746" TargetMode="External"/><Relationship Id="rId12" Type="http://schemas.openxmlformats.org/officeDocument/2006/relationships/hyperlink" Target="https://www.cerebras.net/condor-galaxy-1" TargetMode="External"/><Relationship Id="rId17" Type="http://schemas.openxmlformats.org/officeDocument/2006/relationships/hyperlink" Target="https://www.tomshardware.com/news/new-amd-instinct-mi300-details-emerge-debuts-in-2-exaflop-el-capitan-supercomputer" TargetMode="External"/><Relationship Id="rId33" Type="http://schemas.openxmlformats.org/officeDocument/2006/relationships/hyperlink" Target="https://hypertextbook.com/facts/2001/JacquelineLing.shtml" TargetMode="External"/><Relationship Id="rId38" Type="http://schemas.openxmlformats.org/officeDocument/2006/relationships/hyperlink" Target="https://youtu.be/7KJibx077bE?t=171" TargetMode="External"/><Relationship Id="rId59" Type="http://schemas.openxmlformats.org/officeDocument/2006/relationships/hyperlink" Target="https://youtu.be/GvMe3FVTknU?si=myHlK8lWrqzIb3KC&amp;t=537" TargetMode="External"/><Relationship Id="rId103" Type="http://schemas.openxmlformats.org/officeDocument/2006/relationships/hyperlink" Target="https://www.tomshardware.com/tech-industry/meta-will-have-350000-of-nvidias-fastest-ai-gpus-by-end-of-year-buying-amds-mi300-too" TargetMode="External"/><Relationship Id="rId20" Type="http://schemas.openxmlformats.org/officeDocument/2006/relationships/hyperlink" Target="https://www.tomshardware.com/news/startup-builds-supercomputer-with-22000-nvidias-h100-compute-gpus" TargetMode="External"/><Relationship Id="rId41" Type="http://schemas.openxmlformats.org/officeDocument/2006/relationships/hyperlink" Target="https://en.wikipedia.org/wiki/GPT-4" TargetMode="External"/><Relationship Id="rId54" Type="http://schemas.openxmlformats.org/officeDocument/2006/relationships/hyperlink" Target="https://en.wikipedia.org/wiki/Tesla_Dojo" TargetMode="External"/><Relationship Id="rId62" Type="http://schemas.openxmlformats.org/officeDocument/2006/relationships/hyperlink" Target="https://youtu.be/GvMe3FVTknU?si=23S1wZ4AEhTqN4bR&amp;t=150" TargetMode="External"/><Relationship Id="rId70" Type="http://schemas.openxmlformats.org/officeDocument/2006/relationships/hyperlink" Target="https://stability.ai/about" TargetMode="External"/><Relationship Id="rId75" Type="http://schemas.openxmlformats.org/officeDocument/2006/relationships/hyperlink" Target="https://stability.ai/about" TargetMode="External"/><Relationship Id="rId83" Type="http://schemas.openxmlformats.org/officeDocument/2006/relationships/hyperlink" Target="https://nvidianews.nvidia.com/news/nvidia-announces-dgx-h100-systems-worlds-most-advanced-enterprise-ai-infrastructure" TargetMode="External"/><Relationship Id="rId88" Type="http://schemas.openxmlformats.org/officeDocument/2006/relationships/hyperlink" Target="https://www.youtube.com/live/pKXDVsWZmUU?si=9tNViPhyZS8vUo7f&amp;t=4747" TargetMode="External"/><Relationship Id="rId91" Type="http://schemas.openxmlformats.org/officeDocument/2006/relationships/hyperlink" Target="https://resources.nvidia.com/en-us-grace-cpu/grace-hopper-superchip" TargetMode="External"/><Relationship Id="rId96" Type="http://schemas.openxmlformats.org/officeDocument/2006/relationships/hyperlink" Target="https://www.substratus.ai/blog/calculating-gpu-memory-for-llm/" TargetMode="External"/><Relationship Id="rId1" Type="http://schemas.openxmlformats.org/officeDocument/2006/relationships/hyperlink" Target="https://www.tomshardware.com/news/nvidia-unveils-dgx-gh200-supercomputer-and-mgx-systems-grace-hopper-superchips-in-production" TargetMode="External"/><Relationship Id="rId6" Type="http://schemas.openxmlformats.org/officeDocument/2006/relationships/hyperlink" Target="https://en.wikipedia.org/wiki/Tesla_Dojo" TargetMode="External"/><Relationship Id="rId15" Type="http://schemas.openxmlformats.org/officeDocument/2006/relationships/hyperlink" Target="https://resources.nvidia.com/en-us-grace-cpu/grace-hopper-superchip" TargetMode="External"/><Relationship Id="rId23" Type="http://schemas.openxmlformats.org/officeDocument/2006/relationships/hyperlink" Target="https://en.wikipedia.org/wiki/El_Capitan_(supercomputer)" TargetMode="External"/><Relationship Id="rId28" Type="http://schemas.openxmlformats.org/officeDocument/2006/relationships/hyperlink" Target="https://en.wikipedia.org/wiki/Human_evolution" TargetMode="External"/><Relationship Id="rId36" Type="http://schemas.openxmlformats.org/officeDocument/2006/relationships/hyperlink" Target="https://twitter.com/realGeorgeHotz/status/1690894647755988993" TargetMode="External"/><Relationship Id="rId49" Type="http://schemas.openxmlformats.org/officeDocument/2006/relationships/hyperlink" Target="https://en.wikichip.org/wiki/tesla_(car_company)/fsd_chip" TargetMode="External"/><Relationship Id="rId57" Type="http://schemas.openxmlformats.org/officeDocument/2006/relationships/hyperlink" Target="https://youtu.be/GvMe3FVTknU?si=myHlK8lWrqzIb3KC&amp;t=535" TargetMode="External"/><Relationship Id="rId106" Type="http://schemas.openxmlformats.org/officeDocument/2006/relationships/printerSettings" Target="../printerSettings/printerSettings3.bin"/><Relationship Id="rId10" Type="http://schemas.openxmlformats.org/officeDocument/2006/relationships/hyperlink" Target="https://f.hubspotusercontent30.net/hubfs/8968533/CS-2%20Data%20Sheet.pdf" TargetMode="External"/><Relationship Id="rId31" Type="http://schemas.openxmlformats.org/officeDocument/2006/relationships/hyperlink" Target="https://hypertextbook.com/facts/2001/JacquelineLing.shtml" TargetMode="External"/><Relationship Id="rId44" Type="http://schemas.openxmlformats.org/officeDocument/2006/relationships/hyperlink" Target="https://the-decoder.com/gpt-4-architecture-datasets-costs-and-more-leaked/" TargetMode="External"/><Relationship Id="rId52" Type="http://schemas.openxmlformats.org/officeDocument/2006/relationships/hyperlink" Target="https://twitter.com/realGeorgeHotz/status/1690894647755988993" TargetMode="External"/><Relationship Id="rId60" Type="http://schemas.openxmlformats.org/officeDocument/2006/relationships/hyperlink" Target="https://youtu.be/GvMe3FVTknU?si=myHlK8lWrqzIb3KC&amp;t=535" TargetMode="External"/><Relationship Id="rId65" Type="http://schemas.openxmlformats.org/officeDocument/2006/relationships/hyperlink" Target="https://www.tomshardware.com/news/google-a3-supercomputer-h100-googleio" TargetMode="External"/><Relationship Id="rId73" Type="http://schemas.openxmlformats.org/officeDocument/2006/relationships/hyperlink" Target="https://en.wikipedia.org/wiki/PaLM" TargetMode="External"/><Relationship Id="rId78" Type="http://schemas.openxmlformats.org/officeDocument/2006/relationships/hyperlink" Target="https://youtu.be/1WOjjgyZPj8?si=_G-vzWiiSfFmYcEz&amp;t=4488" TargetMode="External"/><Relationship Id="rId81" Type="http://schemas.openxmlformats.org/officeDocument/2006/relationships/hyperlink" Target="https://nvidianews.nvidia.com/news/nvidia-announces-dgx-h100-systems-worlds-most-advanced-enterprise-ai-infrastructure" TargetMode="External"/><Relationship Id="rId86" Type="http://schemas.openxmlformats.org/officeDocument/2006/relationships/hyperlink" Target="https://www.youtube.com/live/Y2F8yisiS6E?si=vDsvaOjBP9A7pyv8&amp;t=1743" TargetMode="External"/><Relationship Id="rId94" Type="http://schemas.openxmlformats.org/officeDocument/2006/relationships/hyperlink" Target="https://the-decoder.com/nvidia-announces-new-superchip-and-collab-with-hugging-face/" TargetMode="External"/><Relationship Id="rId99" Type="http://schemas.openxmlformats.org/officeDocument/2006/relationships/hyperlink" Target="https://en.wikichip.org/wiki/tesla_(car_company)/fsd_chip" TargetMode="External"/><Relationship Id="rId101" Type="http://schemas.openxmlformats.org/officeDocument/2006/relationships/hyperlink" Target="https://www.tomshardware.com/tech-industry/meta-will-have-350000-of-nvidias-fastest-ai-gpus-by-end-of-year-buying-amds-mi300-too" TargetMode="External"/><Relationship Id="rId4" Type="http://schemas.openxmlformats.org/officeDocument/2006/relationships/hyperlink" Target="https://en.wikipedia.org/wiki/Tesla_Dojo" TargetMode="External"/><Relationship Id="rId9" Type="http://schemas.openxmlformats.org/officeDocument/2006/relationships/hyperlink" Target="https://www.cerebras.net/condor-galaxy-1" TargetMode="External"/><Relationship Id="rId13" Type="http://schemas.openxmlformats.org/officeDocument/2006/relationships/hyperlink" Target="https://www.tomshardware.com/news/nvidia-unveils-dgx-gh200-supercomputer-and-mgx-systems-grace-hopper-superchips-in-production" TargetMode="External"/><Relationship Id="rId18" Type="http://schemas.openxmlformats.org/officeDocument/2006/relationships/hyperlink" Target="https://www.tomshardware.com/news/new-amd-instinct-mi300-details-emerge-debuts-in-2-exaflop-el-capitan-supercomputer" TargetMode="External"/><Relationship Id="rId39" Type="http://schemas.openxmlformats.org/officeDocument/2006/relationships/hyperlink" Target="https://en.wikipedia.org/wiki/GPT-4" TargetMode="External"/><Relationship Id="rId34" Type="http://schemas.openxmlformats.org/officeDocument/2006/relationships/hyperlink" Target="https://hypertextbook.com/facts/2001/JacquelineLing.shtml" TargetMode="External"/><Relationship Id="rId50" Type="http://schemas.openxmlformats.org/officeDocument/2006/relationships/hyperlink" Target="https://twitter.com/realGeorgeHotz/status/1690894647755988993" TargetMode="External"/><Relationship Id="rId55" Type="http://schemas.openxmlformats.org/officeDocument/2006/relationships/hyperlink" Target="https://en.wikichip.org/wiki/tesla_(car_company)/fsd_chip" TargetMode="External"/><Relationship Id="rId76" Type="http://schemas.openxmlformats.org/officeDocument/2006/relationships/hyperlink" Target="https://stability.ai/about" TargetMode="External"/><Relationship Id="rId97" Type="http://schemas.openxmlformats.org/officeDocument/2006/relationships/hyperlink" Target="https://cleantechnica.com/2019/06/15/teslas-new-hw3-self-driving-computer-its-a-beast-cleantechnica-deep-dive/" TargetMode="External"/><Relationship Id="rId104" Type="http://schemas.openxmlformats.org/officeDocument/2006/relationships/hyperlink" Target="https://northernlightswildlife.com/learn-about-wolves/" TargetMode="External"/><Relationship Id="rId7" Type="http://schemas.openxmlformats.org/officeDocument/2006/relationships/hyperlink" Target="https://f.hubspotusercontent30.net/hubfs/8968533/WSE-2%20Datasheet.pdf" TargetMode="External"/><Relationship Id="rId71" Type="http://schemas.openxmlformats.org/officeDocument/2006/relationships/hyperlink" Target="https://stability.ai/blog/stable-diffusion-announcement" TargetMode="External"/><Relationship Id="rId92" Type="http://schemas.openxmlformats.org/officeDocument/2006/relationships/hyperlink" Target="https://www.youtube.com/live/Y2F8yisiS6E?si=b2DWgOYESdhnDMJ9&amp;t=1697" TargetMode="External"/><Relationship Id="rId2" Type="http://schemas.openxmlformats.org/officeDocument/2006/relationships/hyperlink" Target="https://www.youtube.com/watch?app=desktop&amp;v=oVHkXEzKzxM&amp;feature=youtu.be&amp;noapp=1" TargetMode="External"/><Relationship Id="rId29" Type="http://schemas.openxmlformats.org/officeDocument/2006/relationships/hyperlink" Target="https://hypertextbook.com/facts/2001/JacquelineLing.shtml" TargetMode="External"/><Relationship Id="rId24" Type="http://schemas.openxmlformats.org/officeDocument/2006/relationships/hyperlink" Target="https://en.wikipedia.org/wiki/El_Capitan_(supercomputer)" TargetMode="External"/><Relationship Id="rId40" Type="http://schemas.openxmlformats.org/officeDocument/2006/relationships/hyperlink" Target="https://en.wikipedia.org/wiki/GPT-4" TargetMode="External"/><Relationship Id="rId45" Type="http://schemas.openxmlformats.org/officeDocument/2006/relationships/hyperlink" Target="https://youtu.be/7KJibx077bE?t=438" TargetMode="External"/><Relationship Id="rId66" Type="http://schemas.openxmlformats.org/officeDocument/2006/relationships/hyperlink" Target="https://www.tomshardware.com/news/google-a3-supercomputer-h100-googleio" TargetMode="External"/><Relationship Id="rId87" Type="http://schemas.openxmlformats.org/officeDocument/2006/relationships/hyperlink" Target="https://www.youtube.com/live/pKXDVsWZmUU?si=9tNViPhyZS8vUo7f&amp;t=4747" TargetMode="External"/><Relationship Id="rId61" Type="http://schemas.openxmlformats.org/officeDocument/2006/relationships/hyperlink" Target="https://twitter.com/Tesla_AI/status/1671589874686730270" TargetMode="External"/><Relationship Id="rId82" Type="http://schemas.openxmlformats.org/officeDocument/2006/relationships/hyperlink" Target="https://nvidianews.nvidia.com/news/nvidia-announces-dgx-h100-systems-worlds-most-advanced-enterprise-ai-infrastructure" TargetMode="External"/><Relationship Id="rId19" Type="http://schemas.openxmlformats.org/officeDocument/2006/relationships/hyperlink" Target="https://en.wikipedia.org/wiki/Tesla_Dojo" TargetMode="External"/><Relationship Id="rId14" Type="http://schemas.openxmlformats.org/officeDocument/2006/relationships/hyperlink" Target="https://www.tomshardware.com/news/nvidia-unveils-dgx-gh200-supercomputer-and-mgx-systems-grace-hopper-superchips-in-production" TargetMode="External"/><Relationship Id="rId30" Type="http://schemas.openxmlformats.org/officeDocument/2006/relationships/hyperlink" Target="https://www.youtube.com/watch?v=1uIzS1uCOcE" TargetMode="External"/><Relationship Id="rId35" Type="http://schemas.openxmlformats.org/officeDocument/2006/relationships/hyperlink" Target="https://twitter.com/realGeorgeHotz/status/1690894647755988993" TargetMode="External"/><Relationship Id="rId56" Type="http://schemas.openxmlformats.org/officeDocument/2006/relationships/hyperlink" Target="https://en.wikichip.org/wiki/tesla_(car_company)/fsd_chip" TargetMode="External"/><Relationship Id="rId77" Type="http://schemas.openxmlformats.org/officeDocument/2006/relationships/hyperlink" Target="https://stability.ai/blog/stable-diffusion-announcement" TargetMode="External"/><Relationship Id="rId100" Type="http://schemas.openxmlformats.org/officeDocument/2006/relationships/hyperlink" Target="https://en.wikichip.org/wiki/tesla_(car_company)/fsd_chip" TargetMode="External"/><Relationship Id="rId105" Type="http://schemas.openxmlformats.org/officeDocument/2006/relationships/hyperlink" Target="https://northernlightswildlife.com/learn-about-wolves/" TargetMode="External"/><Relationship Id="rId8" Type="http://schemas.openxmlformats.org/officeDocument/2006/relationships/hyperlink" Target="https://www.cerebras.net/condor-galaxy-1" TargetMode="External"/><Relationship Id="rId51" Type="http://schemas.openxmlformats.org/officeDocument/2006/relationships/hyperlink" Target="https://twitter.com/realGeorgeHotz/status/1690894647755988993" TargetMode="External"/><Relationship Id="rId72" Type="http://schemas.openxmlformats.org/officeDocument/2006/relationships/hyperlink" Target="https://youtu.be/1WOjjgyZPj8?si=_G-vzWiiSfFmYcEz&amp;t=4488" TargetMode="External"/><Relationship Id="rId93" Type="http://schemas.openxmlformats.org/officeDocument/2006/relationships/hyperlink" Target="https://www.youtube.com/live/Y2F8yisiS6E?si=b2DWgOYESdhnDMJ9&amp;t=1698" TargetMode="External"/><Relationship Id="rId98" Type="http://schemas.openxmlformats.org/officeDocument/2006/relationships/hyperlink" Target="https://en.wikichip.org/wiki/tesla_(car_company)/fsd_chip" TargetMode="External"/><Relationship Id="rId3" Type="http://schemas.openxmlformats.org/officeDocument/2006/relationships/hyperlink" Target="https://en.wikipedia.org/wiki/Metric_prefix" TargetMode="External"/><Relationship Id="rId25" Type="http://schemas.openxmlformats.org/officeDocument/2006/relationships/hyperlink" Target="https://en.wikipedia.org/wiki/El_Capitan_(supercomputer)" TargetMode="External"/><Relationship Id="rId46" Type="http://schemas.openxmlformats.org/officeDocument/2006/relationships/hyperlink" Target="https://www.techpowerup.com/310783/inflection-ai-builds-supercomputer-with-22-000-nvidia-h100-gpus" TargetMode="External"/><Relationship Id="rId67" Type="http://schemas.openxmlformats.org/officeDocument/2006/relationships/hyperlink" Target="https://www.tomshardware.com/news/google-a3-supercomputer-h100-googleio"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en.m.wikipedia.org/wiki/List_of_fastest_computers?darkschemeovr=1&amp;safesearch=moderate&amp;setlang=da-DK&amp;ssp=1" TargetMode="External"/><Relationship Id="rId7" Type="http://schemas.openxmlformats.org/officeDocument/2006/relationships/drawing" Target="../drawings/drawing1.xml"/><Relationship Id="rId2" Type="http://schemas.openxmlformats.org/officeDocument/2006/relationships/hyperlink" Target="https://en.wikipedia.org/wiki/Metric_prefix" TargetMode="External"/><Relationship Id="rId1" Type="http://schemas.openxmlformats.org/officeDocument/2006/relationships/hyperlink" Target="https://ourworldindata.org/grapher/supercomputer-power-flops" TargetMode="External"/><Relationship Id="rId6" Type="http://schemas.openxmlformats.org/officeDocument/2006/relationships/printerSettings" Target="../printerSettings/printerSettings4.bin"/><Relationship Id="rId5" Type="http://schemas.openxmlformats.org/officeDocument/2006/relationships/hyperlink" Target="https://en.m.wikipedia.org/wiki/List_of_fastest_computers?darkschemeovr=1&amp;safesearch=moderate&amp;setlang=da-DK&amp;ssp=1" TargetMode="External"/><Relationship Id="rId4" Type="http://schemas.openxmlformats.org/officeDocument/2006/relationships/hyperlink" Target="https://www.slideshare.net/antonioeram/raymond-kurzweil-presentation"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worldometers.info/world-population/" TargetMode="External"/><Relationship Id="rId3" Type="http://schemas.openxmlformats.org/officeDocument/2006/relationships/hyperlink" Target="https://www.statista.com/statistics/988034/nvidia-revenue-by-segment/" TargetMode="External"/><Relationship Id="rId7" Type="http://schemas.openxmlformats.org/officeDocument/2006/relationships/hyperlink" Target="https://www.cnbc.com/2023/08/11/nvidia-ai-driven-rally-pushed-earnings-multiple-higher-than-tesla.html" TargetMode="External"/><Relationship Id="rId2" Type="http://schemas.openxmlformats.org/officeDocument/2006/relationships/hyperlink" Target="https://youtu.be/0EIwhvqCX1c?t=20" TargetMode="External"/><Relationship Id="rId1" Type="http://schemas.openxmlformats.org/officeDocument/2006/relationships/hyperlink" Target="https://en.wikipedia.org/wiki/Metric_prefix" TargetMode="External"/><Relationship Id="rId6" Type="http://schemas.openxmlformats.org/officeDocument/2006/relationships/hyperlink" Target="https://www.tomshardware.com/news/nvidia-to-reportedly-triple-output-of-compute-gpus-in-2024-up-to-2-million-h100s" TargetMode="External"/><Relationship Id="rId11" Type="http://schemas.openxmlformats.org/officeDocument/2006/relationships/drawing" Target="../drawings/drawing2.xml"/><Relationship Id="rId5" Type="http://schemas.openxmlformats.org/officeDocument/2006/relationships/hyperlink" Target="https://www.worldometers.info/world-population/" TargetMode="External"/><Relationship Id="rId10" Type="http://schemas.openxmlformats.org/officeDocument/2006/relationships/printerSettings" Target="../printerSettings/printerSettings5.bin"/><Relationship Id="rId4" Type="http://schemas.openxmlformats.org/officeDocument/2006/relationships/hyperlink" Target="https://www.cnbc.com/2023/08/11/nvidia-ai-driven-rally-pushed-earnings-multiple-higher-than-tesla.html" TargetMode="External"/><Relationship Id="rId9" Type="http://schemas.openxmlformats.org/officeDocument/2006/relationships/hyperlink" Target="https://www.tomshardware.com/news/nvidia-to-reportedly-triple-output-of-compute-gpus-in-2024-up-to-2-million-h100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cnbc.com/2023/08/11/nvidia-ai-driven-rally-pushed-earnings-multiple-higher-than-tesla.html" TargetMode="External"/><Relationship Id="rId3" Type="http://schemas.openxmlformats.org/officeDocument/2006/relationships/hyperlink" Target="https://data.worldbank.org/indicator/NY.GDP.MKTP.CD" TargetMode="External"/><Relationship Id="rId7" Type="http://schemas.openxmlformats.org/officeDocument/2006/relationships/hyperlink" Target="https://www.tomshardware.com/news/nvidia-to-reportedly-triple-output-of-compute-gpus-in-2024-up-to-2-million-h100s" TargetMode="External"/><Relationship Id="rId2" Type="http://schemas.openxmlformats.org/officeDocument/2006/relationships/hyperlink" Target="https://yearbook.enerdata.net/electricity/world-electricity-production-statistics.html" TargetMode="External"/><Relationship Id="rId1" Type="http://schemas.openxmlformats.org/officeDocument/2006/relationships/hyperlink" Target="https://en.wikipedia.org/wiki/Metric_prefix" TargetMode="External"/><Relationship Id="rId6" Type="http://schemas.openxmlformats.org/officeDocument/2006/relationships/hyperlink" Target="https://www.cnbc.com/2023/08/11/nvidia-ai-driven-rally-pushed-earnings-multiple-higher-than-tesla.html" TargetMode="External"/><Relationship Id="rId5" Type="http://schemas.openxmlformats.org/officeDocument/2006/relationships/hyperlink" Target="https://youtu.be/0EIwhvqCX1c?t=20" TargetMode="External"/><Relationship Id="rId10" Type="http://schemas.openxmlformats.org/officeDocument/2006/relationships/printerSettings" Target="../printerSettings/printerSettings6.bin"/><Relationship Id="rId4" Type="http://schemas.openxmlformats.org/officeDocument/2006/relationships/hyperlink" Target="https://ourworldindata.org/grapher/levelized-cost-of-energy" TargetMode="External"/><Relationship Id="rId9" Type="http://schemas.openxmlformats.org/officeDocument/2006/relationships/hyperlink" Target="https://ourworldindata.org/grapher/levelized-cost-of-energy"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convertlive.com/u/convert/bits/to/bytes" TargetMode="External"/><Relationship Id="rId13" Type="http://schemas.openxmlformats.org/officeDocument/2006/relationships/hyperlink" Target="https://www.tomshardware.com/news/nvidia-hopper-h100-80gb-price-revealed" TargetMode="External"/><Relationship Id="rId18" Type="http://schemas.openxmlformats.org/officeDocument/2006/relationships/hyperlink" Target="https://en.wikipedia.org/wiki/Transistor_count" TargetMode="External"/><Relationship Id="rId3" Type="http://schemas.openxmlformats.org/officeDocument/2006/relationships/hyperlink" Target="https://ourworldindata.org/grapher/transistors-per-microprocessor" TargetMode="External"/><Relationship Id="rId21" Type="http://schemas.openxmlformats.org/officeDocument/2006/relationships/hyperlink" Target="https://en.wikipedia.org/wiki/Transistor_count" TargetMode="External"/><Relationship Id="rId7" Type="http://schemas.openxmlformats.org/officeDocument/2006/relationships/hyperlink" Target="https://semiengineering.com/scaling-up-and-down/" TargetMode="External"/><Relationship Id="rId12" Type="http://schemas.openxmlformats.org/officeDocument/2006/relationships/hyperlink" Target="https://www.tomshardware.com/news/nvidia-unveils-dgx-gh200-supercomputer-and-mgx-systems-grace-hopper-superchips-in-production" TargetMode="External"/><Relationship Id="rId17" Type="http://schemas.openxmlformats.org/officeDocument/2006/relationships/hyperlink" Target="https://en.wikipedia.org/wiki/Transistor_count" TargetMode="External"/><Relationship Id="rId25" Type="http://schemas.openxmlformats.org/officeDocument/2006/relationships/printerSettings" Target="../printerSettings/printerSettings7.bin"/><Relationship Id="rId2" Type="http://schemas.openxmlformats.org/officeDocument/2006/relationships/hyperlink" Target="https://en.wikipedia.org/wiki/Moore%27s_law" TargetMode="External"/><Relationship Id="rId16" Type="http://schemas.openxmlformats.org/officeDocument/2006/relationships/hyperlink" Target="https://en.wikipedia.org/wiki/Transistor_count" TargetMode="External"/><Relationship Id="rId20" Type="http://schemas.openxmlformats.org/officeDocument/2006/relationships/hyperlink" Target="https://en.wikipedia.org/wiki/Transistor_count" TargetMode="External"/><Relationship Id="rId1" Type="http://schemas.openxmlformats.org/officeDocument/2006/relationships/hyperlink" Target="https://en.wikipedia.org/wiki/Moore%27s_law" TargetMode="External"/><Relationship Id="rId6" Type="http://schemas.openxmlformats.org/officeDocument/2006/relationships/hyperlink" Target="https://en.wikipedia.org/wiki/Transistor_count" TargetMode="External"/><Relationship Id="rId11" Type="http://schemas.openxmlformats.org/officeDocument/2006/relationships/hyperlink" Target="https://en.wikipedia.org/wiki/Transistor_count" TargetMode="External"/><Relationship Id="rId24" Type="http://schemas.openxmlformats.org/officeDocument/2006/relationships/hyperlink" Target="https://en.wikipedia.org/wiki/Transistor_count" TargetMode="External"/><Relationship Id="rId5" Type="http://schemas.openxmlformats.org/officeDocument/2006/relationships/hyperlink" Target="https://en.wikipedia.org/wiki/Transistor_count" TargetMode="External"/><Relationship Id="rId15" Type="http://schemas.openxmlformats.org/officeDocument/2006/relationships/hyperlink" Target="https://en.wikipedia.org/wiki/Transistor_count" TargetMode="External"/><Relationship Id="rId23" Type="http://schemas.openxmlformats.org/officeDocument/2006/relationships/hyperlink" Target="https://en.wikipedia.org/wiki/Transistor_count" TargetMode="External"/><Relationship Id="rId10" Type="http://schemas.openxmlformats.org/officeDocument/2006/relationships/hyperlink" Target="https://ourworldindata.org/grapher/historical-cost-of-computer-memory-and-storage" TargetMode="External"/><Relationship Id="rId19" Type="http://schemas.openxmlformats.org/officeDocument/2006/relationships/hyperlink" Target="https://en.wikipedia.org/wiki/Transistor_count" TargetMode="External"/><Relationship Id="rId4" Type="http://schemas.openxmlformats.org/officeDocument/2006/relationships/hyperlink" Target="https://en.wikipedia.org/wiki/Transistor_count" TargetMode="External"/><Relationship Id="rId9" Type="http://schemas.openxmlformats.org/officeDocument/2006/relationships/hyperlink" Target="https://ourworldindata.org/grapher/historical-cost-of-computer-memory-and-storage" TargetMode="External"/><Relationship Id="rId14" Type="http://schemas.openxmlformats.org/officeDocument/2006/relationships/hyperlink" Target="https://en.wikipedia.org/wiki/Transistor_count" TargetMode="External"/><Relationship Id="rId22" Type="http://schemas.openxmlformats.org/officeDocument/2006/relationships/hyperlink" Target="https://en.wikipedia.org/wiki/Transistor_count"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en.wikipedia.org/wiki/Transistor_count" TargetMode="External"/><Relationship Id="rId3" Type="http://schemas.openxmlformats.org/officeDocument/2006/relationships/hyperlink" Target="https://semiengineering.com/scaling-up-and-down/" TargetMode="External"/><Relationship Id="rId7" Type="http://schemas.openxmlformats.org/officeDocument/2006/relationships/hyperlink" Target="https://en.wikipedia.org/wiki/Transistor_count" TargetMode="External"/><Relationship Id="rId2" Type="http://schemas.openxmlformats.org/officeDocument/2006/relationships/hyperlink" Target="https://en.wikipedia.org/wiki/Transistor_count" TargetMode="External"/><Relationship Id="rId1" Type="http://schemas.openxmlformats.org/officeDocument/2006/relationships/hyperlink" Target="https://en.wikipedia.org/wiki/Transistor_count" TargetMode="External"/><Relationship Id="rId6" Type="http://schemas.openxmlformats.org/officeDocument/2006/relationships/hyperlink" Target="https://en.wikipedia.org/wiki/Transistor_count" TargetMode="External"/><Relationship Id="rId11" Type="http://schemas.openxmlformats.org/officeDocument/2006/relationships/printerSettings" Target="../printerSettings/printerSettings8.bin"/><Relationship Id="rId5" Type="http://schemas.openxmlformats.org/officeDocument/2006/relationships/hyperlink" Target="https://en.wikipedia.org/wiki/Transistor_count" TargetMode="External"/><Relationship Id="rId10" Type="http://schemas.openxmlformats.org/officeDocument/2006/relationships/hyperlink" Target="https://en.wikipedia.org/wiki/Transistor_count" TargetMode="External"/><Relationship Id="rId4" Type="http://schemas.openxmlformats.org/officeDocument/2006/relationships/hyperlink" Target="https://en.wikipedia.org/wiki/Transistor_count" TargetMode="External"/><Relationship Id="rId9" Type="http://schemas.openxmlformats.org/officeDocument/2006/relationships/hyperlink" Target="https://en.wikipedia.org/wiki/Transistor_count"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www.linkedin.com/in/hmphd/" TargetMode="External"/><Relationship Id="rId18" Type="http://schemas.openxmlformats.org/officeDocument/2006/relationships/hyperlink" Target="https://en.wikipedia.org/wiki/Nick_Bostrom" TargetMode="External"/><Relationship Id="rId26" Type="http://schemas.openxmlformats.org/officeDocument/2006/relationships/hyperlink" Target="https://en.wikipedia.org/wiki/Stephen_Wolfram" TargetMode="External"/><Relationship Id="rId3" Type="http://schemas.openxmlformats.org/officeDocument/2006/relationships/hyperlink" Target="https://www.hmexperience.dk/" TargetMode="External"/><Relationship Id="rId21" Type="http://schemas.openxmlformats.org/officeDocument/2006/relationships/hyperlink" Target="https://youtu.be/mofEOSUkMpA?si=b6iCZF1_uHrL_FFC&amp;t=131" TargetMode="External"/><Relationship Id="rId34" Type="http://schemas.openxmlformats.org/officeDocument/2006/relationships/hyperlink" Target="https://youtu.be/mofEOSUkMpA?si=b6iCZF1_uHrL_FFC&amp;t=131" TargetMode="External"/><Relationship Id="rId7" Type="http://schemas.openxmlformats.org/officeDocument/2006/relationships/hyperlink" Target="https://en.wikipedia.org/wiki/Elon_Musk" TargetMode="External"/><Relationship Id="rId12" Type="http://schemas.openxmlformats.org/officeDocument/2006/relationships/hyperlink" Target="https://en.wikipedia.org/wiki/Demis_Hassabis" TargetMode="External"/><Relationship Id="rId17" Type="http://schemas.openxmlformats.org/officeDocument/2006/relationships/hyperlink" Target="https://en.wikipedia.org/wiki/Presidency_of_Barack_Obama" TargetMode="External"/><Relationship Id="rId25" Type="http://schemas.openxmlformats.org/officeDocument/2006/relationships/hyperlink" Target="https://en.wikipedia.org/wiki/Eliezer_Yudkowsky" TargetMode="External"/><Relationship Id="rId33" Type="http://schemas.openxmlformats.org/officeDocument/2006/relationships/hyperlink" Target="https://www.youtube.com/live/xMvPuRfXOdM?si=nidLspMLHuZYW4o7&amp;t=1929" TargetMode="External"/><Relationship Id="rId2" Type="http://schemas.openxmlformats.org/officeDocument/2006/relationships/hyperlink" Target="https://www.hmexperience.dk/" TargetMode="External"/><Relationship Id="rId16" Type="http://schemas.openxmlformats.org/officeDocument/2006/relationships/hyperlink" Target="https://en.wikipedia.org/wiki/Vladimir_Putin" TargetMode="External"/><Relationship Id="rId20" Type="http://schemas.openxmlformats.org/officeDocument/2006/relationships/hyperlink" Target="https://youtu.be/mofEOSUkMpA?si=NZxUS5UshDVJqqo4&amp;t=766" TargetMode="External"/><Relationship Id="rId29" Type="http://schemas.openxmlformats.org/officeDocument/2006/relationships/hyperlink" Target="https://fortune.com/2023/05/03/google-deepmind-ceo-agi-artificial-intelligence/" TargetMode="External"/><Relationship Id="rId1" Type="http://schemas.openxmlformats.org/officeDocument/2006/relationships/hyperlink" Target="https://en.wikipedia.org/wiki/Ray_Kurzweil" TargetMode="External"/><Relationship Id="rId6" Type="http://schemas.openxmlformats.org/officeDocument/2006/relationships/hyperlink" Target="https://youtu.be/mofEOSUkMpA?si=QfSzvnSE0yUFORIs&amp;t=129" TargetMode="External"/><Relationship Id="rId11" Type="http://schemas.openxmlformats.org/officeDocument/2006/relationships/hyperlink" Target="https://en.wikipedia.org/wiki/Mark_Zuckerberg" TargetMode="External"/><Relationship Id="rId24" Type="http://schemas.openxmlformats.org/officeDocument/2006/relationships/hyperlink" Target="https://www.linkedin.com/in/aravind-srinivas-16051987/" TargetMode="External"/><Relationship Id="rId32" Type="http://schemas.openxmlformats.org/officeDocument/2006/relationships/hyperlink" Target="https://youtu.be/qTogNUV3CAI?si=MyC_4-rduVlP4GTW&amp;t=1496" TargetMode="External"/><Relationship Id="rId5" Type="http://schemas.openxmlformats.org/officeDocument/2006/relationships/hyperlink" Target="https://youtu.be/mofEOSUkMpA?si=z2ZwILFA8n0FYzqB&amp;t=83" TargetMode="External"/><Relationship Id="rId15" Type="http://schemas.openxmlformats.org/officeDocument/2006/relationships/hyperlink" Target="https://en.wikipedia.org/wiki/Geoffrey_Hinton" TargetMode="External"/><Relationship Id="rId23" Type="http://schemas.openxmlformats.org/officeDocument/2006/relationships/hyperlink" Target="https://darioamodei.com/" TargetMode="External"/><Relationship Id="rId28" Type="http://schemas.openxmlformats.org/officeDocument/2006/relationships/hyperlink" Target="https://youtu.be/ugvHCXCOmm4?si=JIzRW7rLDGqttVEg&amp;t=8311" TargetMode="External"/><Relationship Id="rId10" Type="http://schemas.openxmlformats.org/officeDocument/2006/relationships/hyperlink" Target="https://www.theverge.com/2024/7/11/24196746/heres-how-openai-will-determine-how-powerful-its-ai-systems-are" TargetMode="External"/><Relationship Id="rId19" Type="http://schemas.openxmlformats.org/officeDocument/2006/relationships/hyperlink" Target="https://en.wikipedia.org/wiki/Max_Tegmark" TargetMode="External"/><Relationship Id="rId31" Type="http://schemas.openxmlformats.org/officeDocument/2006/relationships/hyperlink" Target="https://youtu.be/DP454c1K_vQ?si=cWdMK1lWE9vSvSuA" TargetMode="External"/><Relationship Id="rId4" Type="http://schemas.openxmlformats.org/officeDocument/2006/relationships/hyperlink" Target="https://en.wikipedia.org/wiki/Ray_Kurzweil" TargetMode="External"/><Relationship Id="rId9" Type="http://schemas.openxmlformats.org/officeDocument/2006/relationships/hyperlink" Target="https://en.wikipedia.org/wiki/Sam_Altman" TargetMode="External"/><Relationship Id="rId14" Type="http://schemas.openxmlformats.org/officeDocument/2006/relationships/hyperlink" Target="https://en.wikipedia.org/wiki/Yann_LeCun" TargetMode="External"/><Relationship Id="rId22" Type="http://schemas.openxmlformats.org/officeDocument/2006/relationships/hyperlink" Target="https://youtu.be/mofEOSUkMpA?si=Mw81VowNEClByC86&amp;t=148" TargetMode="External"/><Relationship Id="rId27" Type="http://schemas.openxmlformats.org/officeDocument/2006/relationships/hyperlink" Target="https://en.wikipedia.org/wiki/Ilya_Sutskever" TargetMode="External"/><Relationship Id="rId30" Type="http://schemas.openxmlformats.org/officeDocument/2006/relationships/hyperlink" Target="https://en.wikipedia.org/wiki/J%C3%BCrgen_Schmidhuber" TargetMode="External"/><Relationship Id="rId35" Type="http://schemas.openxmlformats.org/officeDocument/2006/relationships/hyperlink" Target="https://youtu.be/epQxfSp-rdU?si=0AtzRwsv1SDcnrm9&amp;t=915" TargetMode="External"/><Relationship Id="rId8" Type="http://schemas.openxmlformats.org/officeDocument/2006/relationships/hyperlink" Target="https://youtu.be/xXCBz_8hM9w?si=ZpPR-2PUA_w3FhHU&amp;t=27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48D0-7BE4-46AF-A356-D0DAD0D90232}">
  <dimension ref="A1:AG211"/>
  <sheetViews>
    <sheetView workbookViewId="0">
      <pane xSplit="3" ySplit="17" topLeftCell="D18" activePane="bottomRight" state="frozen"/>
      <selection pane="topRight" activeCell="D1" sqref="D1"/>
      <selection pane="bottomLeft" activeCell="A18" sqref="A18"/>
      <selection pane="bottomRight" activeCell="B1" sqref="B1"/>
    </sheetView>
  </sheetViews>
  <sheetFormatPr defaultRowHeight="14.5" x14ac:dyDescent="0.35"/>
  <cols>
    <col min="1" max="1" width="2.6328125" customWidth="1"/>
    <col min="2" max="2" width="3.36328125" customWidth="1"/>
    <col min="3" max="3" width="38.26953125" customWidth="1"/>
    <col min="4" max="4" width="13.7265625" customWidth="1"/>
    <col min="5" max="5" width="26.90625" customWidth="1"/>
    <col min="6" max="6" width="17.54296875" customWidth="1"/>
    <col min="7" max="7" width="12.26953125" customWidth="1"/>
    <col min="8" max="8" width="11.54296875" customWidth="1"/>
    <col min="9" max="9" width="10.90625" customWidth="1"/>
    <col min="10" max="10" width="11.26953125" customWidth="1"/>
    <col min="11" max="11" width="9" customWidth="1"/>
    <col min="12" max="12" width="11.453125" customWidth="1"/>
    <col min="13" max="13" width="9.7265625" customWidth="1"/>
    <col min="14" max="14" width="7.6328125" customWidth="1"/>
    <col min="15" max="15" width="10.54296875" customWidth="1"/>
    <col min="16" max="16" width="9.54296875" customWidth="1"/>
    <col min="17" max="17" width="13.26953125" customWidth="1"/>
    <col min="18" max="18" width="10.54296875" customWidth="1"/>
    <col min="19" max="19" width="17.453125" customWidth="1"/>
    <col min="20" max="20" width="13.36328125" customWidth="1"/>
    <col min="21" max="21" width="11.7265625" customWidth="1"/>
    <col min="22" max="22" width="9.36328125" customWidth="1"/>
    <col min="23" max="23" width="10.26953125" customWidth="1"/>
    <col min="24" max="24" width="12.7265625" customWidth="1"/>
    <col min="25" max="25" width="8.1796875" customWidth="1"/>
    <col min="26" max="26" width="3.453125" customWidth="1"/>
    <col min="27" max="27" width="7.08984375" customWidth="1"/>
    <col min="28" max="28" width="11.7265625" customWidth="1"/>
    <col min="29" max="29" width="34.08984375" customWidth="1"/>
    <col min="30" max="30" width="8.26953125" customWidth="1"/>
    <col min="31" max="31" width="7.1796875" customWidth="1"/>
    <col min="32" max="32" width="5.54296875" customWidth="1"/>
    <col min="33" max="33" width="32.453125" customWidth="1"/>
    <col min="34" max="34" width="11.453125" customWidth="1"/>
    <col min="35" max="35" width="26.81640625" customWidth="1"/>
    <col min="36" max="36" width="12" customWidth="1"/>
    <col min="37" max="37" width="10" customWidth="1"/>
    <col min="38" max="38" width="10.90625" customWidth="1"/>
    <col min="39" max="39" width="11.36328125" customWidth="1"/>
    <col min="40" max="40" width="8.6328125" customWidth="1"/>
    <col min="41" max="41" width="11.90625" customWidth="1"/>
    <col min="42" max="42" width="10.90625" customWidth="1"/>
    <col min="44" max="44" width="10.453125" customWidth="1"/>
    <col min="45" max="45" width="13.1796875" customWidth="1"/>
    <col min="46" max="46" width="11.90625" customWidth="1"/>
    <col min="47" max="47" width="7.90625" customWidth="1"/>
    <col min="48" max="48" width="5.453125" customWidth="1"/>
  </cols>
  <sheetData>
    <row r="1" spans="1:33" ht="28.5" x14ac:dyDescent="0.65">
      <c r="A1" s="9" t="s">
        <v>1690</v>
      </c>
      <c r="AC1" s="2">
        <v>1000</v>
      </c>
      <c r="AD1" t="s">
        <v>408</v>
      </c>
      <c r="AE1" t="s">
        <v>407</v>
      </c>
      <c r="AF1" s="14" t="s">
        <v>129</v>
      </c>
    </row>
    <row r="2" spans="1:33" ht="15.5" x14ac:dyDescent="0.35">
      <c r="A2" s="10" t="s">
        <v>11</v>
      </c>
      <c r="AC2" s="2">
        <v>1000000</v>
      </c>
      <c r="AD2" t="s">
        <v>331</v>
      </c>
      <c r="AE2" t="s">
        <v>385</v>
      </c>
      <c r="AG2" t="s">
        <v>45</v>
      </c>
    </row>
    <row r="3" spans="1:33" ht="15.5" x14ac:dyDescent="0.35">
      <c r="A3" s="615" t="s">
        <v>1238</v>
      </c>
      <c r="B3" s="616"/>
      <c r="C3" s="616"/>
      <c r="D3" s="616"/>
      <c r="H3">
        <v>2</v>
      </c>
      <c r="I3" t="s">
        <v>1338</v>
      </c>
      <c r="J3" t="s">
        <v>107</v>
      </c>
      <c r="L3" s="14" t="s">
        <v>868</v>
      </c>
      <c r="M3" s="6">
        <f>AI_Supercomputers!T3</f>
        <v>2.0129870129870131</v>
      </c>
      <c r="N3" t="s">
        <v>488</v>
      </c>
      <c r="AC3" s="2">
        <v>1000000000</v>
      </c>
      <c r="AD3" t="s">
        <v>242</v>
      </c>
      <c r="AE3" t="s">
        <v>241</v>
      </c>
    </row>
    <row r="4" spans="1:33" x14ac:dyDescent="0.35">
      <c r="H4" t="s">
        <v>666</v>
      </c>
      <c r="M4">
        <v>1.5</v>
      </c>
      <c r="N4" t="s">
        <v>487</v>
      </c>
      <c r="AC4" s="2">
        <v>1000000000000</v>
      </c>
      <c r="AD4" t="s">
        <v>130</v>
      </c>
      <c r="AE4" t="s">
        <v>127</v>
      </c>
    </row>
    <row r="5" spans="1:33" ht="24" thickBot="1" x14ac:dyDescent="0.6">
      <c r="C5" s="30" t="s">
        <v>1543</v>
      </c>
      <c r="D5" s="31"/>
      <c r="E5" s="31"/>
      <c r="F5" s="31"/>
      <c r="G5" s="31"/>
      <c r="H5" s="31"/>
      <c r="I5" s="31"/>
      <c r="J5" s="31"/>
      <c r="K5" s="31"/>
      <c r="L5" s="31"/>
      <c r="M5" s="31"/>
      <c r="N5" s="31"/>
      <c r="O5" s="31"/>
      <c r="P5" s="31"/>
      <c r="Q5" s="31"/>
      <c r="R5" s="31"/>
      <c r="S5" s="31"/>
      <c r="T5" s="31"/>
      <c r="U5" s="31"/>
      <c r="V5" s="31"/>
      <c r="W5" s="31"/>
      <c r="X5" s="31"/>
      <c r="Y5" s="31"/>
      <c r="AC5" s="2">
        <v>1000000000000000</v>
      </c>
      <c r="AD5" t="s">
        <v>150</v>
      </c>
      <c r="AE5" t="s">
        <v>149</v>
      </c>
    </row>
    <row r="6" spans="1:33" ht="15" thickTop="1" x14ac:dyDescent="0.35">
      <c r="C6" s="18" t="s">
        <v>424</v>
      </c>
      <c r="D6" s="19" t="s">
        <v>12</v>
      </c>
      <c r="E6" s="19" t="s">
        <v>1173</v>
      </c>
      <c r="F6" s="19" t="s">
        <v>1155</v>
      </c>
      <c r="G6" s="19" t="s">
        <v>1183</v>
      </c>
      <c r="H6" s="19" t="s">
        <v>96</v>
      </c>
      <c r="I6" s="19" t="s">
        <v>41</v>
      </c>
      <c r="J6" s="19" t="s">
        <v>510</v>
      </c>
      <c r="K6" s="19" t="s">
        <v>1153</v>
      </c>
      <c r="L6" s="19" t="s">
        <v>426</v>
      </c>
      <c r="M6" s="19" t="s">
        <v>1178</v>
      </c>
      <c r="N6" s="19" t="s">
        <v>16</v>
      </c>
      <c r="O6" s="19" t="s">
        <v>1186</v>
      </c>
      <c r="P6" s="19" t="s">
        <v>1386</v>
      </c>
      <c r="Q6" s="19" t="s">
        <v>206</v>
      </c>
      <c r="R6" s="19" t="s">
        <v>179</v>
      </c>
      <c r="S6" s="19" t="s">
        <v>363</v>
      </c>
      <c r="T6" s="19" t="s">
        <v>212</v>
      </c>
      <c r="U6" s="19" t="s">
        <v>647</v>
      </c>
      <c r="V6" s="19" t="s">
        <v>519</v>
      </c>
      <c r="W6" s="19" t="s">
        <v>203</v>
      </c>
      <c r="X6" s="19" t="s">
        <v>1625</v>
      </c>
      <c r="Y6" s="20" t="s">
        <v>206</v>
      </c>
      <c r="AC6" s="2">
        <v>1E+18</v>
      </c>
      <c r="AD6" t="s">
        <v>131</v>
      </c>
      <c r="AE6" t="s">
        <v>128</v>
      </c>
    </row>
    <row r="7" spans="1:33" x14ac:dyDescent="0.35">
      <c r="C7" s="21" t="s">
        <v>425</v>
      </c>
      <c r="D7" s="13" t="s">
        <v>14</v>
      </c>
      <c r="E7" s="13" t="s">
        <v>1154</v>
      </c>
      <c r="F7" s="13"/>
      <c r="G7" s="13" t="s">
        <v>1184</v>
      </c>
      <c r="H7" s="13" t="s">
        <v>106</v>
      </c>
      <c r="I7" s="13" t="s">
        <v>76</v>
      </c>
      <c r="J7" s="13" t="s">
        <v>511</v>
      </c>
      <c r="K7" s="13" t="s">
        <v>1152</v>
      </c>
      <c r="L7" s="13" t="s">
        <v>833</v>
      </c>
      <c r="M7" s="13" t="s">
        <v>1179</v>
      </c>
      <c r="N7" s="13" t="s">
        <v>427</v>
      </c>
      <c r="O7" s="13" t="s">
        <v>832</v>
      </c>
      <c r="P7" s="13" t="s">
        <v>1387</v>
      </c>
      <c r="Q7" s="13" t="s">
        <v>1390</v>
      </c>
      <c r="R7" s="13" t="s">
        <v>185</v>
      </c>
      <c r="S7" s="13" t="s">
        <v>192</v>
      </c>
      <c r="T7" s="13" t="s">
        <v>213</v>
      </c>
      <c r="U7" s="13" t="s">
        <v>648</v>
      </c>
      <c r="V7" s="13" t="s">
        <v>202</v>
      </c>
      <c r="W7" s="13" t="s">
        <v>204</v>
      </c>
      <c r="X7" s="13" t="s">
        <v>1626</v>
      </c>
      <c r="Y7" s="22" t="s">
        <v>207</v>
      </c>
      <c r="AC7" s="2">
        <v>1E+21</v>
      </c>
      <c r="AD7" t="s">
        <v>1635</v>
      </c>
      <c r="AE7" t="s">
        <v>1634</v>
      </c>
    </row>
    <row r="8" spans="1:33" ht="15" thickBot="1" x14ac:dyDescent="0.4">
      <c r="C8" s="210"/>
      <c r="D8" s="202" t="s">
        <v>177</v>
      </c>
      <c r="E8" s="202"/>
      <c r="F8" s="202"/>
      <c r="G8" s="202" t="s">
        <v>1303</v>
      </c>
      <c r="H8" s="202" t="s">
        <v>99</v>
      </c>
      <c r="I8" s="202" t="s">
        <v>77</v>
      </c>
      <c r="J8" s="202" t="s">
        <v>512</v>
      </c>
      <c r="K8" s="202" t="s">
        <v>1261</v>
      </c>
      <c r="L8" s="202" t="s">
        <v>818</v>
      </c>
      <c r="M8" s="202" t="s">
        <v>832</v>
      </c>
      <c r="N8" s="202" t="s">
        <v>925</v>
      </c>
      <c r="O8" s="202" t="s">
        <v>1187</v>
      </c>
      <c r="P8" s="202" t="s">
        <v>1388</v>
      </c>
      <c r="Q8" s="202" t="s">
        <v>1537</v>
      </c>
      <c r="R8" s="202" t="s">
        <v>186</v>
      </c>
      <c r="S8" s="202" t="s">
        <v>364</v>
      </c>
      <c r="T8" s="202" t="s">
        <v>214</v>
      </c>
      <c r="U8" s="202" t="s">
        <v>650</v>
      </c>
      <c r="V8" s="202" t="s">
        <v>520</v>
      </c>
      <c r="W8" s="202" t="s">
        <v>205</v>
      </c>
      <c r="X8" s="202" t="s">
        <v>1627</v>
      </c>
      <c r="Y8" s="211" t="s">
        <v>208</v>
      </c>
      <c r="AA8" s="8" t="s">
        <v>32</v>
      </c>
      <c r="AB8" s="13" t="s">
        <v>1611</v>
      </c>
      <c r="AC8" s="2">
        <v>9.9999999999999998E+23</v>
      </c>
      <c r="AD8" t="s">
        <v>1637</v>
      </c>
      <c r="AE8" t="s">
        <v>1636</v>
      </c>
    </row>
    <row r="9" spans="1:33" ht="15" thickTop="1" x14ac:dyDescent="0.35">
      <c r="B9">
        <v>1</v>
      </c>
      <c r="C9" s="236" t="s">
        <v>1045</v>
      </c>
      <c r="D9" s="243"/>
      <c r="E9" s="243"/>
      <c r="F9" s="243"/>
      <c r="G9" s="243"/>
      <c r="H9" s="243"/>
      <c r="I9" s="243"/>
      <c r="J9" s="243"/>
      <c r="K9" s="243"/>
      <c r="L9" s="243"/>
      <c r="M9" s="243"/>
      <c r="N9" s="243"/>
      <c r="O9" s="243"/>
      <c r="P9" s="243"/>
      <c r="Q9" s="243"/>
      <c r="R9" s="243"/>
      <c r="S9" s="243"/>
      <c r="T9" s="243"/>
      <c r="U9" s="243"/>
      <c r="V9" s="243"/>
      <c r="W9" s="243"/>
      <c r="X9" s="698"/>
      <c r="Y9" s="244"/>
      <c r="Z9">
        <v>1</v>
      </c>
      <c r="AC9" s="2">
        <v>1E+27</v>
      </c>
      <c r="AD9" t="s">
        <v>1639</v>
      </c>
      <c r="AE9" t="s">
        <v>1638</v>
      </c>
    </row>
    <row r="10" spans="1:33" x14ac:dyDescent="0.35">
      <c r="B10">
        <f t="shared" ref="B10:B74" si="0">B9+1</f>
        <v>2</v>
      </c>
      <c r="C10" s="23" t="s">
        <v>1231</v>
      </c>
      <c r="D10" s="7" t="s">
        <v>1234</v>
      </c>
      <c r="E10" t="s">
        <v>1156</v>
      </c>
      <c r="F10" t="s">
        <v>1232</v>
      </c>
      <c r="G10" s="37" t="s">
        <v>45</v>
      </c>
      <c r="H10" s="612">
        <v>0.11700000000000001</v>
      </c>
      <c r="I10" s="614">
        <f t="shared" ref="I10:I11" si="1">H10*H$3</f>
        <v>0.23400000000000001</v>
      </c>
      <c r="J10" s="148">
        <f>KeyChips!K$10</f>
        <v>870</v>
      </c>
      <c r="K10" s="614">
        <f>I10/KeyChips!J$10</f>
        <v>7.3125000000000004E-3</v>
      </c>
      <c r="L10" s="118">
        <f>K10*KeyChips!U$10</f>
        <v>0.9140625</v>
      </c>
      <c r="M10" s="2">
        <f>K10*KeyChips!R$10*M$3</f>
        <v>4.4159902597402603</v>
      </c>
      <c r="N10" s="151">
        <f t="shared" ref="N10:N35" si="2">L10/M10</f>
        <v>0.20698924731182794</v>
      </c>
      <c r="O10" s="583">
        <f>K10*KeyChips!N$10</f>
        <v>43.875</v>
      </c>
      <c r="P10" s="34" t="s">
        <v>45</v>
      </c>
      <c r="Q10" s="583" t="s">
        <v>45</v>
      </c>
      <c r="R10" s="2">
        <v>512</v>
      </c>
      <c r="S10" s="134">
        <f>T10/AF78</f>
        <v>1.125</v>
      </c>
      <c r="T10" s="149">
        <v>4.5</v>
      </c>
      <c r="U10" s="34" t="str">
        <f>U$12</f>
        <v>200-400</v>
      </c>
      <c r="V10" s="89" t="s">
        <v>45</v>
      </c>
      <c r="W10" s="100" t="s">
        <v>45</v>
      </c>
      <c r="X10" s="118">
        <f>17578*(AC5/AC6)</f>
        <v>17.577999999999999</v>
      </c>
      <c r="Y10" s="144" t="s">
        <v>45</v>
      </c>
      <c r="Z10">
        <f t="shared" ref="Z10:Z12" si="3">Z9+1</f>
        <v>2</v>
      </c>
    </row>
    <row r="11" spans="1:33" x14ac:dyDescent="0.35">
      <c r="B11">
        <f t="shared" si="0"/>
        <v>3</v>
      </c>
      <c r="C11" s="23" t="s">
        <v>1272</v>
      </c>
      <c r="D11" s="7" t="s">
        <v>1226</v>
      </c>
      <c r="E11" t="s">
        <v>1156</v>
      </c>
      <c r="F11" t="s">
        <v>1232</v>
      </c>
      <c r="G11" s="37" t="s">
        <v>45</v>
      </c>
      <c r="H11" s="184">
        <v>1.5</v>
      </c>
      <c r="I11" s="90">
        <f t="shared" si="1"/>
        <v>3</v>
      </c>
      <c r="J11" s="148">
        <f>KeyChips!K10</f>
        <v>870</v>
      </c>
      <c r="K11" s="134">
        <f>I11/KeyChips!J$10</f>
        <v>9.375E-2</v>
      </c>
      <c r="L11" s="118">
        <f>K11*KeyChips!U$10</f>
        <v>11.71875</v>
      </c>
      <c r="M11" s="2">
        <f>K11*KeyChips!R$10*M$3</f>
        <v>56.615259740259745</v>
      </c>
      <c r="N11" s="151">
        <f t="shared" si="2"/>
        <v>0.20698924731182794</v>
      </c>
      <c r="O11" s="583">
        <f>K11*KeyChips!N$10</f>
        <v>562.5</v>
      </c>
      <c r="P11" s="34" t="s">
        <v>45</v>
      </c>
      <c r="Q11" s="583" t="s">
        <v>45</v>
      </c>
      <c r="R11" s="2">
        <v>1024</v>
      </c>
      <c r="S11" s="2">
        <f>T11/AF78</f>
        <v>10</v>
      </c>
      <c r="T11" s="118">
        <v>40</v>
      </c>
      <c r="U11" s="34" t="str">
        <f>U$12</f>
        <v>200-400</v>
      </c>
      <c r="V11" s="89" t="s">
        <v>45</v>
      </c>
      <c r="W11" s="100" t="s">
        <v>45</v>
      </c>
      <c r="X11" s="118">
        <f>1.92*(AC7/AC6)</f>
        <v>1920</v>
      </c>
      <c r="Y11" s="144" t="s">
        <v>45</v>
      </c>
      <c r="Z11">
        <f t="shared" si="3"/>
        <v>3</v>
      </c>
      <c r="AB11" s="6">
        <f>H11/H10</f>
        <v>12.820512820512819</v>
      </c>
      <c r="AC11" t="s">
        <v>1295</v>
      </c>
    </row>
    <row r="12" spans="1:33" x14ac:dyDescent="0.35">
      <c r="B12">
        <f t="shared" si="0"/>
        <v>4</v>
      </c>
      <c r="C12" s="633" t="s">
        <v>1273</v>
      </c>
      <c r="D12" s="7" t="s">
        <v>1280</v>
      </c>
      <c r="E12" t="s">
        <v>1156</v>
      </c>
      <c r="F12" t="s">
        <v>1232</v>
      </c>
      <c r="G12" s="37" t="s">
        <v>45</v>
      </c>
      <c r="H12" s="148">
        <v>175</v>
      </c>
      <c r="I12" s="2">
        <f>H12*H$3</f>
        <v>350</v>
      </c>
      <c r="J12" s="148">
        <f>KeyChips!K$10</f>
        <v>870</v>
      </c>
      <c r="K12" s="2">
        <f>I12/KeyChips!J$10</f>
        <v>10.9375</v>
      </c>
      <c r="L12" s="118">
        <f>K12*KeyChips!U$10</f>
        <v>1367.1875</v>
      </c>
      <c r="M12" s="2">
        <f>K12*KeyChips!R$10*M$3</f>
        <v>6605.1136363636369</v>
      </c>
      <c r="N12" s="151">
        <f t="shared" si="2"/>
        <v>0.20698924731182794</v>
      </c>
      <c r="O12" s="583">
        <f>K12*KeyChips!N$10</f>
        <v>65625</v>
      </c>
      <c r="P12" s="34">
        <v>10000</v>
      </c>
      <c r="Q12" s="583">
        <f>P12*KeyChips!N10/AC2</f>
        <v>60</v>
      </c>
      <c r="R12" s="2">
        <v>2049</v>
      </c>
      <c r="S12" s="2">
        <v>500</v>
      </c>
      <c r="T12" s="118">
        <f>S12*AF$78</f>
        <v>2000</v>
      </c>
      <c r="U12" s="34" t="s">
        <v>654</v>
      </c>
      <c r="V12" s="89" t="s">
        <v>45</v>
      </c>
      <c r="W12" s="100" t="s">
        <v>45</v>
      </c>
      <c r="X12" s="118">
        <f>314*(AC7/AC6)</f>
        <v>314000</v>
      </c>
      <c r="Y12" s="144">
        <v>9</v>
      </c>
      <c r="Z12">
        <f t="shared" si="3"/>
        <v>4</v>
      </c>
      <c r="AB12" s="6">
        <f>H12/H11</f>
        <v>116.66666666666667</v>
      </c>
      <c r="AC12" t="s">
        <v>1295</v>
      </c>
    </row>
    <row r="13" spans="1:33" x14ac:dyDescent="0.35">
      <c r="B13">
        <f t="shared" si="0"/>
        <v>5</v>
      </c>
      <c r="C13" s="23" t="s">
        <v>1645</v>
      </c>
      <c r="D13" s="7">
        <v>2022</v>
      </c>
      <c r="E13" t="s">
        <v>1267</v>
      </c>
      <c r="F13" t="s">
        <v>1232</v>
      </c>
      <c r="G13" s="37" t="s">
        <v>45</v>
      </c>
      <c r="H13" s="148">
        <v>175</v>
      </c>
      <c r="I13" s="2">
        <f>H13*H$3</f>
        <v>350</v>
      </c>
      <c r="J13" s="148">
        <f>KeyChips!K10</f>
        <v>870</v>
      </c>
      <c r="K13" s="2">
        <f>I13/KeyChips!J$10</f>
        <v>10.9375</v>
      </c>
      <c r="L13" s="118">
        <f>K13*KeyChips!U10</f>
        <v>1367.1875</v>
      </c>
      <c r="M13" s="2">
        <f>K13*KeyChips!R10*M$3</f>
        <v>6605.1136363636369</v>
      </c>
      <c r="N13" s="151">
        <f t="shared" si="2"/>
        <v>0.20698924731182794</v>
      </c>
      <c r="O13" s="583">
        <f>K13*KeyChips!N$10</f>
        <v>65625</v>
      </c>
      <c r="P13" s="34" t="s">
        <v>45</v>
      </c>
      <c r="Q13" s="583" t="s">
        <v>45</v>
      </c>
      <c r="R13" s="2">
        <v>16384</v>
      </c>
      <c r="S13" s="2">
        <f>S12</f>
        <v>500</v>
      </c>
      <c r="T13" s="118">
        <f>S13*AF$78</f>
        <v>2000</v>
      </c>
      <c r="U13" s="34" t="str">
        <f>U$12</f>
        <v>200-400</v>
      </c>
      <c r="V13" s="89" t="s">
        <v>45</v>
      </c>
      <c r="W13" s="100">
        <v>96</v>
      </c>
      <c r="X13" s="118">
        <f>2.58*(AC8/AC6)</f>
        <v>2580000</v>
      </c>
      <c r="Y13" s="144" t="s">
        <v>45</v>
      </c>
      <c r="Z13">
        <f>Z12+1</f>
        <v>5</v>
      </c>
      <c r="AB13" s="6"/>
    </row>
    <row r="14" spans="1:33" x14ac:dyDescent="0.35">
      <c r="B14">
        <f t="shared" si="0"/>
        <v>6</v>
      </c>
      <c r="C14" s="23" t="s">
        <v>1270</v>
      </c>
      <c r="D14" s="7">
        <v>2023</v>
      </c>
      <c r="E14" t="s">
        <v>1264</v>
      </c>
      <c r="F14" t="s">
        <v>1157</v>
      </c>
      <c r="G14" s="153" t="s">
        <v>174</v>
      </c>
      <c r="H14" s="148">
        <v>20</v>
      </c>
      <c r="I14" s="2">
        <f t="shared" ref="I14:I23" si="4">H14*H$3</f>
        <v>40</v>
      </c>
      <c r="J14" s="148">
        <f>KeyChips!K$11</f>
        <v>1555</v>
      </c>
      <c r="K14" s="2">
        <f>I14/KeyChips!J$11</f>
        <v>1</v>
      </c>
      <c r="L14" s="118">
        <f>K14*KeyChips!U$11</f>
        <v>312</v>
      </c>
      <c r="M14" s="2">
        <f>K14*KeyChips!R$11*M$3</f>
        <v>483.11688311688317</v>
      </c>
      <c r="N14" s="151">
        <f t="shared" si="2"/>
        <v>0.64580645161290318</v>
      </c>
      <c r="O14" s="583">
        <f>K14*KeyChips!N$11</f>
        <v>6000</v>
      </c>
      <c r="P14" s="34" t="s">
        <v>45</v>
      </c>
      <c r="Q14" s="583" t="s">
        <v>45</v>
      </c>
      <c r="R14" s="34" t="s">
        <v>45</v>
      </c>
      <c r="S14" s="34" t="s">
        <v>45</v>
      </c>
      <c r="T14" s="118" t="s">
        <v>45</v>
      </c>
      <c r="U14" s="34" t="str">
        <f>U$12</f>
        <v>200-400</v>
      </c>
      <c r="V14" s="89" t="s">
        <v>45</v>
      </c>
      <c r="W14" s="100" t="s">
        <v>45</v>
      </c>
      <c r="X14" s="118" t="s">
        <v>45</v>
      </c>
      <c r="Y14" s="144" t="s">
        <v>45</v>
      </c>
      <c r="Z14">
        <f t="shared" ref="Z14:Z74" si="5">Z13+1</f>
        <v>6</v>
      </c>
      <c r="AB14" s="76">
        <f>H14/H13</f>
        <v>0.11428571428571428</v>
      </c>
      <c r="AC14" t="s">
        <v>1284</v>
      </c>
    </row>
    <row r="15" spans="1:33" x14ac:dyDescent="0.35">
      <c r="B15">
        <f t="shared" si="0"/>
        <v>7</v>
      </c>
      <c r="C15" s="23" t="s">
        <v>1274</v>
      </c>
      <c r="D15" s="7" t="s">
        <v>1225</v>
      </c>
      <c r="E15" t="s">
        <v>1159</v>
      </c>
      <c r="F15" t="s">
        <v>1289</v>
      </c>
      <c r="G15" s="37" t="s">
        <v>173</v>
      </c>
      <c r="H15" s="148">
        <v>1800</v>
      </c>
      <c r="I15" s="2">
        <f>AI_Supercomputers!M36</f>
        <v>5120</v>
      </c>
      <c r="J15" s="148">
        <f>KeyChips!K$11</f>
        <v>1555</v>
      </c>
      <c r="K15" s="2">
        <v>128</v>
      </c>
      <c r="L15" s="148">
        <f>K15*KeyChips!U11</f>
        <v>39936</v>
      </c>
      <c r="M15" s="2">
        <f>K15*KeyChips!R11*M$3</f>
        <v>61838.961038961046</v>
      </c>
      <c r="N15" s="151">
        <f t="shared" si="2"/>
        <v>0.64580645161290318</v>
      </c>
      <c r="O15" s="583">
        <f>K15*KeyChips!N$11</f>
        <v>768000</v>
      </c>
      <c r="P15" s="34">
        <v>25000</v>
      </c>
      <c r="Q15" s="583">
        <f>P15*KeyChips!N$11/AC$2</f>
        <v>150</v>
      </c>
      <c r="R15" s="2">
        <v>32768</v>
      </c>
      <c r="S15" s="34">
        <v>13000</v>
      </c>
      <c r="T15" s="118">
        <f>S15*AF$78</f>
        <v>52000</v>
      </c>
      <c r="U15" s="34" t="s">
        <v>664</v>
      </c>
      <c r="V15" s="2">
        <v>16</v>
      </c>
      <c r="W15" s="24">
        <v>120</v>
      </c>
      <c r="X15" s="148">
        <f>21*(AC8/AC6)</f>
        <v>21000000</v>
      </c>
      <c r="Y15" s="51">
        <v>63</v>
      </c>
      <c r="Z15">
        <f t="shared" si="5"/>
        <v>7</v>
      </c>
      <c r="AB15" s="6">
        <f>H15/H12</f>
        <v>10.285714285714286</v>
      </c>
      <c r="AC15" t="s">
        <v>1295</v>
      </c>
      <c r="AD15" s="2">
        <f>H15/H10</f>
        <v>15384.615384615383</v>
      </c>
      <c r="AE15" t="s">
        <v>508</v>
      </c>
      <c r="AF15" t="s">
        <v>107</v>
      </c>
      <c r="AG15" s="15" t="s">
        <v>180</v>
      </c>
    </row>
    <row r="16" spans="1:33" x14ac:dyDescent="0.35">
      <c r="B16">
        <f t="shared" si="0"/>
        <v>8</v>
      </c>
      <c r="C16" s="23" t="s">
        <v>1271</v>
      </c>
      <c r="D16" s="7" t="s">
        <v>830</v>
      </c>
      <c r="E16" t="s">
        <v>1266</v>
      </c>
      <c r="F16" t="s">
        <v>1157</v>
      </c>
      <c r="G16" s="37" t="s">
        <v>173</v>
      </c>
      <c r="H16" s="118">
        <f>H15*(H$14/H$13)</f>
        <v>205.71428571428569</v>
      </c>
      <c r="I16" s="2">
        <f t="shared" si="4"/>
        <v>411.42857142857139</v>
      </c>
      <c r="J16" s="118">
        <f>KeyChips!K$12</f>
        <v>3350</v>
      </c>
      <c r="K16" s="2">
        <f>I16/KeyChips!J$12</f>
        <v>5.1428571428571423</v>
      </c>
      <c r="L16" s="118">
        <f>K16*KeyChips!U$12</f>
        <v>20355.428571428569</v>
      </c>
      <c r="M16" s="2">
        <f>K16*KeyChips!R$12*M$3</f>
        <v>7246.7532467532465</v>
      </c>
      <c r="N16" s="151">
        <f t="shared" si="2"/>
        <v>2.8089032258064512</v>
      </c>
      <c r="O16" s="583">
        <f>K16*KeyChips!N$12</f>
        <v>169714.28571428571</v>
      </c>
      <c r="P16" s="34" t="s">
        <v>45</v>
      </c>
      <c r="Q16" s="583" t="s">
        <v>45</v>
      </c>
      <c r="R16" s="34">
        <v>128000</v>
      </c>
      <c r="S16" s="34" t="s">
        <v>663</v>
      </c>
      <c r="T16" s="118" t="s">
        <v>663</v>
      </c>
      <c r="U16" s="34" t="s">
        <v>664</v>
      </c>
      <c r="V16" s="34" t="s">
        <v>663</v>
      </c>
      <c r="W16" s="34" t="s">
        <v>663</v>
      </c>
      <c r="X16" s="118" t="s">
        <v>45</v>
      </c>
      <c r="Y16" s="144" t="s">
        <v>663</v>
      </c>
      <c r="Z16">
        <f t="shared" si="5"/>
        <v>8</v>
      </c>
      <c r="AB16" s="76">
        <f>H16/H15</f>
        <v>0.11428571428571427</v>
      </c>
      <c r="AC16" t="s">
        <v>1284</v>
      </c>
    </row>
    <row r="17" spans="1:29" x14ac:dyDescent="0.35">
      <c r="B17">
        <f t="shared" si="0"/>
        <v>9</v>
      </c>
      <c r="C17" s="23" t="s">
        <v>1277</v>
      </c>
      <c r="D17" s="7" t="s">
        <v>1258</v>
      </c>
      <c r="E17" t="s">
        <v>1259</v>
      </c>
      <c r="F17" t="s">
        <v>1157</v>
      </c>
      <c r="G17" s="37" t="s">
        <v>173</v>
      </c>
      <c r="H17" s="118">
        <f>H16</f>
        <v>205.71428571428569</v>
      </c>
      <c r="I17" s="2">
        <f t="shared" si="4"/>
        <v>411.42857142857139</v>
      </c>
      <c r="J17" s="118">
        <f>KeyChips!K$12</f>
        <v>3350</v>
      </c>
      <c r="K17" s="2">
        <f>I17/KeyChips!J$12</f>
        <v>5.1428571428571423</v>
      </c>
      <c r="L17" s="118">
        <f>K17*KeyChips!U$12</f>
        <v>20355.428571428569</v>
      </c>
      <c r="M17" s="2">
        <f>K17*KeyChips!R$12*M$3</f>
        <v>7246.7532467532465</v>
      </c>
      <c r="N17" s="151">
        <f t="shared" si="2"/>
        <v>2.8089032258064512</v>
      </c>
      <c r="O17" s="583">
        <f>K17*KeyChips!N$12</f>
        <v>169714.28571428571</v>
      </c>
      <c r="P17" s="34" t="s">
        <v>45</v>
      </c>
      <c r="Q17" s="583" t="s">
        <v>45</v>
      </c>
      <c r="R17" s="34">
        <f>R16</f>
        <v>128000</v>
      </c>
      <c r="S17" s="34" t="s">
        <v>663</v>
      </c>
      <c r="T17" s="118" t="s">
        <v>663</v>
      </c>
      <c r="U17" s="34" t="s">
        <v>664</v>
      </c>
      <c r="V17" s="34" t="s">
        <v>663</v>
      </c>
      <c r="W17" s="34" t="s">
        <v>663</v>
      </c>
      <c r="X17" s="118" t="s">
        <v>45</v>
      </c>
      <c r="Y17" s="144" t="s">
        <v>663</v>
      </c>
      <c r="Z17">
        <f t="shared" si="5"/>
        <v>9</v>
      </c>
    </row>
    <row r="18" spans="1:29" x14ac:dyDescent="0.35">
      <c r="A18" s="126"/>
      <c r="B18">
        <f t="shared" si="0"/>
        <v>10</v>
      </c>
      <c r="C18" s="23" t="s">
        <v>1285</v>
      </c>
      <c r="D18" s="129" t="s">
        <v>1281</v>
      </c>
      <c r="E18" t="s">
        <v>1288</v>
      </c>
      <c r="F18" s="37" t="s">
        <v>1268</v>
      </c>
      <c r="G18" s="37" t="s">
        <v>1268</v>
      </c>
      <c r="H18" s="118">
        <f>H15*10</f>
        <v>18000</v>
      </c>
      <c r="I18" s="2">
        <f t="shared" si="4"/>
        <v>36000</v>
      </c>
      <c r="J18" s="118">
        <f>KeyChips!K$14</f>
        <v>8000</v>
      </c>
      <c r="K18" s="2">
        <f>I18/KeyChips!J$14</f>
        <v>187.5</v>
      </c>
      <c r="L18" s="118">
        <f>K18*KeyChips!V$14</f>
        <v>3375000</v>
      </c>
      <c r="M18" s="2">
        <f>K18*KeyChips!R$14*M$3</f>
        <v>377435.06493506493</v>
      </c>
      <c r="N18" s="151">
        <f t="shared" si="2"/>
        <v>8.9419354838709673</v>
      </c>
      <c r="O18" s="583">
        <f>K18*KeyChips!N$14</f>
        <v>6093750</v>
      </c>
      <c r="P18" s="34">
        <v>100000</v>
      </c>
      <c r="Q18" s="583">
        <f>P18*KeyChips!N$14/AC$2</f>
        <v>3250</v>
      </c>
      <c r="R18" s="34">
        <v>1000000</v>
      </c>
      <c r="S18" s="34" t="s">
        <v>663</v>
      </c>
      <c r="T18" s="118" t="s">
        <v>663</v>
      </c>
      <c r="U18" s="34" t="s">
        <v>1305</v>
      </c>
      <c r="V18" s="34">
        <v>160</v>
      </c>
      <c r="W18" s="34" t="s">
        <v>663</v>
      </c>
      <c r="X18" s="118">
        <f>X15*10</f>
        <v>210000000</v>
      </c>
      <c r="Y18" s="144">
        <v>200</v>
      </c>
      <c r="Z18">
        <f t="shared" si="5"/>
        <v>10</v>
      </c>
      <c r="AB18" s="126">
        <f>H18/H15</f>
        <v>10</v>
      </c>
      <c r="AC18" t="s">
        <v>1295</v>
      </c>
    </row>
    <row r="19" spans="1:29" x14ac:dyDescent="0.35">
      <c r="A19" s="126"/>
      <c r="B19">
        <f t="shared" si="0"/>
        <v>11</v>
      </c>
      <c r="C19" s="23" t="s">
        <v>1320</v>
      </c>
      <c r="D19" s="129" t="s">
        <v>1283</v>
      </c>
      <c r="E19" t="s">
        <v>1287</v>
      </c>
      <c r="F19" s="37" t="s">
        <v>1157</v>
      </c>
      <c r="G19" s="37" t="s">
        <v>173</v>
      </c>
      <c r="H19" s="118">
        <f>H18*(H$14/H$13)</f>
        <v>2057.1428571428569</v>
      </c>
      <c r="I19" s="2">
        <f t="shared" si="4"/>
        <v>4114.2857142857138</v>
      </c>
      <c r="J19" s="118">
        <f>KeyChips!K$14</f>
        <v>8000</v>
      </c>
      <c r="K19" s="2">
        <f>I19/KeyChips!J$14</f>
        <v>21.428571428571427</v>
      </c>
      <c r="L19" s="118">
        <f>K19*KeyChips!V$14</f>
        <v>385714.28571428568</v>
      </c>
      <c r="M19" s="2">
        <f>K19*KeyChips!R$14*M$3</f>
        <v>43135.435992578852</v>
      </c>
      <c r="N19" s="151">
        <f t="shared" si="2"/>
        <v>8.9419354838709673</v>
      </c>
      <c r="O19" s="583">
        <f>K19*KeyChips!N$14</f>
        <v>696428.57142857136</v>
      </c>
      <c r="P19" s="34" t="s">
        <v>45</v>
      </c>
      <c r="Q19" s="583" t="s">
        <v>45</v>
      </c>
      <c r="R19" s="34">
        <v>1000000</v>
      </c>
      <c r="S19" s="34" t="s">
        <v>663</v>
      </c>
      <c r="T19" s="118" t="s">
        <v>663</v>
      </c>
      <c r="U19" s="34" t="s">
        <v>1305</v>
      </c>
      <c r="V19" s="34">
        <v>160</v>
      </c>
      <c r="W19" s="34" t="s">
        <v>663</v>
      </c>
      <c r="X19" s="118" t="s">
        <v>45</v>
      </c>
      <c r="Y19" s="144" t="s">
        <v>663</v>
      </c>
      <c r="Z19">
        <f t="shared" si="5"/>
        <v>11</v>
      </c>
      <c r="AB19" s="173">
        <f>H19/H18</f>
        <v>0.11428571428571427</v>
      </c>
      <c r="AC19" t="s">
        <v>1284</v>
      </c>
    </row>
    <row r="20" spans="1:29" x14ac:dyDescent="0.35">
      <c r="A20" s="126"/>
      <c r="B20">
        <f t="shared" si="0"/>
        <v>12</v>
      </c>
      <c r="C20" s="23" t="s">
        <v>1339</v>
      </c>
      <c r="D20" s="129" t="s">
        <v>1282</v>
      </c>
      <c r="E20" t="s">
        <v>1279</v>
      </c>
      <c r="F20" t="s">
        <v>1157</v>
      </c>
      <c r="G20" s="37" t="s">
        <v>1269</v>
      </c>
      <c r="H20" s="118">
        <f>H19</f>
        <v>2057.1428571428569</v>
      </c>
      <c r="I20" s="2">
        <f t="shared" si="4"/>
        <v>4114.2857142857138</v>
      </c>
      <c r="J20" s="118">
        <f>KeyChips!K$14</f>
        <v>8000</v>
      </c>
      <c r="K20" s="2">
        <f>I20/KeyChips!J$14</f>
        <v>21.428571428571427</v>
      </c>
      <c r="L20" s="118">
        <f>K20*KeyChips!V$14</f>
        <v>385714.28571428568</v>
      </c>
      <c r="M20" s="2">
        <f>K20*KeyChips!R$14*M$3</f>
        <v>43135.435992578852</v>
      </c>
      <c r="N20" s="151">
        <f t="shared" si="2"/>
        <v>8.9419354838709673</v>
      </c>
      <c r="O20" s="583">
        <f>K20*KeyChips!N$14</f>
        <v>696428.57142857136</v>
      </c>
      <c r="P20" s="34" t="s">
        <v>45</v>
      </c>
      <c r="Q20" s="583" t="s">
        <v>45</v>
      </c>
      <c r="R20" s="34">
        <v>1000000</v>
      </c>
      <c r="S20" s="34" t="s">
        <v>663</v>
      </c>
      <c r="T20" s="118" t="s">
        <v>663</v>
      </c>
      <c r="U20" s="34" t="s">
        <v>1305</v>
      </c>
      <c r="V20" s="34">
        <v>160</v>
      </c>
      <c r="W20" s="34" t="s">
        <v>663</v>
      </c>
      <c r="X20" s="118" t="s">
        <v>45</v>
      </c>
      <c r="Y20" s="144" t="s">
        <v>663</v>
      </c>
      <c r="Z20">
        <f t="shared" si="5"/>
        <v>12</v>
      </c>
      <c r="AB20" s="126"/>
    </row>
    <row r="21" spans="1:29" x14ac:dyDescent="0.35">
      <c r="A21" s="126"/>
      <c r="B21">
        <f t="shared" si="0"/>
        <v>13</v>
      </c>
      <c r="C21" s="23" t="s">
        <v>1286</v>
      </c>
      <c r="D21" s="129" t="s">
        <v>1291</v>
      </c>
      <c r="E21" t="s">
        <v>1294</v>
      </c>
      <c r="F21" s="37" t="s">
        <v>1268</v>
      </c>
      <c r="G21" s="37" t="s">
        <v>1268</v>
      </c>
      <c r="H21" s="118">
        <f>H18*10</f>
        <v>180000</v>
      </c>
      <c r="I21" s="2">
        <f t="shared" si="4"/>
        <v>360000</v>
      </c>
      <c r="J21" s="118">
        <f>KeyChips!K$14</f>
        <v>8000</v>
      </c>
      <c r="K21" s="2">
        <f>I21/KeyChips!J$14</f>
        <v>1875</v>
      </c>
      <c r="L21" s="118">
        <f>K21*KeyChips!V$14</f>
        <v>33750000</v>
      </c>
      <c r="M21" s="2">
        <f>K21*KeyChips!R$14*M$3</f>
        <v>3774350.6493506497</v>
      </c>
      <c r="N21" s="151">
        <f t="shared" si="2"/>
        <v>8.9419354838709673</v>
      </c>
      <c r="O21" s="583">
        <f>K21*KeyChips!N$14</f>
        <v>60937500</v>
      </c>
      <c r="P21" s="34">
        <v>500000</v>
      </c>
      <c r="Q21" s="583">
        <f>P21*KeyChips!N$14/AC$2</f>
        <v>16250</v>
      </c>
      <c r="R21" s="34">
        <v>10000000</v>
      </c>
      <c r="S21" s="34" t="s">
        <v>663</v>
      </c>
      <c r="T21" s="118" t="s">
        <v>663</v>
      </c>
      <c r="U21" s="34" t="s">
        <v>1306</v>
      </c>
      <c r="V21" s="34" t="s">
        <v>381</v>
      </c>
      <c r="W21" s="34" t="s">
        <v>663</v>
      </c>
      <c r="X21" s="118">
        <f>X15*100</f>
        <v>2100000000</v>
      </c>
      <c r="Y21" s="144">
        <v>800</v>
      </c>
      <c r="Z21">
        <f t="shared" si="5"/>
        <v>13</v>
      </c>
      <c r="AB21" s="126"/>
    </row>
    <row r="22" spans="1:29" x14ac:dyDescent="0.35">
      <c r="A22" s="126"/>
      <c r="B22">
        <f t="shared" si="0"/>
        <v>14</v>
      </c>
      <c r="C22" s="23" t="s">
        <v>1321</v>
      </c>
      <c r="D22" s="129" t="s">
        <v>1292</v>
      </c>
      <c r="E22" t="s">
        <v>1288</v>
      </c>
      <c r="F22" s="37" t="s">
        <v>1157</v>
      </c>
      <c r="G22" s="37" t="s">
        <v>173</v>
      </c>
      <c r="H22" s="118">
        <f>H21*(H$14/H$13)</f>
        <v>20571.428571428572</v>
      </c>
      <c r="I22" s="2">
        <f t="shared" si="4"/>
        <v>41142.857142857145</v>
      </c>
      <c r="J22" s="118">
        <f>KeyChips!K$14</f>
        <v>8000</v>
      </c>
      <c r="K22" s="2">
        <f>I22/KeyChips!J$14</f>
        <v>214.28571428571431</v>
      </c>
      <c r="L22" s="118">
        <f>K22*KeyChips!V$14</f>
        <v>3857142.8571428573</v>
      </c>
      <c r="M22" s="2">
        <f>K22*KeyChips!R$14*M$3</f>
        <v>431354.35992578859</v>
      </c>
      <c r="N22" s="151">
        <f t="shared" si="2"/>
        <v>8.9419354838709655</v>
      </c>
      <c r="O22" s="583">
        <f>K22*KeyChips!N$14</f>
        <v>6964285.7142857146</v>
      </c>
      <c r="P22" s="34" t="s">
        <v>45</v>
      </c>
      <c r="Q22" s="583" t="s">
        <v>45</v>
      </c>
      <c r="R22" s="34">
        <v>10000000</v>
      </c>
      <c r="S22" s="34" t="s">
        <v>663</v>
      </c>
      <c r="T22" s="118" t="s">
        <v>663</v>
      </c>
      <c r="U22" s="34" t="s">
        <v>1306</v>
      </c>
      <c r="V22" s="34" t="s">
        <v>381</v>
      </c>
      <c r="W22" s="34" t="s">
        <v>663</v>
      </c>
      <c r="X22" s="118" t="s">
        <v>45</v>
      </c>
      <c r="Y22" s="144" t="s">
        <v>663</v>
      </c>
      <c r="Z22">
        <f t="shared" si="5"/>
        <v>14</v>
      </c>
      <c r="AB22" s="126"/>
    </row>
    <row r="23" spans="1:29" x14ac:dyDescent="0.35">
      <c r="A23" s="126"/>
      <c r="B23">
        <f t="shared" si="0"/>
        <v>15</v>
      </c>
      <c r="C23" s="23" t="s">
        <v>1340</v>
      </c>
      <c r="D23" s="129" t="s">
        <v>1293</v>
      </c>
      <c r="E23" t="s">
        <v>1279</v>
      </c>
      <c r="F23" t="s">
        <v>1157</v>
      </c>
      <c r="G23" s="37" t="s">
        <v>1290</v>
      </c>
      <c r="H23" s="118">
        <f>H22</f>
        <v>20571.428571428572</v>
      </c>
      <c r="I23" s="2">
        <f t="shared" si="4"/>
        <v>41142.857142857145</v>
      </c>
      <c r="J23" s="118">
        <f>KeyChips!K$14</f>
        <v>8000</v>
      </c>
      <c r="K23" s="2">
        <f>I23/KeyChips!J$14</f>
        <v>214.28571428571431</v>
      </c>
      <c r="L23" s="118">
        <f>K23*KeyChips!V$14</f>
        <v>3857142.8571428573</v>
      </c>
      <c r="M23" s="2">
        <f>K23*KeyChips!R$14*M$3</f>
        <v>431354.35992578859</v>
      </c>
      <c r="N23" s="151">
        <f t="shared" si="2"/>
        <v>8.9419354838709655</v>
      </c>
      <c r="O23" s="583">
        <f>K23*KeyChips!N$14</f>
        <v>6964285.7142857146</v>
      </c>
      <c r="P23" s="34" t="s">
        <v>45</v>
      </c>
      <c r="Q23" s="583" t="s">
        <v>45</v>
      </c>
      <c r="R23" s="34">
        <v>10000000</v>
      </c>
      <c r="S23" s="34" t="s">
        <v>663</v>
      </c>
      <c r="T23" s="118" t="s">
        <v>663</v>
      </c>
      <c r="U23" s="34" t="s">
        <v>1306</v>
      </c>
      <c r="V23" s="34" t="s">
        <v>381</v>
      </c>
      <c r="W23" s="34" t="s">
        <v>663</v>
      </c>
      <c r="X23" s="118" t="s">
        <v>45</v>
      </c>
      <c r="Y23" s="144" t="s">
        <v>663</v>
      </c>
      <c r="Z23">
        <f t="shared" si="5"/>
        <v>15</v>
      </c>
      <c r="AB23" s="126"/>
    </row>
    <row r="24" spans="1:29" x14ac:dyDescent="0.35">
      <c r="B24">
        <f t="shared" si="0"/>
        <v>16</v>
      </c>
      <c r="C24" s="23" t="s">
        <v>1176</v>
      </c>
      <c r="D24" s="7">
        <v>2023</v>
      </c>
      <c r="E24" t="s">
        <v>1160</v>
      </c>
      <c r="F24" t="s">
        <v>1162</v>
      </c>
      <c r="G24" s="37" t="s">
        <v>1185</v>
      </c>
      <c r="H24" s="148">
        <f t="shared" ref="H24:M24" si="6">H15</f>
        <v>1800</v>
      </c>
      <c r="I24" s="2">
        <f t="shared" si="6"/>
        <v>5120</v>
      </c>
      <c r="J24" s="148">
        <f t="shared" si="6"/>
        <v>1555</v>
      </c>
      <c r="K24" s="2">
        <f t="shared" si="6"/>
        <v>128</v>
      </c>
      <c r="L24" s="148">
        <f t="shared" si="6"/>
        <v>39936</v>
      </c>
      <c r="M24" s="2">
        <f t="shared" si="6"/>
        <v>61838.961038961046</v>
      </c>
      <c r="N24" s="151">
        <f t="shared" si="2"/>
        <v>0.64580645161290318</v>
      </c>
      <c r="O24" s="583">
        <f>K24*KeyChips!N$11</f>
        <v>768000</v>
      </c>
      <c r="P24" s="34" t="s">
        <v>45</v>
      </c>
      <c r="Q24" s="583" t="s">
        <v>45</v>
      </c>
      <c r="R24" s="2">
        <f>R15</f>
        <v>32768</v>
      </c>
      <c r="S24" s="2">
        <f>S15</f>
        <v>13000</v>
      </c>
      <c r="T24" s="118">
        <f>S24*AF$78</f>
        <v>52000</v>
      </c>
      <c r="U24" s="34" t="str">
        <f>U15</f>
        <v>1000-2000?</v>
      </c>
      <c r="V24" s="2">
        <f>V15</f>
        <v>16</v>
      </c>
      <c r="W24" s="2">
        <f>W15</f>
        <v>120</v>
      </c>
      <c r="X24" s="118" t="s">
        <v>45</v>
      </c>
      <c r="Y24" s="51">
        <f>Y15</f>
        <v>63</v>
      </c>
      <c r="Z24">
        <f t="shared" si="5"/>
        <v>16</v>
      </c>
    </row>
    <row r="25" spans="1:29" x14ac:dyDescent="0.35">
      <c r="B25">
        <f t="shared" si="0"/>
        <v>17</v>
      </c>
      <c r="C25" s="23" t="s">
        <v>1177</v>
      </c>
      <c r="D25" s="7">
        <v>2023</v>
      </c>
      <c r="E25" t="s">
        <v>1158</v>
      </c>
      <c r="F25" t="s">
        <v>1157</v>
      </c>
      <c r="G25" s="37" t="s">
        <v>174</v>
      </c>
      <c r="H25" s="148">
        <v>52</v>
      </c>
      <c r="I25" s="2">
        <f t="shared" ref="I25:I35" si="7">H25*H$3</f>
        <v>104</v>
      </c>
      <c r="J25" s="118">
        <f>KeyChips!K11</f>
        <v>1555</v>
      </c>
      <c r="K25" s="2">
        <f>I25/KeyChips!J$11</f>
        <v>2.6</v>
      </c>
      <c r="L25" s="118">
        <f>K25*KeyChips!U$11</f>
        <v>811.2</v>
      </c>
      <c r="M25" s="2">
        <f>K25*KeyChips!R$11*M$3</f>
        <v>1256.1038961038962</v>
      </c>
      <c r="N25" s="151">
        <f t="shared" si="2"/>
        <v>0.64580645161290318</v>
      </c>
      <c r="O25" s="583">
        <f>K25*KeyChips!N$11</f>
        <v>15600</v>
      </c>
      <c r="P25" s="34" t="s">
        <v>45</v>
      </c>
      <c r="Q25" s="583" t="s">
        <v>45</v>
      </c>
      <c r="R25" s="2">
        <v>100000</v>
      </c>
      <c r="S25" s="34" t="s">
        <v>45</v>
      </c>
      <c r="T25" s="118" t="s">
        <v>45</v>
      </c>
      <c r="U25" s="34" t="str">
        <f>U12</f>
        <v>200-400</v>
      </c>
      <c r="V25" s="34" t="s">
        <v>45</v>
      </c>
      <c r="W25" s="34" t="s">
        <v>45</v>
      </c>
      <c r="X25" s="118" t="s">
        <v>45</v>
      </c>
      <c r="Y25" s="144" t="s">
        <v>45</v>
      </c>
      <c r="Z25">
        <f t="shared" si="5"/>
        <v>17</v>
      </c>
    </row>
    <row r="26" spans="1:29" x14ac:dyDescent="0.35">
      <c r="B26">
        <f t="shared" si="0"/>
        <v>18</v>
      </c>
      <c r="C26" s="23" t="s">
        <v>880</v>
      </c>
      <c r="D26" s="246" t="s">
        <v>813</v>
      </c>
      <c r="E26" t="s">
        <v>1161</v>
      </c>
      <c r="F26" t="s">
        <v>1157</v>
      </c>
      <c r="G26" s="37" t="s">
        <v>173</v>
      </c>
      <c r="H26" s="148">
        <v>2000</v>
      </c>
      <c r="I26" s="2">
        <f t="shared" si="7"/>
        <v>4000</v>
      </c>
      <c r="J26" s="118">
        <f>KeyChips!K$12</f>
        <v>3350</v>
      </c>
      <c r="K26" s="2">
        <f>I26/KeyChips!J$12</f>
        <v>50</v>
      </c>
      <c r="L26" s="118">
        <f>K26*KeyChips!U$12</f>
        <v>197900</v>
      </c>
      <c r="M26" s="2">
        <f>K26*KeyChips!R$12*M$3</f>
        <v>70454.545454545456</v>
      </c>
      <c r="N26" s="151">
        <f t="shared" si="2"/>
        <v>2.8089032258064517</v>
      </c>
      <c r="O26" s="583">
        <f>K26*KeyChips!N$12</f>
        <v>1650000</v>
      </c>
      <c r="P26" s="34" t="s">
        <v>45</v>
      </c>
      <c r="Q26" s="583" t="s">
        <v>45</v>
      </c>
      <c r="R26" s="2">
        <v>200000</v>
      </c>
      <c r="S26" s="34">
        <v>40000</v>
      </c>
      <c r="T26" s="118">
        <f>S26*AF$78</f>
        <v>160000</v>
      </c>
      <c r="U26" s="34" t="s">
        <v>45</v>
      </c>
      <c r="V26" s="34" t="s">
        <v>45</v>
      </c>
      <c r="W26" s="34" t="s">
        <v>45</v>
      </c>
      <c r="X26" s="118" t="s">
        <v>45</v>
      </c>
      <c r="Y26" s="144" t="s">
        <v>45</v>
      </c>
      <c r="Z26">
        <f t="shared" si="5"/>
        <v>18</v>
      </c>
    </row>
    <row r="27" spans="1:29" x14ac:dyDescent="0.35">
      <c r="B27">
        <f t="shared" si="0"/>
        <v>19</v>
      </c>
      <c r="C27" s="23" t="s">
        <v>493</v>
      </c>
      <c r="D27" s="7">
        <v>2023</v>
      </c>
      <c r="E27" t="s">
        <v>1158</v>
      </c>
      <c r="F27" t="s">
        <v>1157</v>
      </c>
      <c r="G27" s="37" t="s">
        <v>174</v>
      </c>
      <c r="H27" s="148">
        <v>137</v>
      </c>
      <c r="I27" s="2">
        <f t="shared" si="7"/>
        <v>274</v>
      </c>
      <c r="J27" s="118">
        <f>KeyChips!K$11</f>
        <v>1555</v>
      </c>
      <c r="K27" s="2">
        <f>I27/KeyChips!J$11</f>
        <v>6.85</v>
      </c>
      <c r="L27" s="118">
        <f>K27*KeyChips!U$11</f>
        <v>2137.1999999999998</v>
      </c>
      <c r="M27" s="2">
        <f>K27*KeyChips!R$11*M$3</f>
        <v>3309.3506493506497</v>
      </c>
      <c r="N27" s="151">
        <f t="shared" si="2"/>
        <v>0.64580645161290307</v>
      </c>
      <c r="O27" s="583">
        <f>K27*KeyChips!N$11</f>
        <v>41100</v>
      </c>
      <c r="P27" s="34" t="s">
        <v>45</v>
      </c>
      <c r="Q27" s="583" t="s">
        <v>45</v>
      </c>
      <c r="R27" s="34" t="s">
        <v>45</v>
      </c>
      <c r="S27" s="2">
        <v>1560</v>
      </c>
      <c r="T27" s="118">
        <f>S27*AF$78</f>
        <v>6240</v>
      </c>
      <c r="U27" s="34" t="str">
        <f>U12</f>
        <v>200-400</v>
      </c>
      <c r="V27" s="34" t="s">
        <v>45</v>
      </c>
      <c r="W27" s="24">
        <v>64</v>
      </c>
      <c r="X27" s="118" t="s">
        <v>45</v>
      </c>
      <c r="Y27" s="144" t="s">
        <v>45</v>
      </c>
      <c r="Z27">
        <f t="shared" si="5"/>
        <v>19</v>
      </c>
    </row>
    <row r="28" spans="1:29" x14ac:dyDescent="0.35">
      <c r="B28">
        <f t="shared" si="0"/>
        <v>20</v>
      </c>
      <c r="C28" s="23" t="s">
        <v>1640</v>
      </c>
      <c r="D28" s="7">
        <v>2022</v>
      </c>
      <c r="E28" t="s">
        <v>1180</v>
      </c>
      <c r="F28" t="s">
        <v>1163</v>
      </c>
      <c r="G28" s="37" t="s">
        <v>45</v>
      </c>
      <c r="H28" s="148">
        <v>540</v>
      </c>
      <c r="I28" s="2">
        <f t="shared" si="7"/>
        <v>1080</v>
      </c>
      <c r="J28" s="118">
        <f>KeyChips!K$21</f>
        <v>614</v>
      </c>
      <c r="K28" s="2">
        <f>I28/KeyChips!J$21</f>
        <v>135</v>
      </c>
      <c r="L28" s="118">
        <f>K28*KeyChips!U$21</f>
        <v>18630</v>
      </c>
      <c r="M28" s="2">
        <f>K28*KeyChips!R$21*M$3</f>
        <v>47556.818181818184</v>
      </c>
      <c r="N28" s="151">
        <f t="shared" si="2"/>
        <v>0.39174193548387093</v>
      </c>
      <c r="O28" s="583" t="s">
        <v>45</v>
      </c>
      <c r="P28" s="34" t="s">
        <v>45</v>
      </c>
      <c r="Q28" s="583" t="s">
        <v>45</v>
      </c>
      <c r="R28" s="34" t="s">
        <v>45</v>
      </c>
      <c r="S28" s="2">
        <v>3600</v>
      </c>
      <c r="T28" s="118">
        <f>S28*AF$78</f>
        <v>14400</v>
      </c>
      <c r="U28" s="34">
        <v>207</v>
      </c>
      <c r="V28" s="34" t="s">
        <v>45</v>
      </c>
      <c r="W28" s="100" t="s">
        <v>45</v>
      </c>
      <c r="X28" s="118">
        <f>2.56*(AC8/AC6)</f>
        <v>2560000</v>
      </c>
      <c r="Y28" s="144">
        <v>15</v>
      </c>
      <c r="Z28">
        <f t="shared" si="5"/>
        <v>20</v>
      </c>
    </row>
    <row r="29" spans="1:29" x14ac:dyDescent="0.35">
      <c r="B29">
        <f t="shared" si="0"/>
        <v>21</v>
      </c>
      <c r="C29" s="23" t="s">
        <v>883</v>
      </c>
      <c r="D29" s="7" t="s">
        <v>882</v>
      </c>
      <c r="E29" t="s">
        <v>1180</v>
      </c>
      <c r="F29" t="s">
        <v>1157</v>
      </c>
      <c r="G29" s="37" t="s">
        <v>220</v>
      </c>
      <c r="H29" s="148">
        <v>180</v>
      </c>
      <c r="I29" s="2">
        <f t="shared" si="7"/>
        <v>360</v>
      </c>
      <c r="J29" s="118">
        <f>KeyChips!K$21</f>
        <v>614</v>
      </c>
      <c r="K29" s="2">
        <f>I29/KeyChips!J$21</f>
        <v>45</v>
      </c>
      <c r="L29" s="118">
        <f>K29*KeyChips!U$21</f>
        <v>6210</v>
      </c>
      <c r="M29" s="2">
        <f>K29*KeyChips!R$21*M$3</f>
        <v>15852.272727272728</v>
      </c>
      <c r="N29" s="151">
        <f t="shared" si="2"/>
        <v>0.39174193548387093</v>
      </c>
      <c r="O29" s="583" t="s">
        <v>45</v>
      </c>
      <c r="P29" s="34">
        <v>57000</v>
      </c>
      <c r="Q29" s="583">
        <f>P29*KeyChips!N20/AC2</f>
        <v>228</v>
      </c>
      <c r="R29" s="34">
        <v>1000000</v>
      </c>
      <c r="S29" s="2">
        <v>3600</v>
      </c>
      <c r="T29" s="118">
        <f>S29*AF$78</f>
        <v>14400</v>
      </c>
      <c r="U29" s="34" t="s">
        <v>664</v>
      </c>
      <c r="V29" s="235" t="s">
        <v>889</v>
      </c>
      <c r="W29" s="100" t="s">
        <v>45</v>
      </c>
      <c r="X29" s="118" t="s">
        <v>45</v>
      </c>
      <c r="Y29" s="144">
        <v>440</v>
      </c>
      <c r="Z29">
        <f t="shared" si="5"/>
        <v>21</v>
      </c>
    </row>
    <row r="30" spans="1:29" x14ac:dyDescent="0.35">
      <c r="B30">
        <f t="shared" si="0"/>
        <v>22</v>
      </c>
      <c r="C30" s="23" t="s">
        <v>1385</v>
      </c>
      <c r="D30" s="7" t="s">
        <v>834</v>
      </c>
      <c r="E30" t="s">
        <v>1158</v>
      </c>
      <c r="F30" t="s">
        <v>1157</v>
      </c>
      <c r="G30" s="37" t="s">
        <v>174</v>
      </c>
      <c r="H30" s="148">
        <v>65</v>
      </c>
      <c r="I30" s="2">
        <f t="shared" si="7"/>
        <v>130</v>
      </c>
      <c r="J30" s="118">
        <f>KeyChips!K$11</f>
        <v>1555</v>
      </c>
      <c r="K30" s="2">
        <f>I30/KeyChips!J$11</f>
        <v>3.25</v>
      </c>
      <c r="L30" s="118">
        <f>K30*KeyChips!U$11</f>
        <v>1014</v>
      </c>
      <c r="M30" s="2">
        <f>K30*KeyChips!R$11*M$3</f>
        <v>1570.1298701298701</v>
      </c>
      <c r="N30" s="151">
        <f t="shared" si="2"/>
        <v>0.64580645161290318</v>
      </c>
      <c r="O30" s="583">
        <f>K30*KeyChips!N$11</f>
        <v>19500</v>
      </c>
      <c r="P30" s="34">
        <v>2048</v>
      </c>
      <c r="Q30" s="583">
        <f>P30*KeyChips!N$11/AC$2</f>
        <v>12.288</v>
      </c>
      <c r="R30" s="2">
        <v>2000</v>
      </c>
      <c r="S30" s="2">
        <v>1400</v>
      </c>
      <c r="T30" s="148">
        <v>5000</v>
      </c>
      <c r="U30" s="34" t="str">
        <f>U12</f>
        <v>200-400</v>
      </c>
      <c r="V30" s="34" t="s">
        <v>45</v>
      </c>
      <c r="W30" s="34" t="s">
        <v>45</v>
      </c>
      <c r="X30" s="118">
        <f>550*(AC7/AC6)</f>
        <v>550000</v>
      </c>
      <c r="Y30" s="144">
        <v>4</v>
      </c>
      <c r="Z30">
        <f t="shared" si="5"/>
        <v>22</v>
      </c>
    </row>
    <row r="31" spans="1:29" x14ac:dyDescent="0.35">
      <c r="B31">
        <f t="shared" si="0"/>
        <v>23</v>
      </c>
      <c r="C31" s="23" t="s">
        <v>1389</v>
      </c>
      <c r="D31" s="250" t="s">
        <v>704</v>
      </c>
      <c r="E31" t="s">
        <v>1158</v>
      </c>
      <c r="F31" t="s">
        <v>1157</v>
      </c>
      <c r="G31" s="37" t="s">
        <v>174</v>
      </c>
      <c r="H31" s="118">
        <v>70</v>
      </c>
      <c r="I31" s="2">
        <f t="shared" si="7"/>
        <v>140</v>
      </c>
      <c r="J31" s="118">
        <f>KeyChips!K$11</f>
        <v>1555</v>
      </c>
      <c r="K31" s="2">
        <f>I31/KeyChips!J$11</f>
        <v>3.5</v>
      </c>
      <c r="L31" s="118">
        <f>K31*KeyChips!U$11</f>
        <v>1092</v>
      </c>
      <c r="M31" s="2">
        <f>K31*KeyChips!R$11*M$3</f>
        <v>1690.909090909091</v>
      </c>
      <c r="N31" s="151">
        <f t="shared" si="2"/>
        <v>0.64580645161290318</v>
      </c>
      <c r="O31" s="583">
        <f>K31*KeyChips!N$11</f>
        <v>21000</v>
      </c>
      <c r="P31" s="34">
        <v>2048</v>
      </c>
      <c r="Q31" s="583">
        <f>P31*KeyChips!N$11/AC$2</f>
        <v>12.288</v>
      </c>
      <c r="R31" s="34">
        <v>4000</v>
      </c>
      <c r="S31" s="2">
        <v>2000</v>
      </c>
      <c r="T31" s="118">
        <f>S31*AF$78</f>
        <v>8000</v>
      </c>
      <c r="U31" s="34" t="str">
        <f>U12</f>
        <v>200-400</v>
      </c>
      <c r="V31" s="34" t="s">
        <v>45</v>
      </c>
      <c r="W31" s="34" t="s">
        <v>45</v>
      </c>
      <c r="X31" s="118">
        <f>810*(AC7/AC6)</f>
        <v>810000</v>
      </c>
      <c r="Y31" s="51">
        <v>7</v>
      </c>
      <c r="Z31">
        <f t="shared" si="5"/>
        <v>23</v>
      </c>
    </row>
    <row r="32" spans="1:29" x14ac:dyDescent="0.35">
      <c r="B32">
        <f t="shared" si="0"/>
        <v>24</v>
      </c>
      <c r="C32" s="23" t="s">
        <v>1088</v>
      </c>
      <c r="D32" s="7" t="s">
        <v>1089</v>
      </c>
      <c r="E32" t="s">
        <v>724</v>
      </c>
      <c r="F32" t="s">
        <v>1164</v>
      </c>
      <c r="G32" s="37" t="s">
        <v>174</v>
      </c>
      <c r="H32" s="118">
        <v>405</v>
      </c>
      <c r="I32" s="2">
        <f t="shared" si="7"/>
        <v>810</v>
      </c>
      <c r="J32" s="118">
        <f>KeyChips!K$12</f>
        <v>3350</v>
      </c>
      <c r="K32" s="2">
        <f>I32/KeyChips!J$12</f>
        <v>10.125</v>
      </c>
      <c r="L32" s="118">
        <f>K32*KeyChips!U$12</f>
        <v>40074.75</v>
      </c>
      <c r="M32" s="2">
        <f>K32*KeyChips!R$12*M$3</f>
        <v>14267.045454545456</v>
      </c>
      <c r="N32" s="151">
        <f t="shared" si="2"/>
        <v>2.8089032258064512</v>
      </c>
      <c r="O32" s="583">
        <f>K32*KeyChips!N$12</f>
        <v>334125</v>
      </c>
      <c r="P32" s="34">
        <v>24576</v>
      </c>
      <c r="Q32" s="583">
        <f>P32*KeyChips!N$12/AC$2</f>
        <v>811.00800000000004</v>
      </c>
      <c r="R32" s="34">
        <v>128000</v>
      </c>
      <c r="S32" s="2">
        <v>15000</v>
      </c>
      <c r="T32" s="118">
        <f>S32*AF$78</f>
        <v>60000</v>
      </c>
      <c r="U32" s="34" t="s">
        <v>45</v>
      </c>
      <c r="V32" s="34" t="s">
        <v>45</v>
      </c>
      <c r="W32" s="34" t="s">
        <v>45</v>
      </c>
      <c r="X32" s="118">
        <f>38*(AC8/AC6)</f>
        <v>38000000</v>
      </c>
      <c r="Y32" s="144">
        <v>125</v>
      </c>
      <c r="Z32">
        <f t="shared" si="5"/>
        <v>24</v>
      </c>
    </row>
    <row r="33" spans="2:29" x14ac:dyDescent="0.35">
      <c r="B33">
        <f t="shared" si="0"/>
        <v>25</v>
      </c>
      <c r="C33" s="23" t="s">
        <v>1091</v>
      </c>
      <c r="D33" s="7" t="s">
        <v>1089</v>
      </c>
      <c r="E33" t="s">
        <v>724</v>
      </c>
      <c r="F33" t="s">
        <v>1164</v>
      </c>
      <c r="G33" s="37" t="s">
        <v>174</v>
      </c>
      <c r="H33" s="118">
        <v>8</v>
      </c>
      <c r="I33" s="2">
        <f t="shared" si="7"/>
        <v>16</v>
      </c>
      <c r="J33" s="118">
        <f>KeyChips!K$12</f>
        <v>3350</v>
      </c>
      <c r="K33" s="90">
        <f>I33/KeyChips!J$12</f>
        <v>0.2</v>
      </c>
      <c r="L33" s="118">
        <f>K33*KeyChips!U$12</f>
        <v>791.6</v>
      </c>
      <c r="M33" s="2">
        <f>K33*KeyChips!R$12*M$3</f>
        <v>281.81818181818181</v>
      </c>
      <c r="N33" s="151">
        <f t="shared" si="2"/>
        <v>2.8089032258064517</v>
      </c>
      <c r="O33" s="583">
        <f>K33*KeyChips!N$12</f>
        <v>6600</v>
      </c>
      <c r="P33" s="34"/>
      <c r="Q33" s="583"/>
      <c r="R33" s="34">
        <v>128000</v>
      </c>
      <c r="S33" s="2">
        <v>15000</v>
      </c>
      <c r="T33" s="118">
        <f>S33*AF$78</f>
        <v>60000</v>
      </c>
      <c r="U33" s="34" t="s">
        <v>45</v>
      </c>
      <c r="V33" s="34" t="s">
        <v>45</v>
      </c>
      <c r="W33" s="34" t="s">
        <v>45</v>
      </c>
      <c r="X33" s="118" t="s">
        <v>45</v>
      </c>
      <c r="Y33" s="144" t="s">
        <v>45</v>
      </c>
      <c r="Z33">
        <f t="shared" si="5"/>
        <v>25</v>
      </c>
    </row>
    <row r="34" spans="2:29" x14ac:dyDescent="0.35">
      <c r="B34">
        <f t="shared" si="0"/>
        <v>26</v>
      </c>
      <c r="C34" s="23" t="s">
        <v>1181</v>
      </c>
      <c r="D34" s="7">
        <v>2022</v>
      </c>
      <c r="E34" t="s">
        <v>1158</v>
      </c>
      <c r="F34" t="s">
        <v>1157</v>
      </c>
      <c r="G34" s="37" t="s">
        <v>220</v>
      </c>
      <c r="H34" s="118">
        <v>70</v>
      </c>
      <c r="I34" s="2">
        <f t="shared" si="7"/>
        <v>140</v>
      </c>
      <c r="J34" s="118">
        <f>KeyChips!K$11</f>
        <v>1555</v>
      </c>
      <c r="K34" s="2">
        <f>I34/KeyChips!J$11</f>
        <v>3.5</v>
      </c>
      <c r="L34" s="118">
        <f>K34*KeyChips!U$11</f>
        <v>1092</v>
      </c>
      <c r="M34" s="2">
        <f>K34*KeyChips!R$11*M$3</f>
        <v>1690.909090909091</v>
      </c>
      <c r="N34" s="151">
        <f t="shared" si="2"/>
        <v>0.64580645161290318</v>
      </c>
      <c r="O34" s="583">
        <f>K34*KeyChips!N$11</f>
        <v>21000</v>
      </c>
      <c r="P34" s="34"/>
      <c r="Q34" s="583"/>
      <c r="R34" s="34" t="s">
        <v>45</v>
      </c>
      <c r="S34" s="34" t="s">
        <v>45</v>
      </c>
      <c r="T34" s="118" t="s">
        <v>45</v>
      </c>
      <c r="U34" s="34" t="str">
        <f t="shared" ref="U34:U44" si="8">U$12</f>
        <v>200-400</v>
      </c>
      <c r="V34" s="34" t="s">
        <v>45</v>
      </c>
      <c r="W34" s="34" t="s">
        <v>45</v>
      </c>
      <c r="X34" s="118" t="s">
        <v>45</v>
      </c>
      <c r="Y34" s="144" t="s">
        <v>45</v>
      </c>
      <c r="Z34">
        <f t="shared" si="5"/>
        <v>26</v>
      </c>
    </row>
    <row r="35" spans="2:29" x14ac:dyDescent="0.35">
      <c r="B35">
        <f t="shared" si="0"/>
        <v>27</v>
      </c>
      <c r="C35" s="23" t="s">
        <v>802</v>
      </c>
      <c r="D35" s="7">
        <v>2023</v>
      </c>
      <c r="E35" t="s">
        <v>724</v>
      </c>
      <c r="F35" t="s">
        <v>1163</v>
      </c>
      <c r="G35" s="37" t="s">
        <v>725</v>
      </c>
      <c r="H35" s="118">
        <v>314</v>
      </c>
      <c r="I35" s="2">
        <f t="shared" si="7"/>
        <v>628</v>
      </c>
      <c r="J35" s="118">
        <f>KeyChips!K12</f>
        <v>3350</v>
      </c>
      <c r="K35" s="2">
        <f>I35/KeyChips!J$12</f>
        <v>7.85</v>
      </c>
      <c r="L35" s="118">
        <f>K35*KeyChips!U$12</f>
        <v>31070.3</v>
      </c>
      <c r="M35" s="2">
        <f>K35*KeyChips!R$12*M$3</f>
        <v>11061.363636363638</v>
      </c>
      <c r="N35" s="151">
        <f t="shared" si="2"/>
        <v>2.8089032258064512</v>
      </c>
      <c r="O35" s="583">
        <f>K35*KeyChips!N$12</f>
        <v>259050</v>
      </c>
      <c r="P35" s="34"/>
      <c r="Q35" s="583"/>
      <c r="R35" s="34">
        <v>8192</v>
      </c>
      <c r="S35" s="34" t="s">
        <v>45</v>
      </c>
      <c r="T35" s="118" t="s">
        <v>45</v>
      </c>
      <c r="U35" s="34" t="s">
        <v>45</v>
      </c>
      <c r="V35" s="34">
        <v>8</v>
      </c>
      <c r="W35" s="34" t="s">
        <v>45</v>
      </c>
      <c r="X35" s="118" t="s">
        <v>45</v>
      </c>
      <c r="Y35" s="144" t="s">
        <v>45</v>
      </c>
      <c r="Z35">
        <f t="shared" si="5"/>
        <v>27</v>
      </c>
    </row>
    <row r="36" spans="2:29" x14ac:dyDescent="0.35">
      <c r="B36">
        <f t="shared" si="0"/>
        <v>28</v>
      </c>
      <c r="C36" s="23" t="s">
        <v>1393</v>
      </c>
      <c r="D36" s="7" t="s">
        <v>1392</v>
      </c>
      <c r="E36" t="s">
        <v>1394</v>
      </c>
      <c r="F36" t="s">
        <v>1163</v>
      </c>
      <c r="G36" s="37" t="s">
        <v>725</v>
      </c>
      <c r="H36" s="118"/>
      <c r="I36" s="2"/>
      <c r="J36" s="118"/>
      <c r="K36" s="2"/>
      <c r="L36" s="118"/>
      <c r="M36" s="2"/>
      <c r="N36" s="151"/>
      <c r="O36" s="583"/>
      <c r="P36" s="34">
        <v>20000</v>
      </c>
      <c r="Q36" s="583">
        <f>P36*KeyChips!N$12/AC$2</f>
        <v>660</v>
      </c>
      <c r="R36" s="34" t="s">
        <v>45</v>
      </c>
      <c r="S36" s="34" t="s">
        <v>45</v>
      </c>
      <c r="T36" s="118" t="s">
        <v>45</v>
      </c>
      <c r="U36" s="34" t="s">
        <v>45</v>
      </c>
      <c r="V36" s="34" t="s">
        <v>45</v>
      </c>
      <c r="W36" s="34" t="s">
        <v>45</v>
      </c>
      <c r="X36" s="118" t="s">
        <v>45</v>
      </c>
      <c r="Y36" s="144">
        <v>245</v>
      </c>
      <c r="Z36">
        <f t="shared" si="5"/>
        <v>28</v>
      </c>
    </row>
    <row r="37" spans="2:29" x14ac:dyDescent="0.35">
      <c r="B37">
        <f t="shared" si="0"/>
        <v>29</v>
      </c>
      <c r="C37" s="23" t="s">
        <v>1381</v>
      </c>
      <c r="D37" s="7" t="s">
        <v>1382</v>
      </c>
      <c r="E37" t="s">
        <v>1394</v>
      </c>
      <c r="F37" t="s">
        <v>1384</v>
      </c>
      <c r="G37" s="37"/>
      <c r="H37" s="118"/>
      <c r="I37" s="2"/>
      <c r="J37" s="118"/>
      <c r="K37" s="2"/>
      <c r="L37" s="118"/>
      <c r="M37" s="2"/>
      <c r="N37" s="151"/>
      <c r="O37" s="583"/>
      <c r="P37" s="34">
        <f>AI_Supercomputers!I21</f>
        <v>100000</v>
      </c>
      <c r="Q37" s="583">
        <f>AI_Supercomputers!O21</f>
        <v>3300</v>
      </c>
      <c r="R37" s="34" t="s">
        <v>45</v>
      </c>
      <c r="S37" s="34" t="s">
        <v>45</v>
      </c>
      <c r="T37" s="118" t="s">
        <v>45</v>
      </c>
      <c r="U37" s="34" t="s">
        <v>45</v>
      </c>
      <c r="V37" s="34" t="s">
        <v>45</v>
      </c>
      <c r="W37" s="34" t="s">
        <v>45</v>
      </c>
      <c r="X37" s="118" t="s">
        <v>45</v>
      </c>
      <c r="Y37" s="144">
        <v>1200</v>
      </c>
      <c r="Z37">
        <f t="shared" si="5"/>
        <v>29</v>
      </c>
    </row>
    <row r="38" spans="2:29" ht="15" thickBot="1" x14ac:dyDescent="0.4">
      <c r="B38">
        <f t="shared" si="0"/>
        <v>30</v>
      </c>
      <c r="C38" s="23" t="s">
        <v>815</v>
      </c>
      <c r="D38" s="7">
        <v>2024</v>
      </c>
      <c r="E38" t="s">
        <v>724</v>
      </c>
      <c r="F38" t="s">
        <v>1164</v>
      </c>
      <c r="G38" s="37" t="s">
        <v>174</v>
      </c>
      <c r="H38" s="118">
        <v>340</v>
      </c>
      <c r="I38" s="2">
        <f>8*KeyChips!J12</f>
        <v>640</v>
      </c>
      <c r="J38" s="118">
        <f>KeyChips!K12</f>
        <v>3350</v>
      </c>
      <c r="K38" s="2">
        <f>I38/KeyChips!J$12</f>
        <v>8</v>
      </c>
      <c r="L38" s="118">
        <f>K38*KeyChips!U12</f>
        <v>31664</v>
      </c>
      <c r="M38" s="2">
        <f>8*KeyChips!R12*M3</f>
        <v>11272.727272727274</v>
      </c>
      <c r="N38" s="151">
        <f>L38/M38</f>
        <v>2.8089032258064512</v>
      </c>
      <c r="O38" s="583">
        <f>K38*KeyChips!N$12</f>
        <v>264000</v>
      </c>
      <c r="P38" s="34"/>
      <c r="Q38" s="583"/>
      <c r="R38" s="34">
        <v>4000</v>
      </c>
      <c r="S38" s="34">
        <f>8000+1000</f>
        <v>9000</v>
      </c>
      <c r="T38" s="118">
        <f>S38*AF$78</f>
        <v>36000</v>
      </c>
      <c r="U38" s="34" t="s">
        <v>45</v>
      </c>
      <c r="V38" s="34" t="s">
        <v>45</v>
      </c>
      <c r="W38" s="34" t="s">
        <v>45</v>
      </c>
      <c r="X38" s="118">
        <f>18*(AC8/AC6)</f>
        <v>18000000</v>
      </c>
      <c r="Y38" s="144" t="s">
        <v>45</v>
      </c>
      <c r="Z38">
        <f>Z37+1</f>
        <v>30</v>
      </c>
    </row>
    <row r="39" spans="2:29" ht="15" thickTop="1" x14ac:dyDescent="0.35">
      <c r="B39">
        <f t="shared" si="0"/>
        <v>31</v>
      </c>
      <c r="C39" s="702" t="s">
        <v>1046</v>
      </c>
      <c r="D39" s="722"/>
      <c r="E39" s="713"/>
      <c r="F39" s="713"/>
      <c r="G39" s="707"/>
      <c r="H39" s="715"/>
      <c r="I39" s="714"/>
      <c r="J39" s="715"/>
      <c r="K39" s="715"/>
      <c r="L39" s="715"/>
      <c r="M39" s="714"/>
      <c r="N39" s="726"/>
      <c r="O39" s="723"/>
      <c r="P39" s="715"/>
      <c r="Q39" s="723"/>
      <c r="R39" s="715"/>
      <c r="S39" s="715"/>
      <c r="T39" s="715"/>
      <c r="U39" s="715"/>
      <c r="V39" s="715"/>
      <c r="W39" s="715"/>
      <c r="X39" s="715"/>
      <c r="Y39" s="727"/>
      <c r="Z39">
        <f t="shared" si="5"/>
        <v>31</v>
      </c>
    </row>
    <row r="40" spans="2:29" x14ac:dyDescent="0.35">
      <c r="B40">
        <f t="shared" si="0"/>
        <v>32</v>
      </c>
      <c r="C40" s="23" t="s">
        <v>1631</v>
      </c>
      <c r="D40" s="7">
        <v>2012</v>
      </c>
      <c r="E40" t="s">
        <v>1629</v>
      </c>
      <c r="F40" t="s">
        <v>1157</v>
      </c>
      <c r="G40" s="37" t="s">
        <v>174</v>
      </c>
      <c r="H40" s="697">
        <v>0.06</v>
      </c>
      <c r="I40" s="90">
        <v>6</v>
      </c>
      <c r="J40" s="118" t="s">
        <v>45</v>
      </c>
      <c r="K40" s="34">
        <v>2</v>
      </c>
      <c r="L40" s="118">
        <f>2*1.581</f>
        <v>3.1619999999999999</v>
      </c>
      <c r="M40" s="34" t="s">
        <v>45</v>
      </c>
      <c r="N40" s="34" t="s">
        <v>45</v>
      </c>
      <c r="O40" s="583">
        <f>500*2</f>
        <v>1000</v>
      </c>
      <c r="P40" s="34" t="s">
        <v>45</v>
      </c>
      <c r="Q40" s="34" t="s">
        <v>45</v>
      </c>
      <c r="R40" s="34" t="s">
        <v>45</v>
      </c>
      <c r="S40" s="34" t="s">
        <v>1632</v>
      </c>
      <c r="T40" s="118" t="s">
        <v>45</v>
      </c>
      <c r="U40" s="34" t="s">
        <v>45</v>
      </c>
      <c r="V40" s="34" t="s">
        <v>45</v>
      </c>
      <c r="W40" s="34">
        <v>8</v>
      </c>
      <c r="X40" s="700">
        <f>470*(AC5/AC6)</f>
        <v>0.47000000000000003</v>
      </c>
      <c r="Y40" s="232" t="s">
        <v>45</v>
      </c>
      <c r="Z40">
        <f t="shared" si="5"/>
        <v>32</v>
      </c>
    </row>
    <row r="41" spans="2:29" x14ac:dyDescent="0.35">
      <c r="B41">
        <f t="shared" si="0"/>
        <v>33</v>
      </c>
      <c r="C41" s="23" t="s">
        <v>494</v>
      </c>
      <c r="D41" s="7" t="s">
        <v>703</v>
      </c>
      <c r="E41" t="s">
        <v>1547</v>
      </c>
      <c r="F41" t="s">
        <v>1157</v>
      </c>
      <c r="G41" s="37" t="s">
        <v>499</v>
      </c>
      <c r="H41" s="149">
        <f>0.86+0.123</f>
        <v>0.98299999999999998</v>
      </c>
      <c r="I41" s="90">
        <f>H41*KeyChips!Q$88</f>
        <v>24</v>
      </c>
      <c r="J41" s="118">
        <f>KeyChips!K$51</f>
        <v>256</v>
      </c>
      <c r="K41" s="34">
        <v>1</v>
      </c>
      <c r="L41" s="148">
        <f>KeyChips!T51</f>
        <v>15.6</v>
      </c>
      <c r="M41" s="2">
        <f>KeyChips!R51*M4</f>
        <v>172.5</v>
      </c>
      <c r="N41" s="151">
        <f t="shared" ref="N41:N51" si="9">L41/M41</f>
        <v>9.0434782608695655E-2</v>
      </c>
      <c r="O41" s="583">
        <f>K41*KeyChips!N11</f>
        <v>6000</v>
      </c>
      <c r="P41" s="34">
        <v>256</v>
      </c>
      <c r="Q41" s="666">
        <f>P41*KeyChips!N$11/AC$2</f>
        <v>1.536</v>
      </c>
      <c r="R41" s="34" t="s">
        <v>18</v>
      </c>
      <c r="S41" s="34" t="s">
        <v>685</v>
      </c>
      <c r="T41" s="118">
        <v>345</v>
      </c>
      <c r="U41" s="34" t="str">
        <f t="shared" si="8"/>
        <v>200-400</v>
      </c>
      <c r="V41" s="34" t="s">
        <v>45</v>
      </c>
      <c r="W41" s="34" t="s">
        <v>45</v>
      </c>
      <c r="X41" s="118">
        <f>50*(AC7/AC6)</f>
        <v>50000</v>
      </c>
      <c r="Y41" s="63">
        <v>0.6</v>
      </c>
      <c r="Z41">
        <f t="shared" si="5"/>
        <v>33</v>
      </c>
    </row>
    <row r="42" spans="2:29" x14ac:dyDescent="0.35">
      <c r="B42">
        <f t="shared" si="0"/>
        <v>34</v>
      </c>
      <c r="C42" s="23" t="s">
        <v>1100</v>
      </c>
      <c r="D42" s="7" t="s">
        <v>704</v>
      </c>
      <c r="E42" t="s">
        <v>1547</v>
      </c>
      <c r="F42" t="s">
        <v>1157</v>
      </c>
      <c r="G42" s="37" t="s">
        <v>499</v>
      </c>
      <c r="H42" s="149">
        <v>2.2999999999999998</v>
      </c>
      <c r="I42" s="90">
        <f>H42*KeyChips!Q$88</f>
        <v>56.154628687690746</v>
      </c>
      <c r="J42" s="118">
        <f>KeyChips!K$12</f>
        <v>3350</v>
      </c>
      <c r="K42" s="90">
        <f>I42/KeyChips!J$12</f>
        <v>0.7019328585961343</v>
      </c>
      <c r="L42" s="118">
        <f>K42*KeyChips!U$12</f>
        <v>2778.2502543234996</v>
      </c>
      <c r="M42" s="2">
        <f>K42*KeyChips!R$12*M$3</f>
        <v>989.0872098400074</v>
      </c>
      <c r="N42" s="151">
        <f t="shared" si="9"/>
        <v>2.8089032258064517</v>
      </c>
      <c r="O42" s="583">
        <f>K42*KeyChips!N$12</f>
        <v>23163.784333672433</v>
      </c>
      <c r="P42" s="34">
        <v>4000</v>
      </c>
      <c r="Q42" s="666">
        <f>P42*KeyChips!N$11/AC$2</f>
        <v>24</v>
      </c>
      <c r="R42" s="34" t="s">
        <v>18</v>
      </c>
      <c r="S42" s="34" t="str">
        <f>S41</f>
        <v>2.3B images</v>
      </c>
      <c r="T42" s="118">
        <f>T41</f>
        <v>345</v>
      </c>
      <c r="U42" s="34" t="str">
        <f t="shared" si="8"/>
        <v>200-400</v>
      </c>
      <c r="V42" s="34" t="s">
        <v>45</v>
      </c>
      <c r="W42" s="34" t="s">
        <v>45</v>
      </c>
      <c r="X42" s="118" t="s">
        <v>45</v>
      </c>
      <c r="Y42" s="232" t="s">
        <v>45</v>
      </c>
      <c r="Z42">
        <f t="shared" si="5"/>
        <v>34</v>
      </c>
    </row>
    <row r="43" spans="2:29" x14ac:dyDescent="0.35">
      <c r="B43">
        <f t="shared" si="0"/>
        <v>35</v>
      </c>
      <c r="C43" s="23" t="s">
        <v>1140</v>
      </c>
      <c r="D43" s="7" t="s">
        <v>1141</v>
      </c>
      <c r="E43" t="s">
        <v>1165</v>
      </c>
      <c r="F43" t="s">
        <v>1157</v>
      </c>
      <c r="G43" s="37" t="s">
        <v>1143</v>
      </c>
      <c r="H43" s="149">
        <f>H42</f>
        <v>2.2999999999999998</v>
      </c>
      <c r="I43" s="90">
        <f>H43*KeyChips!Q$88</f>
        <v>56.154628687690746</v>
      </c>
      <c r="J43" s="118">
        <f>KeyChips!K12</f>
        <v>3350</v>
      </c>
      <c r="K43" s="90">
        <f>I43/KeyChips!J$12</f>
        <v>0.7019328585961343</v>
      </c>
      <c r="L43" s="118">
        <f>K43*KeyChips!U$12</f>
        <v>2778.2502543234996</v>
      </c>
      <c r="M43" s="2">
        <f>K43*KeyChips!R$12*M$3</f>
        <v>989.0872098400074</v>
      </c>
      <c r="N43" s="151">
        <f t="shared" si="9"/>
        <v>2.8089032258064517</v>
      </c>
      <c r="O43" s="583">
        <f>K43*KeyChips!N$12</f>
        <v>23163.784333672433</v>
      </c>
      <c r="P43" s="34"/>
      <c r="Q43" s="583"/>
      <c r="R43" s="34" t="s">
        <v>18</v>
      </c>
      <c r="S43" s="34" t="str">
        <f>S42</f>
        <v>2.3B images</v>
      </c>
      <c r="T43" s="118">
        <f>T41</f>
        <v>345</v>
      </c>
      <c r="U43" s="34" t="str">
        <f t="shared" si="8"/>
        <v>200-400</v>
      </c>
      <c r="V43" s="34" t="s">
        <v>45</v>
      </c>
      <c r="W43" s="34" t="s">
        <v>45</v>
      </c>
      <c r="X43" s="118" t="s">
        <v>45</v>
      </c>
      <c r="Y43" s="232" t="s">
        <v>45</v>
      </c>
      <c r="Z43">
        <f t="shared" si="5"/>
        <v>35</v>
      </c>
    </row>
    <row r="44" spans="2:29" ht="15" thickBot="1" x14ac:dyDescent="0.4">
      <c r="B44">
        <f t="shared" si="0"/>
        <v>36</v>
      </c>
      <c r="C44" s="23" t="s">
        <v>492</v>
      </c>
      <c r="D44" s="7">
        <v>2022</v>
      </c>
      <c r="E44" t="s">
        <v>1165</v>
      </c>
      <c r="F44" t="s">
        <v>1157</v>
      </c>
      <c r="G44" s="37" t="s">
        <v>257</v>
      </c>
      <c r="H44" s="149">
        <v>3.5</v>
      </c>
      <c r="I44" s="90">
        <f>H44*KeyChips!Q$88</f>
        <v>85.452695829094608</v>
      </c>
      <c r="J44" s="118">
        <f>KeyChips!K$12</f>
        <v>3350</v>
      </c>
      <c r="K44" s="90">
        <f>I44/KeyChips!J$12</f>
        <v>1.0681586978636826</v>
      </c>
      <c r="L44" s="118">
        <f>K44*KeyChips!U$12</f>
        <v>4227.7721261444558</v>
      </c>
      <c r="M44" s="2">
        <f>K44*KeyChips!R$12*M$3</f>
        <v>1505.1327106260983</v>
      </c>
      <c r="N44" s="151">
        <f t="shared" si="9"/>
        <v>2.8089032258064517</v>
      </c>
      <c r="O44" s="583">
        <f>K44*KeyChips!N$12</f>
        <v>35249.237029501528</v>
      </c>
      <c r="P44" s="34"/>
      <c r="Q44" s="583"/>
      <c r="R44" s="34" t="s">
        <v>18</v>
      </c>
      <c r="S44" s="2" t="s">
        <v>686</v>
      </c>
      <c r="T44" s="118" t="s">
        <v>45</v>
      </c>
      <c r="U44" s="34" t="str">
        <f t="shared" si="8"/>
        <v>200-400</v>
      </c>
      <c r="V44" s="34" t="s">
        <v>45</v>
      </c>
      <c r="W44" s="34" t="s">
        <v>45</v>
      </c>
      <c r="X44" s="118" t="s">
        <v>45</v>
      </c>
      <c r="Y44" s="51">
        <f>Y41*(1000000/150000)</f>
        <v>4</v>
      </c>
      <c r="Z44">
        <f t="shared" si="5"/>
        <v>36</v>
      </c>
    </row>
    <row r="45" spans="2:29" ht="15" thickTop="1" x14ac:dyDescent="0.35">
      <c r="B45">
        <f t="shared" si="0"/>
        <v>37</v>
      </c>
      <c r="C45" s="702" t="s">
        <v>1526</v>
      </c>
      <c r="D45" s="722"/>
      <c r="E45" s="713"/>
      <c r="F45" s="713"/>
      <c r="G45" s="707"/>
      <c r="H45" s="726"/>
      <c r="I45" s="728"/>
      <c r="J45" s="715"/>
      <c r="K45" s="728"/>
      <c r="L45" s="715"/>
      <c r="M45" s="714"/>
      <c r="N45" s="726"/>
      <c r="O45" s="723"/>
      <c r="P45" s="715"/>
      <c r="Q45" s="723"/>
      <c r="R45" s="715"/>
      <c r="S45" s="714"/>
      <c r="T45" s="715"/>
      <c r="U45" s="715"/>
      <c r="V45" s="715"/>
      <c r="W45" s="715"/>
      <c r="X45" s="715"/>
      <c r="Y45" s="729"/>
      <c r="Z45">
        <f t="shared" si="5"/>
        <v>37</v>
      </c>
    </row>
    <row r="46" spans="2:29" x14ac:dyDescent="0.35">
      <c r="B46">
        <f t="shared" si="0"/>
        <v>38</v>
      </c>
      <c r="C46" s="23" t="s">
        <v>1533</v>
      </c>
      <c r="D46" s="7" t="s">
        <v>1528</v>
      </c>
      <c r="E46" t="s">
        <v>1529</v>
      </c>
      <c r="F46" t="s">
        <v>1534</v>
      </c>
      <c r="G46" s="235"/>
      <c r="H46" s="149">
        <f>I46*(1/KeyChips!$Q$88)</f>
        <v>0.32766666666666666</v>
      </c>
      <c r="I46" s="34">
        <f>KeyChips!J35</f>
        <v>8</v>
      </c>
      <c r="J46" s="118">
        <f>KeyChips!K35</f>
        <v>68</v>
      </c>
      <c r="K46" s="34">
        <v>1</v>
      </c>
      <c r="L46" s="118">
        <f>KeyChips!U35</f>
        <v>40</v>
      </c>
      <c r="M46" s="34">
        <f>KeyChips!R35</f>
        <v>15</v>
      </c>
      <c r="N46" s="151">
        <f t="shared" si="9"/>
        <v>2.6666666666666665</v>
      </c>
      <c r="O46" s="583">
        <f>KeyChips!N35</f>
        <v>399</v>
      </c>
      <c r="P46" s="34" t="s">
        <v>45</v>
      </c>
      <c r="Q46" s="34" t="s">
        <v>45</v>
      </c>
      <c r="R46" s="34" t="s">
        <v>18</v>
      </c>
      <c r="S46" s="2" t="s">
        <v>1541</v>
      </c>
      <c r="T46" s="118" t="s">
        <v>45</v>
      </c>
      <c r="U46" s="34" t="s">
        <v>933</v>
      </c>
      <c r="V46" s="34" t="s">
        <v>663</v>
      </c>
      <c r="W46" s="34" t="s">
        <v>663</v>
      </c>
      <c r="X46" s="118" t="s">
        <v>45</v>
      </c>
      <c r="Y46" s="144" t="s">
        <v>1539</v>
      </c>
      <c r="Z46">
        <f t="shared" si="5"/>
        <v>38</v>
      </c>
      <c r="AB46" s="14" t="s">
        <v>1530</v>
      </c>
      <c r="AC46" t="s">
        <v>45</v>
      </c>
    </row>
    <row r="47" spans="2:29" x14ac:dyDescent="0.35">
      <c r="B47">
        <f t="shared" si="0"/>
        <v>39</v>
      </c>
      <c r="C47" s="23" t="s">
        <v>1501</v>
      </c>
      <c r="D47" s="7">
        <f>KeyChips!D33</f>
        <v>2023</v>
      </c>
      <c r="E47" t="s">
        <v>1170</v>
      </c>
      <c r="F47" t="s">
        <v>931</v>
      </c>
      <c r="G47" s="235" t="s">
        <v>1085</v>
      </c>
      <c r="H47" s="149">
        <f>I47*(1/KeyChips!$Q$88)</f>
        <v>5.2426666666666666</v>
      </c>
      <c r="I47" s="2">
        <f>KeyChips!J33</f>
        <v>128</v>
      </c>
      <c r="J47" s="118">
        <f>KeyChips!K33</f>
        <v>204.8</v>
      </c>
      <c r="K47" s="34">
        <v>1</v>
      </c>
      <c r="L47" s="148">
        <f>KeyChips!U33</f>
        <v>185</v>
      </c>
      <c r="M47" s="2">
        <f>KeyChips!R33</f>
        <v>100</v>
      </c>
      <c r="N47" s="151">
        <f t="shared" si="9"/>
        <v>1.85</v>
      </c>
      <c r="O47" s="583">
        <f>KeyChips!N33</f>
        <v>1800</v>
      </c>
      <c r="P47" s="34">
        <f>AI_Supercomputers!I19</f>
        <v>50000</v>
      </c>
      <c r="Q47" s="583">
        <f>AI_Supercomputers!O19</f>
        <v>1650</v>
      </c>
      <c r="R47" s="34" t="s">
        <v>18</v>
      </c>
      <c r="S47" s="2" t="s">
        <v>1541</v>
      </c>
      <c r="T47" s="148">
        <v>200000000</v>
      </c>
      <c r="U47" s="34" t="s">
        <v>933</v>
      </c>
      <c r="V47" s="34" t="s">
        <v>663</v>
      </c>
      <c r="W47" s="34" t="s">
        <v>663</v>
      </c>
      <c r="X47" s="118" t="s">
        <v>45</v>
      </c>
      <c r="Y47" s="51">
        <f>1000/2</f>
        <v>500</v>
      </c>
      <c r="Z47">
        <f t="shared" si="5"/>
        <v>39</v>
      </c>
      <c r="AB47" s="14" t="s">
        <v>1563</v>
      </c>
      <c r="AC47" t="s">
        <v>45</v>
      </c>
    </row>
    <row r="48" spans="2:29" x14ac:dyDescent="0.35">
      <c r="B48">
        <f t="shared" si="0"/>
        <v>40</v>
      </c>
      <c r="C48" s="23" t="s">
        <v>1502</v>
      </c>
      <c r="D48" s="7">
        <f>KeyChips!D39</f>
        <v>2022</v>
      </c>
      <c r="E48" t="s">
        <v>1171</v>
      </c>
      <c r="F48" t="s">
        <v>1172</v>
      </c>
      <c r="G48" s="235" t="s">
        <v>45</v>
      </c>
      <c r="H48" s="149">
        <f>I48*(1/KeyChips!$Q$88)</f>
        <v>2.6213333333333333</v>
      </c>
      <c r="I48" s="34">
        <f>KeyChips!J39</f>
        <v>64</v>
      </c>
      <c r="J48" s="118">
        <f>KeyChips!K39</f>
        <v>204.8</v>
      </c>
      <c r="K48" s="34">
        <v>1</v>
      </c>
      <c r="L48" s="148">
        <f>KeyChips!U39</f>
        <v>275</v>
      </c>
      <c r="M48" s="34">
        <f>KeyChips!R39</f>
        <v>60</v>
      </c>
      <c r="N48" s="151">
        <f t="shared" si="9"/>
        <v>4.583333333333333</v>
      </c>
      <c r="O48" s="583">
        <f>KeyChips!N39</f>
        <v>1599</v>
      </c>
      <c r="P48" s="34" t="s">
        <v>45</v>
      </c>
      <c r="Q48" s="583"/>
      <c r="R48" s="34" t="s">
        <v>18</v>
      </c>
      <c r="S48" s="2" t="s">
        <v>1541</v>
      </c>
      <c r="T48" s="148">
        <f>(L84-L85)*L86*L89*L87</f>
        <v>3784320</v>
      </c>
      <c r="U48" s="34" t="str">
        <f>U47</f>
        <v>&lt;2000?</v>
      </c>
      <c r="V48" s="34" t="s">
        <v>663</v>
      </c>
      <c r="W48" s="34" t="s">
        <v>663</v>
      </c>
      <c r="X48" s="118" t="s">
        <v>45</v>
      </c>
      <c r="Y48" s="144" t="s">
        <v>1540</v>
      </c>
      <c r="Z48">
        <f t="shared" si="5"/>
        <v>40</v>
      </c>
      <c r="AB48" s="14" t="s">
        <v>1564</v>
      </c>
      <c r="AC48" t="s">
        <v>45</v>
      </c>
    </row>
    <row r="49" spans="2:33" x14ac:dyDescent="0.35">
      <c r="B49">
        <f t="shared" si="0"/>
        <v>41</v>
      </c>
      <c r="C49" s="23" t="s">
        <v>1506</v>
      </c>
      <c r="D49" s="7" t="s">
        <v>1507</v>
      </c>
      <c r="E49" t="s">
        <v>1512</v>
      </c>
      <c r="F49" t="s">
        <v>1516</v>
      </c>
      <c r="G49" s="235"/>
      <c r="H49" s="149"/>
      <c r="I49" s="34" t="s">
        <v>45</v>
      </c>
      <c r="J49" s="118" t="s">
        <v>45</v>
      </c>
      <c r="K49" s="34" t="s">
        <v>45</v>
      </c>
      <c r="L49" s="118" t="s">
        <v>45</v>
      </c>
      <c r="M49" s="34" t="s">
        <v>45</v>
      </c>
      <c r="N49" s="151" t="s">
        <v>45</v>
      </c>
      <c r="O49" s="583" t="s">
        <v>45</v>
      </c>
      <c r="P49" s="34" t="s">
        <v>45</v>
      </c>
      <c r="Q49" s="583" t="s">
        <v>45</v>
      </c>
      <c r="R49" s="34" t="s">
        <v>18</v>
      </c>
      <c r="S49" s="2" t="s">
        <v>1541</v>
      </c>
      <c r="T49" s="118" t="s">
        <v>45</v>
      </c>
      <c r="U49" s="34" t="str">
        <f>U48</f>
        <v>&lt;2000?</v>
      </c>
      <c r="V49" s="34" t="s">
        <v>663</v>
      </c>
      <c r="W49" s="34" t="s">
        <v>663</v>
      </c>
      <c r="X49" s="118" t="s">
        <v>45</v>
      </c>
      <c r="Y49" s="144" t="s">
        <v>1540</v>
      </c>
      <c r="Z49">
        <f t="shared" si="5"/>
        <v>41</v>
      </c>
      <c r="AB49" s="14" t="s">
        <v>1565</v>
      </c>
      <c r="AC49" t="s">
        <v>45</v>
      </c>
    </row>
    <row r="50" spans="2:33" x14ac:dyDescent="0.35">
      <c r="B50">
        <f t="shared" si="0"/>
        <v>42</v>
      </c>
      <c r="C50" s="23" t="s">
        <v>1510</v>
      </c>
      <c r="D50" s="7" t="s">
        <v>1511</v>
      </c>
      <c r="E50" t="s">
        <v>1513</v>
      </c>
      <c r="F50" t="s">
        <v>1514</v>
      </c>
      <c r="G50" s="235" t="s">
        <v>45</v>
      </c>
      <c r="H50" s="149">
        <f>I50*(1/KeyChips!$Q$88)</f>
        <v>5.2426666666666666</v>
      </c>
      <c r="I50" s="34">
        <f>KeyChips!J33</f>
        <v>128</v>
      </c>
      <c r="J50" s="118">
        <f>KeyChips!K33</f>
        <v>204.8</v>
      </c>
      <c r="K50" s="34">
        <v>1</v>
      </c>
      <c r="L50" s="148">
        <f>KeyChips!U33</f>
        <v>185</v>
      </c>
      <c r="M50" s="34">
        <f>KeyChips!$R$33</f>
        <v>100</v>
      </c>
      <c r="N50" s="151">
        <f t="shared" si="9"/>
        <v>1.85</v>
      </c>
      <c r="O50" s="583">
        <f>KeyChips!N33</f>
        <v>1800</v>
      </c>
      <c r="P50" s="34">
        <f>AI_Supercomputers!I19</f>
        <v>50000</v>
      </c>
      <c r="Q50" s="583">
        <f>AI_Supercomputers!O19</f>
        <v>1650</v>
      </c>
      <c r="R50" s="34" t="s">
        <v>18</v>
      </c>
      <c r="S50" s="2" t="s">
        <v>1542</v>
      </c>
      <c r="T50" s="118" t="s">
        <v>45</v>
      </c>
      <c r="U50" s="34" t="s">
        <v>1538</v>
      </c>
      <c r="V50" s="34" t="s">
        <v>663</v>
      </c>
      <c r="W50" s="34" t="s">
        <v>663</v>
      </c>
      <c r="X50" s="118" t="s">
        <v>45</v>
      </c>
      <c r="Y50" s="144" t="s">
        <v>1540</v>
      </c>
      <c r="Z50">
        <f t="shared" si="5"/>
        <v>42</v>
      </c>
      <c r="AB50" s="14" t="s">
        <v>1566</v>
      </c>
      <c r="AC50" s="14" t="s">
        <v>1567</v>
      </c>
      <c r="AD50" t="s">
        <v>45</v>
      </c>
    </row>
    <row r="51" spans="2:33" ht="15" thickBot="1" x14ac:dyDescent="0.4">
      <c r="B51">
        <f t="shared" si="0"/>
        <v>43</v>
      </c>
      <c r="C51" s="23" t="s">
        <v>1518</v>
      </c>
      <c r="D51" s="7" t="s">
        <v>1519</v>
      </c>
      <c r="E51" t="s">
        <v>1520</v>
      </c>
      <c r="F51" t="s">
        <v>1514</v>
      </c>
      <c r="G51" s="235"/>
      <c r="H51" s="149">
        <f>I51*(1/KeyChips!$Q$88)</f>
        <v>2.6213333333333333</v>
      </c>
      <c r="I51" s="34">
        <f>KeyChips!J39</f>
        <v>64</v>
      </c>
      <c r="J51" s="118">
        <f>KeyChips!K39</f>
        <v>204.8</v>
      </c>
      <c r="K51" s="34">
        <v>1</v>
      </c>
      <c r="L51" s="148">
        <f>KeyChips!U39</f>
        <v>275</v>
      </c>
      <c r="M51" s="34">
        <f>KeyChips!R39</f>
        <v>60</v>
      </c>
      <c r="N51" s="151">
        <f t="shared" si="9"/>
        <v>4.583333333333333</v>
      </c>
      <c r="O51" s="583">
        <f>KeyChips!N39</f>
        <v>1599</v>
      </c>
      <c r="P51" s="34" t="s">
        <v>45</v>
      </c>
      <c r="Q51" s="34" t="s">
        <v>45</v>
      </c>
      <c r="R51" s="34" t="s">
        <v>18</v>
      </c>
      <c r="S51" s="2" t="s">
        <v>1542</v>
      </c>
      <c r="T51" s="118" t="s">
        <v>45</v>
      </c>
      <c r="U51" s="34" t="s">
        <v>1538</v>
      </c>
      <c r="V51" s="34" t="s">
        <v>663</v>
      </c>
      <c r="W51" s="34" t="s">
        <v>663</v>
      </c>
      <c r="X51" s="118" t="s">
        <v>45</v>
      </c>
      <c r="Y51" s="144" t="s">
        <v>1540</v>
      </c>
      <c r="Z51">
        <f t="shared" si="5"/>
        <v>43</v>
      </c>
      <c r="AB51" s="14" t="s">
        <v>1568</v>
      </c>
      <c r="AC51" s="14" t="s">
        <v>1569</v>
      </c>
      <c r="AD51" t="s">
        <v>45</v>
      </c>
    </row>
    <row r="52" spans="2:33" ht="15" thickTop="1" x14ac:dyDescent="0.35">
      <c r="B52">
        <f t="shared" si="0"/>
        <v>44</v>
      </c>
      <c r="C52" s="702" t="s">
        <v>1527</v>
      </c>
      <c r="D52" s="722"/>
      <c r="E52" s="713"/>
      <c r="F52" s="713"/>
      <c r="G52" s="715"/>
      <c r="H52" s="726"/>
      <c r="I52" s="715"/>
      <c r="J52" s="715"/>
      <c r="K52" s="715"/>
      <c r="L52" s="714"/>
      <c r="M52" s="715"/>
      <c r="N52" s="726"/>
      <c r="O52" s="723"/>
      <c r="P52" s="715"/>
      <c r="Q52" s="723"/>
      <c r="R52" s="715"/>
      <c r="S52" s="714"/>
      <c r="T52" s="714"/>
      <c r="U52" s="715"/>
      <c r="V52" s="715"/>
      <c r="W52" s="708"/>
      <c r="X52" s="708"/>
      <c r="Y52" s="727"/>
      <c r="Z52">
        <f t="shared" si="5"/>
        <v>44</v>
      </c>
    </row>
    <row r="53" spans="2:33" x14ac:dyDescent="0.35">
      <c r="B53">
        <f t="shared" si="0"/>
        <v>45</v>
      </c>
      <c r="C53" s="23" t="s">
        <v>709</v>
      </c>
      <c r="D53" s="7" t="s">
        <v>708</v>
      </c>
      <c r="E53" t="s">
        <v>1167</v>
      </c>
      <c r="F53" t="s">
        <v>1163</v>
      </c>
      <c r="G53" s="37" t="s">
        <v>45</v>
      </c>
      <c r="H53" s="233">
        <f>986748/AC3</f>
        <v>9.8674799999999997E-4</v>
      </c>
      <c r="I53" s="34">
        <f>KeyChips!J21</f>
        <v>8</v>
      </c>
      <c r="J53" s="118">
        <f>KeyChips!K$21</f>
        <v>614</v>
      </c>
      <c r="K53" s="2">
        <f>I53/KeyChips!J$21</f>
        <v>1</v>
      </c>
      <c r="L53" s="118">
        <f>K53*KeyChips!U$21</f>
        <v>138</v>
      </c>
      <c r="M53" s="2">
        <f>K53*KeyChips!R$21*M$3</f>
        <v>352.27272727272731</v>
      </c>
      <c r="N53" s="151">
        <f>L53/M53</f>
        <v>0.39174193548387093</v>
      </c>
      <c r="O53" s="583" t="s">
        <v>45</v>
      </c>
      <c r="P53" s="583" t="s">
        <v>45</v>
      </c>
      <c r="Q53" s="583" t="s">
        <v>45</v>
      </c>
      <c r="R53" s="34" t="s">
        <v>18</v>
      </c>
      <c r="S53" s="235" t="s">
        <v>712</v>
      </c>
      <c r="T53" s="118" t="s">
        <v>45</v>
      </c>
      <c r="U53" s="34" t="str">
        <f>U12</f>
        <v>200-400</v>
      </c>
      <c r="V53" s="34" t="s">
        <v>45</v>
      </c>
      <c r="W53" s="34" t="s">
        <v>45</v>
      </c>
      <c r="X53" s="118">
        <f>341*(AC7/AC6)</f>
        <v>341000</v>
      </c>
      <c r="Y53" s="144" t="s">
        <v>45</v>
      </c>
      <c r="Z53">
        <f t="shared" si="5"/>
        <v>45</v>
      </c>
    </row>
    <row r="54" spans="2:33" x14ac:dyDescent="0.35">
      <c r="B54">
        <f t="shared" si="0"/>
        <v>46</v>
      </c>
      <c r="C54" s="23" t="s">
        <v>710</v>
      </c>
      <c r="D54" s="7">
        <v>2020</v>
      </c>
      <c r="E54" s="7" t="s">
        <v>1169</v>
      </c>
      <c r="F54" t="s">
        <v>1157</v>
      </c>
      <c r="G54" s="37" t="s">
        <v>174</v>
      </c>
      <c r="H54" s="233">
        <f>21000000/AC3</f>
        <v>2.1000000000000001E-2</v>
      </c>
      <c r="I54" s="34">
        <f>KeyChips!J11</f>
        <v>40</v>
      </c>
      <c r="J54" s="118">
        <f>KeyChips!K11</f>
        <v>1555</v>
      </c>
      <c r="K54" s="2">
        <f>I54/KeyChips!J$11</f>
        <v>1</v>
      </c>
      <c r="L54" s="118">
        <f>K54*KeyChips!U$11</f>
        <v>312</v>
      </c>
      <c r="M54" s="2">
        <f>K54*KeyChips!R$11*M$3</f>
        <v>483.11688311688317</v>
      </c>
      <c r="N54" s="151">
        <f>L54/M54</f>
        <v>0.64580645161290318</v>
      </c>
      <c r="O54" s="583">
        <f>K54*KeyChips!N$11</f>
        <v>6000</v>
      </c>
      <c r="P54" s="583" t="s">
        <v>45</v>
      </c>
      <c r="Q54" s="583" t="s">
        <v>45</v>
      </c>
      <c r="R54" s="34" t="s">
        <v>18</v>
      </c>
      <c r="S54" s="7" t="s">
        <v>713</v>
      </c>
      <c r="T54" s="148">
        <v>6000</v>
      </c>
      <c r="U54" s="7" t="s">
        <v>655</v>
      </c>
      <c r="V54" s="34" t="s">
        <v>45</v>
      </c>
      <c r="W54" s="34" t="s">
        <v>45</v>
      </c>
      <c r="X54" s="118">
        <f>2.99*(AC7/AC6)</f>
        <v>2990</v>
      </c>
      <c r="Y54" s="144" t="s">
        <v>45</v>
      </c>
      <c r="Z54">
        <f t="shared" si="5"/>
        <v>46</v>
      </c>
    </row>
    <row r="55" spans="2:33" x14ac:dyDescent="0.35">
      <c r="B55">
        <f t="shared" si="0"/>
        <v>47</v>
      </c>
      <c r="C55" s="23" t="s">
        <v>681</v>
      </c>
      <c r="D55" s="7">
        <v>2023</v>
      </c>
      <c r="E55" t="s">
        <v>1166</v>
      </c>
      <c r="F55" t="s">
        <v>683</v>
      </c>
      <c r="G55" s="37" t="s">
        <v>174</v>
      </c>
      <c r="H55" s="184">
        <v>2</v>
      </c>
      <c r="I55" s="90">
        <f>H55*H$3</f>
        <v>4</v>
      </c>
      <c r="J55" s="118">
        <f>KeyChips!K$21</f>
        <v>614</v>
      </c>
      <c r="K55" s="2">
        <f>I55/KeyChips!J$21</f>
        <v>0.5</v>
      </c>
      <c r="L55" s="118">
        <f>K55*KeyChips!U$21</f>
        <v>69</v>
      </c>
      <c r="M55" s="2">
        <f>K55*KeyChips!R$21*M$3</f>
        <v>176.13636363636365</v>
      </c>
      <c r="N55" s="151">
        <f>L55/M55</f>
        <v>0.39174193548387093</v>
      </c>
      <c r="O55" s="583" t="s">
        <v>45</v>
      </c>
      <c r="P55" s="583" t="s">
        <v>45</v>
      </c>
      <c r="Q55" s="583" t="s">
        <v>45</v>
      </c>
      <c r="R55" s="34" t="s">
        <v>18</v>
      </c>
      <c r="S55" s="34" t="s">
        <v>687</v>
      </c>
      <c r="T55" s="118">
        <f>12000000*L92/1000</f>
        <v>4139.9999999999991</v>
      </c>
      <c r="U55" s="34" t="s">
        <v>698</v>
      </c>
      <c r="V55" s="34" t="s">
        <v>45</v>
      </c>
      <c r="W55" s="100" t="s">
        <v>45</v>
      </c>
      <c r="X55" s="701" t="s">
        <v>45</v>
      </c>
      <c r="Y55" s="144" t="s">
        <v>45</v>
      </c>
      <c r="Z55">
        <f t="shared" si="5"/>
        <v>47</v>
      </c>
    </row>
    <row r="56" spans="2:33" ht="15" thickBot="1" x14ac:dyDescent="0.4">
      <c r="B56">
        <f t="shared" si="0"/>
        <v>48</v>
      </c>
      <c r="C56" s="23" t="s">
        <v>692</v>
      </c>
      <c r="D56" s="7">
        <v>2022</v>
      </c>
      <c r="E56" t="s">
        <v>1168</v>
      </c>
      <c r="F56" t="s">
        <v>695</v>
      </c>
      <c r="G56" s="37" t="s">
        <v>174</v>
      </c>
      <c r="H56" s="184">
        <v>1.5</v>
      </c>
      <c r="I56" s="90">
        <f>H56*H$3</f>
        <v>3</v>
      </c>
      <c r="J56" s="148">
        <f>KeyChips!K$10</f>
        <v>870</v>
      </c>
      <c r="K56" s="90">
        <f>I56/KeyChips!J$10</f>
        <v>9.375E-2</v>
      </c>
      <c r="L56" s="118">
        <f>K56*KeyChips!U$10</f>
        <v>11.71875</v>
      </c>
      <c r="M56" s="2">
        <f>K56*KeyChips!R$10*M$3</f>
        <v>56.615259740259745</v>
      </c>
      <c r="N56" s="151">
        <f>L56/M56</f>
        <v>0.20698924731182794</v>
      </c>
      <c r="O56" s="583">
        <f>K56*KeyChips!N$10</f>
        <v>562.5</v>
      </c>
      <c r="P56" s="583" t="s">
        <v>45</v>
      </c>
      <c r="Q56" s="583" t="s">
        <v>45</v>
      </c>
      <c r="R56" s="34" t="s">
        <v>18</v>
      </c>
      <c r="S56" s="34" t="s">
        <v>697</v>
      </c>
      <c r="T56" s="118">
        <f>680000*L92/1000</f>
        <v>234.59999999999997</v>
      </c>
      <c r="U56" s="34" t="str">
        <f>U55</f>
        <v>50-400</v>
      </c>
      <c r="V56" s="34" t="s">
        <v>45</v>
      </c>
      <c r="W56" s="100" t="s">
        <v>45</v>
      </c>
      <c r="X56" s="701" t="s">
        <v>45</v>
      </c>
      <c r="Y56" s="144" t="s">
        <v>45</v>
      </c>
      <c r="Z56">
        <f t="shared" si="5"/>
        <v>48</v>
      </c>
    </row>
    <row r="57" spans="2:33" ht="15" thickTop="1" x14ac:dyDescent="0.35">
      <c r="B57">
        <f t="shared" si="0"/>
        <v>49</v>
      </c>
      <c r="C57" s="702" t="str">
        <f>KeyChips!C53</f>
        <v>Comparing biological brains with existing supercomputers and likely forthcoming supercomputers</v>
      </c>
      <c r="D57" s="722"/>
      <c r="E57" s="713"/>
      <c r="F57" s="713"/>
      <c r="G57" s="715"/>
      <c r="H57" s="714"/>
      <c r="I57" s="714"/>
      <c r="J57" s="715"/>
      <c r="K57" s="715"/>
      <c r="L57" s="714"/>
      <c r="M57" s="714"/>
      <c r="N57" s="726"/>
      <c r="O57" s="723"/>
      <c r="P57" s="715"/>
      <c r="Q57" s="723"/>
      <c r="R57" s="715"/>
      <c r="S57" s="715"/>
      <c r="T57" s="715"/>
      <c r="U57" s="715"/>
      <c r="V57" s="715"/>
      <c r="W57" s="715"/>
      <c r="X57" s="715"/>
      <c r="Y57" s="727"/>
      <c r="Z57">
        <f t="shared" si="5"/>
        <v>49</v>
      </c>
    </row>
    <row r="58" spans="2:33" x14ac:dyDescent="0.35">
      <c r="B58">
        <f t="shared" si="0"/>
        <v>50</v>
      </c>
      <c r="C58" s="636" t="s">
        <v>1315</v>
      </c>
      <c r="D58" s="313" t="str">
        <f>KeyChips!D54</f>
        <v xml:space="preserve"> -300,000BC</v>
      </c>
      <c r="E58" s="124" t="s">
        <v>1309</v>
      </c>
      <c r="F58" s="124" t="s">
        <v>194</v>
      </c>
      <c r="G58" s="581">
        <v>65000</v>
      </c>
      <c r="H58" s="148">
        <f>D93*D101</f>
        <v>258000</v>
      </c>
      <c r="I58" s="315">
        <f>D93*D101*(D91/D92)</f>
        <v>151575</v>
      </c>
      <c r="J58" s="694">
        <f>J$74</f>
        <v>0.04</v>
      </c>
      <c r="K58" s="580" t="s">
        <v>1175</v>
      </c>
      <c r="L58" s="148">
        <f t="shared" ref="L58:L64" si="10">(D93*D$101*D$103)/AC$1</f>
        <v>12900</v>
      </c>
      <c r="M58" s="335">
        <v>20</v>
      </c>
      <c r="N58" s="313">
        <f t="shared" ref="N58:N67" si="11">L58/M58</f>
        <v>645</v>
      </c>
      <c r="O58" s="581">
        <v>200000</v>
      </c>
      <c r="P58" s="580" t="s">
        <v>1175</v>
      </c>
      <c r="Q58" s="591">
        <f>200000/AC2</f>
        <v>0.2</v>
      </c>
      <c r="R58" s="315" t="s">
        <v>195</v>
      </c>
      <c r="S58" s="315" t="s">
        <v>1600</v>
      </c>
      <c r="T58" s="148">
        <f>T$74</f>
        <v>20183040</v>
      </c>
      <c r="U58" s="313" t="s">
        <v>721</v>
      </c>
      <c r="V58" s="313" t="s">
        <v>381</v>
      </c>
      <c r="W58" s="313" t="s">
        <v>382</v>
      </c>
      <c r="X58" s="118">
        <f>(L58*(AC$4/AC$6))*L$93*L$94*L$95*L$96*AC58</f>
        <v>6509030.3999999994</v>
      </c>
      <c r="Y58" s="348">
        <v>0.2</v>
      </c>
      <c r="Z58">
        <f t="shared" si="5"/>
        <v>50</v>
      </c>
      <c r="AB58" s="134">
        <f>H$58/H58</f>
        <v>1</v>
      </c>
      <c r="AC58">
        <v>16</v>
      </c>
      <c r="AD58" t="s">
        <v>1601</v>
      </c>
      <c r="AE58">
        <v>80</v>
      </c>
      <c r="AF58" t="s">
        <v>1647</v>
      </c>
    </row>
    <row r="59" spans="2:33" x14ac:dyDescent="0.35">
      <c r="B59">
        <f t="shared" si="0"/>
        <v>51</v>
      </c>
      <c r="C59" s="636" t="s">
        <v>1310</v>
      </c>
      <c r="D59" s="313" t="str">
        <f>D58</f>
        <v xml:space="preserve"> -300,000BC</v>
      </c>
      <c r="E59" s="124" t="s">
        <v>453</v>
      </c>
      <c r="F59" s="124" t="s">
        <v>194</v>
      </c>
      <c r="G59" s="581">
        <v>65000</v>
      </c>
      <c r="H59" s="148">
        <f t="shared" ref="H59:H64" si="12">H$58*C94</f>
        <v>48900.000000000007</v>
      </c>
      <c r="I59" s="315">
        <f t="shared" ref="I59:I63" si="13">I$58*C94</f>
        <v>28728.750000000004</v>
      </c>
      <c r="J59" s="694">
        <f t="shared" ref="J59:J63" si="14">J$74</f>
        <v>0.04</v>
      </c>
      <c r="K59" s="580" t="s">
        <v>1175</v>
      </c>
      <c r="L59" s="148">
        <f t="shared" si="10"/>
        <v>2445</v>
      </c>
      <c r="M59" s="335">
        <f t="shared" ref="M59:M63" si="15">M$58*C94</f>
        <v>3.7906976744186052</v>
      </c>
      <c r="N59" s="313">
        <f t="shared" si="11"/>
        <v>644.99999999999989</v>
      </c>
      <c r="O59" s="581">
        <f>O58</f>
        <v>200000</v>
      </c>
      <c r="P59" s="580" t="s">
        <v>1175</v>
      </c>
      <c r="Q59" s="591">
        <f>Q58</f>
        <v>0.2</v>
      </c>
      <c r="R59" s="315" t="s">
        <v>195</v>
      </c>
      <c r="S59" s="315" t="s">
        <v>1600</v>
      </c>
      <c r="T59" s="148">
        <f t="shared" ref="T59" si="16">T$74</f>
        <v>20183040</v>
      </c>
      <c r="U59" s="313" t="str">
        <f>U58</f>
        <v>Part of DNA</v>
      </c>
      <c r="V59" s="313" t="s">
        <v>45</v>
      </c>
      <c r="W59" s="313" t="s">
        <v>45</v>
      </c>
      <c r="X59" s="118">
        <f>(L59*(AC$4/AC$6))*L$93*L$94*L$95*L$96*AC59</f>
        <v>1233688.3199999996</v>
      </c>
      <c r="Y59" s="348">
        <f>Y58</f>
        <v>0.2</v>
      </c>
      <c r="Z59">
        <f t="shared" si="5"/>
        <v>51</v>
      </c>
      <c r="AB59" s="134">
        <f t="shared" ref="AB59:AB65" si="17">H$58/H59</f>
        <v>5.2760736196319007</v>
      </c>
      <c r="AC59">
        <f>AC$58*(AE59/AE$58)</f>
        <v>16</v>
      </c>
      <c r="AD59" t="s">
        <v>1601</v>
      </c>
      <c r="AE59">
        <v>80</v>
      </c>
      <c r="AF59" t="s">
        <v>1647</v>
      </c>
    </row>
    <row r="60" spans="2:33" x14ac:dyDescent="0.35">
      <c r="B60">
        <f t="shared" si="0"/>
        <v>52</v>
      </c>
      <c r="C60" s="636" t="s">
        <v>1049</v>
      </c>
      <c r="D60" s="313" t="s">
        <v>920</v>
      </c>
      <c r="E60" s="124" t="str">
        <f>E58</f>
        <v>Motion, sensing, thought, etc.</v>
      </c>
      <c r="F60" s="124" t="s">
        <v>428</v>
      </c>
      <c r="G60" s="581" t="s">
        <v>18</v>
      </c>
      <c r="H60" s="148">
        <f t="shared" si="12"/>
        <v>84000</v>
      </c>
      <c r="I60" s="315">
        <f t="shared" si="13"/>
        <v>49350</v>
      </c>
      <c r="J60" s="694">
        <f t="shared" si="14"/>
        <v>0.04</v>
      </c>
      <c r="K60" s="580" t="s">
        <v>1175</v>
      </c>
      <c r="L60" s="148">
        <f t="shared" si="10"/>
        <v>4200</v>
      </c>
      <c r="M60" s="335">
        <f t="shared" si="15"/>
        <v>6.5116279069767451</v>
      </c>
      <c r="N60" s="313">
        <f t="shared" si="11"/>
        <v>644.99999999999989</v>
      </c>
      <c r="O60" s="581" t="s">
        <v>18</v>
      </c>
      <c r="P60" s="580" t="s">
        <v>1175</v>
      </c>
      <c r="Q60" s="581" t="s">
        <v>18</v>
      </c>
      <c r="R60" s="315" t="s">
        <v>195</v>
      </c>
      <c r="S60" s="315" t="s">
        <v>1606</v>
      </c>
      <c r="T60" s="148">
        <f>T$74*(AE60/AE$58)</f>
        <v>9586944</v>
      </c>
      <c r="U60" s="313" t="str">
        <f>U58</f>
        <v>Part of DNA</v>
      </c>
      <c r="V60" s="313" t="s">
        <v>45</v>
      </c>
      <c r="W60" s="313" t="s">
        <v>45</v>
      </c>
      <c r="X60" s="118">
        <f>(L60*(AC$4/AC$6))*L$93*L$94*L$95*L$96*AC60</f>
        <v>1006629.12</v>
      </c>
      <c r="Y60" s="348" t="s">
        <v>18</v>
      </c>
      <c r="Z60">
        <f t="shared" si="5"/>
        <v>52</v>
      </c>
      <c r="AB60" s="134">
        <f t="shared" si="17"/>
        <v>3.0714285714285716</v>
      </c>
      <c r="AC60" s="12">
        <f>AC$58*(AE60/AE$58)</f>
        <v>7.6</v>
      </c>
      <c r="AD60" t="s">
        <v>1601</v>
      </c>
      <c r="AE60">
        <v>38</v>
      </c>
      <c r="AF60" t="s">
        <v>1604</v>
      </c>
      <c r="AG60" t="s">
        <v>1605</v>
      </c>
    </row>
    <row r="61" spans="2:33" x14ac:dyDescent="0.35">
      <c r="B61">
        <f t="shared" si="0"/>
        <v>53</v>
      </c>
      <c r="C61" s="636" t="s">
        <v>1076</v>
      </c>
      <c r="D61" s="313" t="s">
        <v>1080</v>
      </c>
      <c r="E61" s="124" t="str">
        <f>E58</f>
        <v>Motion, sensing, thought, etc.</v>
      </c>
      <c r="F61" s="124" t="s">
        <v>1074</v>
      </c>
      <c r="G61" s="581" t="s">
        <v>18</v>
      </c>
      <c r="H61" s="148">
        <f t="shared" si="12"/>
        <v>10590</v>
      </c>
      <c r="I61" s="315">
        <f t="shared" si="13"/>
        <v>6221.625</v>
      </c>
      <c r="J61" s="694">
        <f t="shared" si="14"/>
        <v>0.04</v>
      </c>
      <c r="K61" s="580" t="s">
        <v>1175</v>
      </c>
      <c r="L61" s="148">
        <f t="shared" si="10"/>
        <v>529.5</v>
      </c>
      <c r="M61" s="335">
        <f t="shared" si="15"/>
        <v>0.82093023255813957</v>
      </c>
      <c r="N61" s="313">
        <f t="shared" si="11"/>
        <v>645</v>
      </c>
      <c r="O61" s="581" t="s">
        <v>18</v>
      </c>
      <c r="P61" s="580" t="s">
        <v>1175</v>
      </c>
      <c r="Q61" s="581" t="s">
        <v>18</v>
      </c>
      <c r="R61" s="315" t="s">
        <v>195</v>
      </c>
      <c r="S61" s="315" t="s">
        <v>1608</v>
      </c>
      <c r="T61" s="148">
        <f>T$74*(AE61/AE$58)</f>
        <v>3784320</v>
      </c>
      <c r="U61" s="313" t="str">
        <f>U59</f>
        <v>Part of DNA</v>
      </c>
      <c r="V61" s="313" t="s">
        <v>45</v>
      </c>
      <c r="W61" s="313" t="s">
        <v>45</v>
      </c>
      <c r="X61" s="118">
        <f t="shared" ref="X61:X65" si="18">(L61*(AC$4/AC$6))*L$93*L$94*L$95*L$96*AC61</f>
        <v>50094.935999999994</v>
      </c>
      <c r="Y61" s="348" t="s">
        <v>18</v>
      </c>
      <c r="Z61">
        <f t="shared" si="5"/>
        <v>53</v>
      </c>
      <c r="AB61" s="134">
        <f t="shared" si="17"/>
        <v>24.362606232294617</v>
      </c>
      <c r="AC61" s="12">
        <f t="shared" ref="AC61:AC62" si="19">AC$58*(AE61/AE$58)</f>
        <v>3</v>
      </c>
      <c r="AD61" t="s">
        <v>1601</v>
      </c>
      <c r="AE61">
        <v>15</v>
      </c>
      <c r="AF61" t="s">
        <v>1604</v>
      </c>
      <c r="AG61" t="s">
        <v>1607</v>
      </c>
    </row>
    <row r="62" spans="2:33" x14ac:dyDescent="0.35">
      <c r="B62">
        <f t="shared" si="0"/>
        <v>54</v>
      </c>
      <c r="C62" s="636" t="s">
        <v>1077</v>
      </c>
      <c r="D62" s="525" t="s">
        <v>1052</v>
      </c>
      <c r="E62" s="124" t="str">
        <f>E58</f>
        <v>Motion, sensing, thought, etc.</v>
      </c>
      <c r="F62" s="124" t="s">
        <v>1055</v>
      </c>
      <c r="G62" s="581" t="s">
        <v>18</v>
      </c>
      <c r="H62" s="148">
        <f t="shared" si="12"/>
        <v>210</v>
      </c>
      <c r="I62" s="315">
        <f t="shared" si="13"/>
        <v>123.375</v>
      </c>
      <c r="J62" s="694">
        <f>J$74/J97</f>
        <v>4.0000000000000002E-4</v>
      </c>
      <c r="K62" s="580" t="s">
        <v>1175</v>
      </c>
      <c r="L62" s="148">
        <f t="shared" si="10"/>
        <v>10.500000000000002</v>
      </c>
      <c r="M62" s="335">
        <f t="shared" si="15"/>
        <v>1.627906976744186E-2</v>
      </c>
      <c r="N62" s="313">
        <f t="shared" si="11"/>
        <v>645.00000000000011</v>
      </c>
      <c r="O62" s="581" t="s">
        <v>18</v>
      </c>
      <c r="P62" s="580" t="s">
        <v>1175</v>
      </c>
      <c r="Q62" s="581" t="s">
        <v>18</v>
      </c>
      <c r="R62" s="315" t="s">
        <v>195</v>
      </c>
      <c r="S62" s="315" t="s">
        <v>196</v>
      </c>
      <c r="T62" s="148">
        <f>(T$74*(AE62/AE$58))/J97</f>
        <v>3784.32</v>
      </c>
      <c r="U62" s="313" t="str">
        <f>U59</f>
        <v>Part of DNA</v>
      </c>
      <c r="V62" s="313" t="s">
        <v>45</v>
      </c>
      <c r="W62" s="313" t="s">
        <v>45</v>
      </c>
      <c r="X62" s="118">
        <f t="shared" si="18"/>
        <v>99.338399999999993</v>
      </c>
      <c r="Y62" s="348" t="s">
        <v>18</v>
      </c>
      <c r="Z62">
        <f t="shared" si="5"/>
        <v>54</v>
      </c>
      <c r="AB62" s="134">
        <f t="shared" si="17"/>
        <v>1228.5714285714287</v>
      </c>
      <c r="AC62" s="12">
        <f t="shared" si="19"/>
        <v>0.3</v>
      </c>
      <c r="AD62" t="s">
        <v>1601</v>
      </c>
      <c r="AE62">
        <v>1.5</v>
      </c>
      <c r="AF62" t="s">
        <v>1604</v>
      </c>
      <c r="AG62" t="s">
        <v>1609</v>
      </c>
    </row>
    <row r="63" spans="2:33" x14ac:dyDescent="0.35">
      <c r="B63">
        <f t="shared" si="0"/>
        <v>55</v>
      </c>
      <c r="C63" s="636" t="s">
        <v>1325</v>
      </c>
      <c r="D63" s="525" t="s">
        <v>1316</v>
      </c>
      <c r="E63" s="124" t="s">
        <v>1309</v>
      </c>
      <c r="F63" s="124" t="s">
        <v>1324</v>
      </c>
      <c r="G63" s="581" t="s">
        <v>18</v>
      </c>
      <c r="H63" s="148">
        <f t="shared" si="12"/>
        <v>771000</v>
      </c>
      <c r="I63" s="315">
        <f t="shared" si="13"/>
        <v>452962.5</v>
      </c>
      <c r="J63" s="694">
        <f t="shared" si="14"/>
        <v>0.04</v>
      </c>
      <c r="K63" s="580" t="s">
        <v>1175</v>
      </c>
      <c r="L63" s="148">
        <f t="shared" si="10"/>
        <v>38550</v>
      </c>
      <c r="M63" s="335">
        <f t="shared" si="15"/>
        <v>59.767441860465112</v>
      </c>
      <c r="N63" s="313">
        <f t="shared" si="11"/>
        <v>645</v>
      </c>
      <c r="O63" s="581" t="s">
        <v>18</v>
      </c>
      <c r="P63" s="580" t="s">
        <v>1175</v>
      </c>
      <c r="Q63" s="581" t="s">
        <v>18</v>
      </c>
      <c r="R63" s="315" t="s">
        <v>195</v>
      </c>
      <c r="S63" s="315" t="s">
        <v>196</v>
      </c>
      <c r="T63" s="148">
        <f>T$74*(AE63/AE$58)</f>
        <v>14128128</v>
      </c>
      <c r="U63" s="313" t="str">
        <f t="shared" ref="U63:U65" si="20">U60</f>
        <v>Part of DNA</v>
      </c>
      <c r="V63" s="313" t="s">
        <v>45</v>
      </c>
      <c r="W63" s="313" t="s">
        <v>45</v>
      </c>
      <c r="X63" s="118">
        <f>(L63*(AC$4/AC$6))*L$93*L$94*L$95*L$96*AC63</f>
        <v>13615983.359999999</v>
      </c>
      <c r="Y63" s="348" t="s">
        <v>18</v>
      </c>
      <c r="Z63">
        <f t="shared" si="5"/>
        <v>55</v>
      </c>
      <c r="AB63" s="134">
        <f t="shared" si="17"/>
        <v>0.33463035019455251</v>
      </c>
      <c r="AC63" s="12">
        <f>AC$58*(AE63/AE$58)</f>
        <v>11.2</v>
      </c>
      <c r="AD63" t="s">
        <v>1601</v>
      </c>
      <c r="AE63">
        <v>56</v>
      </c>
      <c r="AF63" t="s">
        <v>1604</v>
      </c>
      <c r="AG63" t="s">
        <v>1610</v>
      </c>
    </row>
    <row r="64" spans="2:33" x14ac:dyDescent="0.35">
      <c r="B64">
        <f t="shared" si="0"/>
        <v>56</v>
      </c>
      <c r="C64" s="636" t="s">
        <v>1326</v>
      </c>
      <c r="D64" s="525" t="s">
        <v>1316</v>
      </c>
      <c r="E64" s="124" t="s">
        <v>453</v>
      </c>
      <c r="F64" s="124" t="s">
        <v>1324</v>
      </c>
      <c r="G64" s="581" t="s">
        <v>18</v>
      </c>
      <c r="H64" s="148">
        <f t="shared" si="12"/>
        <v>16800</v>
      </c>
      <c r="I64" s="315">
        <f>I$58*C99</f>
        <v>9870</v>
      </c>
      <c r="J64" s="694">
        <f>J$74</f>
        <v>0.04</v>
      </c>
      <c r="K64" s="580" t="s">
        <v>1175</v>
      </c>
      <c r="L64" s="148">
        <f t="shared" si="10"/>
        <v>840</v>
      </c>
      <c r="M64" s="335">
        <f>M$58*C99</f>
        <v>1.3023255813953489</v>
      </c>
      <c r="N64" s="313">
        <f>L64/M64</f>
        <v>645</v>
      </c>
      <c r="O64" s="581" t="s">
        <v>18</v>
      </c>
      <c r="P64" s="580" t="s">
        <v>1175</v>
      </c>
      <c r="Q64" s="581" t="s">
        <v>18</v>
      </c>
      <c r="R64" s="315" t="s">
        <v>195</v>
      </c>
      <c r="S64" s="315" t="s">
        <v>196</v>
      </c>
      <c r="T64" s="148">
        <f>T$74*(AE64/AE$58)</f>
        <v>14128128</v>
      </c>
      <c r="U64" s="313" t="str">
        <f t="shared" si="20"/>
        <v>Part of DNA</v>
      </c>
      <c r="V64" s="313" t="s">
        <v>45</v>
      </c>
      <c r="W64" s="313" t="s">
        <v>45</v>
      </c>
      <c r="X64" s="118">
        <f>(L64*(AC$4/AC$6))*L$93*L$94*L$95*L$96*AC64</f>
        <v>296690.68799999997</v>
      </c>
      <c r="Y64" s="348" t="s">
        <v>18</v>
      </c>
      <c r="Z64">
        <f t="shared" si="5"/>
        <v>56</v>
      </c>
      <c r="AB64" s="134">
        <f t="shared" si="17"/>
        <v>15.357142857142858</v>
      </c>
      <c r="AC64" s="12">
        <f>AC$58*(AE64/AE$58)</f>
        <v>11.2</v>
      </c>
      <c r="AD64" t="s">
        <v>1601</v>
      </c>
      <c r="AE64">
        <v>56</v>
      </c>
      <c r="AF64" t="s">
        <v>1604</v>
      </c>
      <c r="AG64" t="s">
        <v>1610</v>
      </c>
    </row>
    <row r="65" spans="2:33" x14ac:dyDescent="0.35">
      <c r="B65">
        <f t="shared" si="0"/>
        <v>57</v>
      </c>
      <c r="C65" s="636" t="s">
        <v>1588</v>
      </c>
      <c r="D65" s="525" t="s">
        <v>1589</v>
      </c>
      <c r="E65" s="124" t="s">
        <v>1592</v>
      </c>
      <c r="F65" s="124" t="s">
        <v>1400</v>
      </c>
      <c r="G65" s="581" t="s">
        <v>18</v>
      </c>
      <c r="H65" s="612">
        <v>0.05</v>
      </c>
      <c r="I65" s="693">
        <f>I$58*C100</f>
        <v>0.24675</v>
      </c>
      <c r="J65" s="694">
        <f>J74/L100</f>
        <v>3.9999999999999998E-6</v>
      </c>
      <c r="K65" s="580" t="s">
        <v>1175</v>
      </c>
      <c r="L65" s="612">
        <f>(D100*G100*D$103)/AC$1</f>
        <v>2.5000000000000001E-3</v>
      </c>
      <c r="M65" s="695">
        <f>M$58*C100</f>
        <v>3.2558139534883718E-5</v>
      </c>
      <c r="N65" s="313">
        <f>L65/M65</f>
        <v>76.785714285714292</v>
      </c>
      <c r="O65" s="581" t="s">
        <v>18</v>
      </c>
      <c r="P65" s="580" t="s">
        <v>1593</v>
      </c>
      <c r="Q65" s="581" t="s">
        <v>18</v>
      </c>
      <c r="R65" s="315" t="s">
        <v>195</v>
      </c>
      <c r="S65" s="315" t="s">
        <v>196</v>
      </c>
      <c r="T65" s="184">
        <f>(T$74*(AE65/AE$58))/L100</f>
        <v>3.1103999999999998</v>
      </c>
      <c r="U65" s="313" t="str">
        <f t="shared" si="20"/>
        <v>Part of DNA</v>
      </c>
      <c r="V65" s="313" t="s">
        <v>45</v>
      </c>
      <c r="W65" s="313" t="s">
        <v>45</v>
      </c>
      <c r="X65" s="700">
        <f t="shared" si="18"/>
        <v>1.9439999999999998E-3</v>
      </c>
      <c r="Y65" s="348" t="s">
        <v>18</v>
      </c>
      <c r="Z65">
        <f t="shared" si="5"/>
        <v>57</v>
      </c>
      <c r="AA65" t="s">
        <v>1596</v>
      </c>
      <c r="AB65" s="134">
        <f t="shared" si="17"/>
        <v>5160000</v>
      </c>
      <c r="AC65" s="12">
        <f>AC$58*(AE65/AE$58)</f>
        <v>2.4657534246575342E-2</v>
      </c>
      <c r="AD65" t="s">
        <v>1601</v>
      </c>
      <c r="AE65">
        <f>45/365</f>
        <v>0.12328767123287671</v>
      </c>
      <c r="AF65" t="s">
        <v>1604</v>
      </c>
      <c r="AG65" t="s">
        <v>1612</v>
      </c>
    </row>
    <row r="66" spans="2:33" x14ac:dyDescent="0.35">
      <c r="B66">
        <f t="shared" si="0"/>
        <v>58</v>
      </c>
      <c r="C66" s="23" t="str">
        <f>AI_Supercomputers!C42</f>
        <v>Nvidia GB200 NVL72 training cluster</v>
      </c>
      <c r="D66" s="292" t="str">
        <f>AI_Supercomputers!E42</f>
        <v>Volume 2025</v>
      </c>
      <c r="E66" s="637" t="str">
        <f>AI_Supercomputers!F42</f>
        <v>AI training and inference</v>
      </c>
      <c r="F66" s="638" t="s">
        <v>905</v>
      </c>
      <c r="G66" s="639" t="s">
        <v>45</v>
      </c>
      <c r="H66" s="118">
        <f>I66*(1/H$3)</f>
        <v>15552</v>
      </c>
      <c r="I66" s="99">
        <f>AI_Supercomputers!M42</f>
        <v>31104</v>
      </c>
      <c r="J66" s="118">
        <f>KeyChips!K$16</f>
        <v>16000</v>
      </c>
      <c r="K66" s="294">
        <f>AI_Supercomputers!I42</f>
        <v>36</v>
      </c>
      <c r="L66" s="118">
        <f>AI_Supercomputers!S11</f>
        <v>1440000</v>
      </c>
      <c r="M66" s="294">
        <f>AI_Supercomputers!K11</f>
        <v>195662.33766233767</v>
      </c>
      <c r="N66" s="306">
        <f t="shared" si="11"/>
        <v>7.3596176821983272</v>
      </c>
      <c r="O66" s="582">
        <f>AI_Supercomputers!O42*AC2</f>
        <v>2340000</v>
      </c>
      <c r="P66" s="294"/>
      <c r="Q66" s="582"/>
      <c r="R66" s="294" t="s">
        <v>18</v>
      </c>
      <c r="S66" s="294" t="s">
        <v>18</v>
      </c>
      <c r="T66" s="118" t="s">
        <v>18</v>
      </c>
      <c r="U66" s="294" t="s">
        <v>18</v>
      </c>
      <c r="V66" s="294" t="s">
        <v>18</v>
      </c>
      <c r="W66" s="294" t="s">
        <v>18</v>
      </c>
      <c r="X66" s="118" t="s">
        <v>45</v>
      </c>
      <c r="Y66" s="640" t="s">
        <v>18</v>
      </c>
      <c r="Z66">
        <f t="shared" si="5"/>
        <v>58</v>
      </c>
    </row>
    <row r="67" spans="2:33" x14ac:dyDescent="0.35">
      <c r="B67">
        <f t="shared" si="0"/>
        <v>59</v>
      </c>
      <c r="C67" s="23" t="str">
        <f>KeyChips!C57</f>
        <v>Min. AGI computer GB200 +40TB HBM</v>
      </c>
      <c r="D67" s="295" t="str">
        <f>KeyChips!D57</f>
        <v>Doable 2025</v>
      </c>
      <c r="E67" s="1" t="str">
        <f>KeyChips!$E$57</f>
        <v>Minimum computer to run AGI</v>
      </c>
      <c r="F67" s="1" t="s">
        <v>1188</v>
      </c>
      <c r="G67" s="582" t="s">
        <v>45</v>
      </c>
      <c r="H67" s="118">
        <f>I67*(1/H$3)</f>
        <v>20432</v>
      </c>
      <c r="I67" s="99">
        <f>KeyChips!J57</f>
        <v>40864</v>
      </c>
      <c r="J67" s="118">
        <f>KeyChips!K$57</f>
        <v>16000</v>
      </c>
      <c r="K67" s="294">
        <v>1</v>
      </c>
      <c r="L67" s="118">
        <f>KeyChips!V57</f>
        <v>40000</v>
      </c>
      <c r="M67" s="294">
        <f>KeyChips!R57</f>
        <v>22700</v>
      </c>
      <c r="N67" s="306">
        <f t="shared" si="11"/>
        <v>1.7621145374449338</v>
      </c>
      <c r="O67" s="582">
        <f>KeyChips!N57</f>
        <v>465000</v>
      </c>
      <c r="P67" s="294"/>
      <c r="Q67" s="582"/>
      <c r="R67" s="294" t="s">
        <v>903</v>
      </c>
      <c r="S67" s="99" t="s">
        <v>874</v>
      </c>
      <c r="T67" s="118" t="s">
        <v>18</v>
      </c>
      <c r="U67" s="294" t="str">
        <f>U69</f>
        <v>Likely 10,000</v>
      </c>
      <c r="V67" s="294" t="str">
        <f>V58</f>
        <v>&gt;360</v>
      </c>
      <c r="W67" s="296" t="str">
        <f>W58</f>
        <v>&gt;1000?</v>
      </c>
      <c r="X67" s="118" t="s">
        <v>45</v>
      </c>
      <c r="Y67" s="307">
        <f>Y69</f>
        <v>0</v>
      </c>
      <c r="Z67">
        <f t="shared" si="5"/>
        <v>59</v>
      </c>
    </row>
    <row r="68" spans="2:33" x14ac:dyDescent="0.35">
      <c r="B68">
        <f t="shared" si="0"/>
        <v>60</v>
      </c>
      <c r="C68" s="23" t="str">
        <f>KeyChips!$C$58</f>
        <v>15, 4 TB SSD disks doing 7.4GB/s each</v>
      </c>
      <c r="D68" s="295" t="str">
        <f>KeyChips!$D$58</f>
        <v>Reality 2024</v>
      </c>
      <c r="E68" s="1" t="str">
        <f>KeyChips!$E$58</f>
        <v>SSD for minimum AGI, 6.1 min. boot time</v>
      </c>
      <c r="F68" s="1"/>
      <c r="G68" s="582" t="s">
        <v>45</v>
      </c>
      <c r="H68" s="118" t="s">
        <v>45</v>
      </c>
      <c r="I68" s="99">
        <f>15*4*AC1</f>
        <v>60000</v>
      </c>
      <c r="J68" s="118">
        <f>7.4*15</f>
        <v>111</v>
      </c>
      <c r="K68" s="294" t="s">
        <v>45</v>
      </c>
      <c r="L68" s="118" t="s">
        <v>45</v>
      </c>
      <c r="M68" s="294" t="s">
        <v>1217</v>
      </c>
      <c r="N68" s="306" t="s">
        <v>45</v>
      </c>
      <c r="O68" s="582">
        <f>KeyChips!N58</f>
        <v>4035</v>
      </c>
      <c r="P68" s="294"/>
      <c r="Q68" s="582"/>
      <c r="R68" s="294" t="s">
        <v>45</v>
      </c>
      <c r="S68" s="294" t="s">
        <v>45</v>
      </c>
      <c r="T68" s="118" t="s">
        <v>18</v>
      </c>
      <c r="U68" s="294" t="s">
        <v>45</v>
      </c>
      <c r="V68" s="294" t="s">
        <v>45</v>
      </c>
      <c r="W68" s="296" t="s">
        <v>45</v>
      </c>
      <c r="X68" s="118" t="s">
        <v>45</v>
      </c>
      <c r="Y68" s="307" t="s">
        <v>45</v>
      </c>
      <c r="Z68">
        <f t="shared" si="5"/>
        <v>60</v>
      </c>
    </row>
    <row r="69" spans="2:33" ht="15" thickBot="1" x14ac:dyDescent="0.4">
      <c r="B69">
        <f t="shared" si="0"/>
        <v>61</v>
      </c>
      <c r="C69" s="23" t="str">
        <f>KeyChips!C59</f>
        <v>Artificial human beings - An artificial species capable of building their own technological civilization without any further help from biological humans</v>
      </c>
      <c r="D69" s="308" t="str">
        <f>KeyChips!D59</f>
        <v>2045 singularity year as predicted by Raymond Kurzweil and arrival of artificial super intelligence in supercomputers that far exceeds the combined intelligence of mankind. The term singularity is taken from physics and is meant to say that technological development at that point becomes extremely rapid, unreversible and also unpredictable like passing the event horison in a black hole singularity in physics</v>
      </c>
      <c r="E69" s="1" t="str">
        <f>KeyChips!$E$59</f>
        <v>First non-biological humanoid species</v>
      </c>
      <c r="F69" s="1" t="s">
        <v>1189</v>
      </c>
      <c r="G69" s="582">
        <f>G58*10</f>
        <v>650000</v>
      </c>
      <c r="H69" s="148">
        <f>I69*(1/H$3)</f>
        <v>20432</v>
      </c>
      <c r="I69" s="99">
        <f>I67</f>
        <v>40864</v>
      </c>
      <c r="J69" s="118" t="str">
        <f>KeyChips!K59</f>
        <v>&gt;16,000</v>
      </c>
      <c r="K69" s="294">
        <v>1</v>
      </c>
      <c r="L69" s="118">
        <f>L58</f>
        <v>12900</v>
      </c>
      <c r="M69" s="294">
        <f>AI_Supercomputers!J45</f>
        <v>100</v>
      </c>
      <c r="N69" s="306">
        <f>L69/M69</f>
        <v>129</v>
      </c>
      <c r="O69" s="582">
        <f>KeyChips!N59</f>
        <v>20000</v>
      </c>
      <c r="P69" s="294">
        <v>1</v>
      </c>
      <c r="Q69" s="652">
        <f>O69/AC2</f>
        <v>0.02</v>
      </c>
      <c r="R69" s="294" t="s">
        <v>903</v>
      </c>
      <c r="S69" s="99" t="s">
        <v>874</v>
      </c>
      <c r="T69" s="118" t="s">
        <v>18</v>
      </c>
      <c r="U69" s="293" t="s">
        <v>906</v>
      </c>
      <c r="V69" s="294" t="str">
        <f>V58</f>
        <v>&gt;360</v>
      </c>
      <c r="W69" s="296" t="str">
        <f>W58</f>
        <v>&gt;1000?</v>
      </c>
      <c r="X69" s="701" t="s">
        <v>45</v>
      </c>
      <c r="Y69" s="307">
        <v>0</v>
      </c>
      <c r="Z69">
        <f t="shared" si="5"/>
        <v>61</v>
      </c>
    </row>
    <row r="70" spans="2:33" ht="15" thickTop="1" x14ac:dyDescent="0.35">
      <c r="B70">
        <f t="shared" si="0"/>
        <v>62</v>
      </c>
      <c r="C70" s="400" t="s">
        <v>1070</v>
      </c>
      <c r="D70" s="401"/>
      <c r="E70" s="538"/>
      <c r="F70" s="538"/>
      <c r="G70" s="539" t="s">
        <v>45</v>
      </c>
      <c r="H70" s="401" t="s">
        <v>45</v>
      </c>
      <c r="I70" s="401">
        <f>L97*L96*L95*L94*I139/AC3</f>
        <v>16.819199999999999</v>
      </c>
      <c r="J70" s="576">
        <f>I135/AC3</f>
        <v>3.3333333333333334E-8</v>
      </c>
      <c r="K70" s="576" t="s">
        <v>45</v>
      </c>
      <c r="L70" s="401" t="s">
        <v>45</v>
      </c>
      <c r="M70" s="401" t="s">
        <v>45</v>
      </c>
      <c r="N70" s="401" t="s">
        <v>45</v>
      </c>
      <c r="O70" s="401" t="s">
        <v>45</v>
      </c>
      <c r="P70" s="401" t="s">
        <v>45</v>
      </c>
      <c r="Q70" s="401" t="s">
        <v>45</v>
      </c>
      <c r="R70" s="401" t="s">
        <v>45</v>
      </c>
      <c r="S70" s="401" t="s">
        <v>45</v>
      </c>
      <c r="T70" s="401">
        <f>I70</f>
        <v>16.819199999999999</v>
      </c>
      <c r="U70" s="401" t="s">
        <v>45</v>
      </c>
      <c r="V70" s="401" t="s">
        <v>45</v>
      </c>
      <c r="W70" s="401" t="s">
        <v>45</v>
      </c>
      <c r="X70" s="401" t="s">
        <v>45</v>
      </c>
      <c r="Y70" s="540" t="s">
        <v>45</v>
      </c>
      <c r="Z70">
        <f t="shared" si="5"/>
        <v>62</v>
      </c>
      <c r="AB70" s="2">
        <v>1</v>
      </c>
    </row>
    <row r="71" spans="2:33" x14ac:dyDescent="0.35">
      <c r="B71">
        <f t="shared" si="0"/>
        <v>63</v>
      </c>
      <c r="C71" s="23" t="s">
        <v>1101</v>
      </c>
      <c r="D71" s="376"/>
      <c r="E71" s="507"/>
      <c r="F71" s="507"/>
      <c r="G71" s="374" t="s">
        <v>45</v>
      </c>
      <c r="H71" s="376" t="s">
        <v>45</v>
      </c>
      <c r="I71" s="376">
        <f>L92*L95*L96*L97</f>
        <v>48355.199999999997</v>
      </c>
      <c r="J71" s="577">
        <f>(L92/(L94*L93))</f>
        <v>9.5833333333333323E-5</v>
      </c>
      <c r="K71" s="376" t="s">
        <v>45</v>
      </c>
      <c r="L71" s="376" t="s">
        <v>45</v>
      </c>
      <c r="M71" s="376" t="s">
        <v>45</v>
      </c>
      <c r="N71" s="376" t="s">
        <v>45</v>
      </c>
      <c r="O71" s="376" t="s">
        <v>45</v>
      </c>
      <c r="P71" s="376" t="s">
        <v>45</v>
      </c>
      <c r="Q71" s="376" t="s">
        <v>45</v>
      </c>
      <c r="R71" s="376" t="s">
        <v>45</v>
      </c>
      <c r="S71" s="376" t="s">
        <v>45</v>
      </c>
      <c r="T71" s="376">
        <f>I71</f>
        <v>48355.199999999997</v>
      </c>
      <c r="U71" s="376" t="s">
        <v>45</v>
      </c>
      <c r="V71" s="376" t="s">
        <v>45</v>
      </c>
      <c r="W71" s="376" t="s">
        <v>45</v>
      </c>
      <c r="X71" s="376" t="s">
        <v>45</v>
      </c>
      <c r="Y71" s="528" t="s">
        <v>45</v>
      </c>
      <c r="Z71">
        <f t="shared" si="5"/>
        <v>63</v>
      </c>
      <c r="AB71" s="2">
        <f>J71/J70</f>
        <v>2874.9999999999995</v>
      </c>
    </row>
    <row r="72" spans="2:33" x14ac:dyDescent="0.35">
      <c r="B72">
        <f t="shared" si="0"/>
        <v>64</v>
      </c>
      <c r="C72" s="23" t="s">
        <v>1307</v>
      </c>
      <c r="D72" s="376"/>
      <c r="E72" s="507"/>
      <c r="F72" s="507"/>
      <c r="G72" s="374"/>
      <c r="H72" s="376" t="s">
        <v>45</v>
      </c>
      <c r="I72" s="376">
        <f>L90*0.1*L95*L96*L97</f>
        <v>13175.04</v>
      </c>
      <c r="J72" s="577">
        <f>L90/(L94*L93*10)</f>
        <v>2.611111111111111E-5</v>
      </c>
      <c r="K72" s="376" t="s">
        <v>45</v>
      </c>
      <c r="L72" s="376" t="s">
        <v>45</v>
      </c>
      <c r="M72" s="376" t="s">
        <v>45</v>
      </c>
      <c r="N72" s="376" t="s">
        <v>45</v>
      </c>
      <c r="O72" s="376" t="s">
        <v>45</v>
      </c>
      <c r="P72" s="376" t="s">
        <v>45</v>
      </c>
      <c r="Q72" s="376" t="s">
        <v>45</v>
      </c>
      <c r="R72" s="376" t="s">
        <v>45</v>
      </c>
      <c r="S72" s="376" t="s">
        <v>45</v>
      </c>
      <c r="T72" s="376">
        <f>I72</f>
        <v>13175.04</v>
      </c>
      <c r="U72" s="376" t="s">
        <v>45</v>
      </c>
      <c r="V72" s="376" t="s">
        <v>45</v>
      </c>
      <c r="W72" s="376" t="s">
        <v>45</v>
      </c>
      <c r="X72" s="376" t="s">
        <v>45</v>
      </c>
      <c r="Y72" s="528" t="s">
        <v>45</v>
      </c>
      <c r="Z72">
        <f t="shared" si="5"/>
        <v>64</v>
      </c>
      <c r="AB72" s="2">
        <f>J72/J70</f>
        <v>783.33333333333326</v>
      </c>
    </row>
    <row r="73" spans="2:33" x14ac:dyDescent="0.35">
      <c r="B73">
        <f t="shared" si="0"/>
        <v>65</v>
      </c>
      <c r="C73" s="23" t="s">
        <v>1598</v>
      </c>
      <c r="D73" s="376"/>
      <c r="E73" s="507"/>
      <c r="F73" s="507"/>
      <c r="G73" s="374" t="s">
        <v>45</v>
      </c>
      <c r="H73" s="376" t="s">
        <v>45</v>
      </c>
      <c r="I73" s="372">
        <f>L89*L95*L96*L97</f>
        <v>5045760</v>
      </c>
      <c r="J73" s="577">
        <f>L89/(L94*L93)</f>
        <v>0.01</v>
      </c>
      <c r="K73" s="376" t="s">
        <v>45</v>
      </c>
      <c r="L73" s="376" t="s">
        <v>45</v>
      </c>
      <c r="M73" s="376" t="s">
        <v>45</v>
      </c>
      <c r="N73" s="376" t="s">
        <v>45</v>
      </c>
      <c r="O73" s="376" t="s">
        <v>45</v>
      </c>
      <c r="P73" s="376" t="s">
        <v>45</v>
      </c>
      <c r="Q73" s="376" t="s">
        <v>45</v>
      </c>
      <c r="R73" s="376" t="s">
        <v>45</v>
      </c>
      <c r="S73" s="376" t="s">
        <v>45</v>
      </c>
      <c r="T73" s="376">
        <f>I73</f>
        <v>5045760</v>
      </c>
      <c r="U73" s="376" t="s">
        <v>45</v>
      </c>
      <c r="V73" s="376" t="s">
        <v>45</v>
      </c>
      <c r="W73" s="376" t="s">
        <v>45</v>
      </c>
      <c r="X73" s="376" t="s">
        <v>45</v>
      </c>
      <c r="Y73" s="528" t="s">
        <v>45</v>
      </c>
      <c r="Z73">
        <f t="shared" si="5"/>
        <v>65</v>
      </c>
      <c r="AB73" s="2">
        <f>J73/J70</f>
        <v>300000</v>
      </c>
    </row>
    <row r="74" spans="2:33" ht="15" thickBot="1" x14ac:dyDescent="0.4">
      <c r="B74">
        <f t="shared" si="0"/>
        <v>66</v>
      </c>
      <c r="C74" s="27" t="s">
        <v>1599</v>
      </c>
      <c r="D74" s="534"/>
      <c r="E74" s="535"/>
      <c r="F74" s="535"/>
      <c r="G74" s="536"/>
      <c r="H74" s="534"/>
      <c r="I74" s="534">
        <f>I73*4</f>
        <v>20183040</v>
      </c>
      <c r="J74" s="578">
        <f>J73*4</f>
        <v>0.04</v>
      </c>
      <c r="K74" s="534" t="s">
        <v>45</v>
      </c>
      <c r="L74" s="534" t="s">
        <v>45</v>
      </c>
      <c r="M74" s="534" t="s">
        <v>45</v>
      </c>
      <c r="N74" s="534" t="s">
        <v>45</v>
      </c>
      <c r="O74" s="534" t="s">
        <v>45</v>
      </c>
      <c r="P74" s="534" t="s">
        <v>45</v>
      </c>
      <c r="Q74" s="534" t="s">
        <v>45</v>
      </c>
      <c r="R74" s="534" t="s">
        <v>45</v>
      </c>
      <c r="S74" s="534" t="s">
        <v>45</v>
      </c>
      <c r="T74" s="534">
        <f>I74</f>
        <v>20183040</v>
      </c>
      <c r="U74" s="534" t="s">
        <v>45</v>
      </c>
      <c r="V74" s="534" t="s">
        <v>45</v>
      </c>
      <c r="W74" s="534" t="s">
        <v>45</v>
      </c>
      <c r="X74" s="534" t="s">
        <v>45</v>
      </c>
      <c r="Y74" s="537" t="s">
        <v>45</v>
      </c>
      <c r="Z74">
        <f t="shared" si="5"/>
        <v>66</v>
      </c>
      <c r="AB74" s="2">
        <f>J74/J70</f>
        <v>1200000</v>
      </c>
    </row>
    <row r="75" spans="2:33" ht="15" thickTop="1" x14ac:dyDescent="0.35">
      <c r="C75" s="44" t="s">
        <v>198</v>
      </c>
      <c r="D75" s="31"/>
      <c r="E75" s="31"/>
      <c r="F75" s="31"/>
      <c r="G75" s="31"/>
      <c r="H75" s="31"/>
      <c r="I75" s="31"/>
      <c r="J75" s="31"/>
      <c r="K75" s="31"/>
      <c r="L75" s="31"/>
      <c r="M75" s="31"/>
      <c r="N75" s="31"/>
      <c r="O75" s="31"/>
      <c r="P75" s="31"/>
      <c r="Q75" s="31"/>
      <c r="R75" s="31"/>
      <c r="S75" s="31"/>
      <c r="T75" s="31"/>
      <c r="U75" s="31"/>
      <c r="V75" s="31"/>
      <c r="W75" s="31"/>
      <c r="X75" s="31"/>
      <c r="Y75" s="32"/>
    </row>
    <row r="76" spans="2:33" x14ac:dyDescent="0.35">
      <c r="H76" s="419" t="s">
        <v>1314</v>
      </c>
    </row>
    <row r="77" spans="2:33" x14ac:dyDescent="0.35">
      <c r="C77" s="8" t="s">
        <v>1067</v>
      </c>
      <c r="E77" s="2">
        <f>L93*L94*L95*L96*L97</f>
        <v>504576000</v>
      </c>
      <c r="G77" s="7" t="s">
        <v>1214</v>
      </c>
      <c r="J77" s="126" t="s">
        <v>1298</v>
      </c>
      <c r="K77" s="126"/>
      <c r="L77" s="126"/>
      <c r="M77" s="126"/>
      <c r="N77" s="126"/>
      <c r="O77" s="126"/>
      <c r="P77" s="126"/>
      <c r="Q77" s="126"/>
      <c r="R77" s="126"/>
      <c r="S77" s="126"/>
      <c r="T77" s="126"/>
      <c r="U77" s="126"/>
      <c r="V77" s="126"/>
      <c r="Y77" s="24">
        <f>I67/J68</f>
        <v>368.14414414414415</v>
      </c>
      <c r="AB77" s="8" t="s">
        <v>419</v>
      </c>
      <c r="AE77" t="s">
        <v>107</v>
      </c>
      <c r="AF77" s="147" t="s">
        <v>418</v>
      </c>
    </row>
    <row r="78" spans="2:33" x14ac:dyDescent="0.35">
      <c r="C78" s="8" t="s">
        <v>1068</v>
      </c>
      <c r="E78" s="2">
        <f>E77*60</f>
        <v>30274560000</v>
      </c>
      <c r="G78" s="7" t="s">
        <v>1215</v>
      </c>
      <c r="H78" t="s">
        <v>505</v>
      </c>
      <c r="I78" t="s">
        <v>45</v>
      </c>
      <c r="J78" s="128">
        <f>(J66/J74)</f>
        <v>400000</v>
      </c>
      <c r="K78" s="126"/>
      <c r="L78" s="1" t="s">
        <v>496</v>
      </c>
      <c r="M78" s="1"/>
      <c r="N78" s="1"/>
      <c r="O78" s="1"/>
      <c r="P78" s="1"/>
      <c r="Q78" s="1"/>
      <c r="R78" s="1"/>
      <c r="S78" s="1"/>
      <c r="T78" s="1"/>
      <c r="U78" s="1"/>
      <c r="V78" s="1"/>
      <c r="W78" s="1"/>
      <c r="X78" s="1"/>
      <c r="Y78" s="12">
        <f>Y77/60</f>
        <v>6.1357357357357358</v>
      </c>
      <c r="AB78">
        <v>1</v>
      </c>
      <c r="AC78" t="s">
        <v>420</v>
      </c>
      <c r="AE78" t="s">
        <v>211</v>
      </c>
      <c r="AF78">
        <v>4</v>
      </c>
      <c r="AG78" t="s">
        <v>103</v>
      </c>
    </row>
    <row r="79" spans="2:33" x14ac:dyDescent="0.35">
      <c r="C79" s="8" t="s">
        <v>1304</v>
      </c>
      <c r="E79" s="2">
        <f>L93*L94*L95*L96*L97*0.1</f>
        <v>50457600</v>
      </c>
      <c r="H79" s="115" t="s">
        <v>502</v>
      </c>
      <c r="L79" s="1"/>
      <c r="M79" s="1"/>
      <c r="N79" s="1"/>
      <c r="O79" s="1"/>
      <c r="P79" s="1"/>
      <c r="Q79" s="1"/>
      <c r="R79" s="1"/>
      <c r="S79" s="99">
        <f>1080*2000*8*60</f>
        <v>1036800000</v>
      </c>
      <c r="T79" s="1" t="s">
        <v>495</v>
      </c>
      <c r="U79" s="1"/>
      <c r="V79" s="1"/>
      <c r="W79" s="1"/>
      <c r="X79" s="1"/>
      <c r="Y79" s="24">
        <f>I58*(1/H$3)</f>
        <v>75787.5</v>
      </c>
      <c r="AB79">
        <v>1</v>
      </c>
      <c r="AC79" t="s">
        <v>421</v>
      </c>
      <c r="AE79" t="s">
        <v>211</v>
      </c>
      <c r="AF79">
        <v>2</v>
      </c>
      <c r="AG79" t="s">
        <v>103</v>
      </c>
    </row>
    <row r="80" spans="2:33" x14ac:dyDescent="0.35">
      <c r="C80" s="8" t="s">
        <v>1344</v>
      </c>
      <c r="E80" s="2">
        <f>L93*L94*(L95-L85)*L96*L87*0.1</f>
        <v>37843200</v>
      </c>
      <c r="Y80">
        <f>(L$84-L$85)*L$86*L$87*L$90</f>
        <v>98812.799999999988</v>
      </c>
    </row>
    <row r="81" spans="3:24" x14ac:dyDescent="0.35">
      <c r="C81" s="8"/>
      <c r="T81" s="8"/>
      <c r="U81" s="152"/>
    </row>
    <row r="82" spans="3:24" x14ac:dyDescent="0.35">
      <c r="D82" s="104" t="s">
        <v>1341</v>
      </c>
    </row>
    <row r="83" spans="3:24" x14ac:dyDescent="0.35">
      <c r="D83" s="8" t="s">
        <v>489</v>
      </c>
    </row>
    <row r="84" spans="3:24" x14ac:dyDescent="0.35">
      <c r="D84" t="s">
        <v>358</v>
      </c>
      <c r="I84" s="46">
        <f>(L84-L85)*L86*L89*L88*4</f>
        <v>30274560</v>
      </c>
      <c r="J84" s="8" t="s">
        <v>103</v>
      </c>
      <c r="K84" s="8"/>
      <c r="L84">
        <v>24</v>
      </c>
      <c r="M84" t="s">
        <v>355</v>
      </c>
    </row>
    <row r="85" spans="3:24" x14ac:dyDescent="0.35">
      <c r="D85" t="s">
        <v>1342</v>
      </c>
      <c r="I85" s="46">
        <f>(L84-L85)*L86*L89*L87*4</f>
        <v>15137280</v>
      </c>
      <c r="J85" s="8" t="s">
        <v>103</v>
      </c>
      <c r="K85" s="8"/>
      <c r="L85">
        <v>8</v>
      </c>
      <c r="M85" t="s">
        <v>356</v>
      </c>
    </row>
    <row r="86" spans="3:24" x14ac:dyDescent="0.35">
      <c r="D86" s="113" t="s">
        <v>1343</v>
      </c>
      <c r="E86" s="1"/>
      <c r="F86" s="1"/>
      <c r="G86" s="1"/>
      <c r="H86" s="1"/>
      <c r="I86" s="112">
        <f>(L84-L85)*L86*L87*L90*0.1</f>
        <v>9881.2799999999988</v>
      </c>
      <c r="J86" s="8" t="s">
        <v>103</v>
      </c>
      <c r="K86" s="8"/>
      <c r="L86">
        <v>365</v>
      </c>
      <c r="M86" t="s">
        <v>352</v>
      </c>
    </row>
    <row r="87" spans="3:24" x14ac:dyDescent="0.35">
      <c r="D87" s="113" t="s">
        <v>439</v>
      </c>
      <c r="E87" s="1"/>
      <c r="F87" s="1"/>
      <c r="G87" s="1"/>
      <c r="H87" s="1"/>
      <c r="I87" s="112">
        <f>D93*D101*(D91/D92)</f>
        <v>151575</v>
      </c>
      <c r="J87" s="8" t="s">
        <v>103</v>
      </c>
      <c r="K87" s="8"/>
      <c r="L87">
        <v>18</v>
      </c>
      <c r="M87" t="s">
        <v>354</v>
      </c>
    </row>
    <row r="88" spans="3:24" x14ac:dyDescent="0.35">
      <c r="D88" s="113" t="s">
        <v>456</v>
      </c>
      <c r="E88" s="1"/>
      <c r="F88" s="1"/>
      <c r="G88" s="1"/>
      <c r="H88" s="1"/>
      <c r="I88" s="112">
        <f>D94*D101*(D91/D92)</f>
        <v>28728.75</v>
      </c>
      <c r="J88" s="8" t="s">
        <v>103</v>
      </c>
      <c r="K88" s="8"/>
      <c r="L88">
        <v>36</v>
      </c>
      <c r="M88" t="s">
        <v>354</v>
      </c>
    </row>
    <row r="89" spans="3:24" x14ac:dyDescent="0.35">
      <c r="D89" s="113" t="s">
        <v>438</v>
      </c>
      <c r="E89" s="1"/>
      <c r="F89" s="1"/>
      <c r="G89" s="1"/>
      <c r="H89" s="1"/>
      <c r="I89" s="112">
        <f>I86*(D95/D93)</f>
        <v>3217.1609302325578</v>
      </c>
      <c r="J89" s="8" t="s">
        <v>103</v>
      </c>
      <c r="K89" s="8"/>
      <c r="L89">
        <f>(U89*L93*L94/M134)/AC1</f>
        <v>36</v>
      </c>
      <c r="M89" t="s">
        <v>1061</v>
      </c>
      <c r="U89">
        <v>80</v>
      </c>
      <c r="V89" t="s">
        <v>1060</v>
      </c>
      <c r="W89" s="14" t="s">
        <v>1063</v>
      </c>
      <c r="X89" s="14"/>
    </row>
    <row r="90" spans="3:24" x14ac:dyDescent="0.35">
      <c r="D90" s="634" t="s">
        <v>370</v>
      </c>
      <c r="E90" s="634"/>
      <c r="F90" s="634"/>
      <c r="G90" s="634"/>
      <c r="I90" t="s">
        <v>365</v>
      </c>
      <c r="L90" s="12">
        <v>0.94</v>
      </c>
      <c r="M90" t="s">
        <v>1066</v>
      </c>
      <c r="V90" s="14" t="s">
        <v>353</v>
      </c>
    </row>
    <row r="91" spans="3:24" x14ac:dyDescent="0.35">
      <c r="D91">
        <v>4.7</v>
      </c>
      <c r="E91" t="s">
        <v>366</v>
      </c>
      <c r="H91" t="s">
        <v>107</v>
      </c>
      <c r="I91" s="14" t="s">
        <v>367</v>
      </c>
      <c r="J91" t="s">
        <v>45</v>
      </c>
      <c r="L91" s="3">
        <v>6.7000000000000004E-2</v>
      </c>
      <c r="M91" t="s">
        <v>1059</v>
      </c>
    </row>
    <row r="92" spans="3:24" x14ac:dyDescent="0.35">
      <c r="D92">
        <v>8</v>
      </c>
      <c r="E92" t="s">
        <v>368</v>
      </c>
      <c r="H92" t="s">
        <v>107</v>
      </c>
      <c r="I92" s="14" t="s">
        <v>322</v>
      </c>
      <c r="J92" t="s">
        <v>45</v>
      </c>
      <c r="L92">
        <v>0.34499999999999997</v>
      </c>
      <c r="M92" s="8" t="s">
        <v>1069</v>
      </c>
      <c r="T92" s="14" t="s">
        <v>689</v>
      </c>
    </row>
    <row r="93" spans="3:24" x14ac:dyDescent="0.35">
      <c r="C93" s="76">
        <f t="shared" ref="C93:C98" si="21">D93/D$93</f>
        <v>1</v>
      </c>
      <c r="D93">
        <v>86</v>
      </c>
      <c r="E93" t="s">
        <v>430</v>
      </c>
      <c r="H93" t="s">
        <v>107</v>
      </c>
      <c r="I93" s="14" t="s">
        <v>432</v>
      </c>
      <c r="J93" t="s">
        <v>45</v>
      </c>
      <c r="L93">
        <v>60</v>
      </c>
      <c r="M93" s="8" t="s">
        <v>546</v>
      </c>
    </row>
    <row r="94" spans="3:24" x14ac:dyDescent="0.35">
      <c r="C94" s="76">
        <f t="shared" si="21"/>
        <v>0.18953488372093025</v>
      </c>
      <c r="D94">
        <v>16.3</v>
      </c>
      <c r="E94" t="s">
        <v>1311</v>
      </c>
      <c r="H94" t="s">
        <v>107</v>
      </c>
      <c r="I94" s="14" t="s">
        <v>452</v>
      </c>
      <c r="J94" t="s">
        <v>45</v>
      </c>
      <c r="L94">
        <v>60</v>
      </c>
      <c r="M94" s="8" t="s">
        <v>1056</v>
      </c>
      <c r="R94" s="8" t="s">
        <v>639</v>
      </c>
      <c r="T94" s="2">
        <f>500*25</f>
        <v>12500</v>
      </c>
      <c r="U94" t="s">
        <v>640</v>
      </c>
    </row>
    <row r="95" spans="3:24" x14ac:dyDescent="0.35">
      <c r="C95" s="76">
        <f t="shared" si="21"/>
        <v>0.32558139534883723</v>
      </c>
      <c r="D95">
        <v>28</v>
      </c>
      <c r="E95" t="s">
        <v>431</v>
      </c>
      <c r="H95" t="s">
        <v>107</v>
      </c>
      <c r="I95" s="14" t="s">
        <v>432</v>
      </c>
      <c r="J95" t="s">
        <v>45</v>
      </c>
      <c r="L95">
        <v>24</v>
      </c>
      <c r="M95" s="8" t="s">
        <v>355</v>
      </c>
      <c r="R95" s="8" t="s">
        <v>1064</v>
      </c>
      <c r="T95" s="2">
        <f>L97*L96*L95*L94</f>
        <v>8409600</v>
      </c>
    </row>
    <row r="96" spans="3:24" x14ac:dyDescent="0.35">
      <c r="C96" s="76">
        <f t="shared" si="21"/>
        <v>4.1046511627906977E-2</v>
      </c>
      <c r="D96">
        <v>3.53</v>
      </c>
      <c r="E96" t="s">
        <v>1072</v>
      </c>
      <c r="H96" t="s">
        <v>107</v>
      </c>
      <c r="I96" s="14" t="s">
        <v>1071</v>
      </c>
      <c r="J96" t="s">
        <v>45</v>
      </c>
      <c r="L96">
        <v>365</v>
      </c>
      <c r="M96" s="8" t="s">
        <v>352</v>
      </c>
      <c r="R96" s="8" t="s">
        <v>1058</v>
      </c>
      <c r="T96" s="2">
        <f>T95*I137</f>
        <v>2522880000</v>
      </c>
    </row>
    <row r="97" spans="3:25" x14ac:dyDescent="0.35">
      <c r="C97" s="76">
        <f t="shared" si="21"/>
        <v>8.1395348837209306E-4</v>
      </c>
      <c r="D97" s="3">
        <v>7.0000000000000007E-2</v>
      </c>
      <c r="E97" t="s">
        <v>1047</v>
      </c>
      <c r="H97" t="s">
        <v>107</v>
      </c>
      <c r="I97" s="14" t="s">
        <v>1048</v>
      </c>
      <c r="J97">
        <v>100</v>
      </c>
      <c r="K97" t="s">
        <v>1597</v>
      </c>
      <c r="L97">
        <v>16</v>
      </c>
      <c r="M97" s="8" t="s">
        <v>1057</v>
      </c>
      <c r="N97" t="s">
        <v>1646</v>
      </c>
      <c r="R97" s="8" t="s">
        <v>1065</v>
      </c>
      <c r="T97" s="2">
        <f>T95/300</f>
        <v>28032</v>
      </c>
    </row>
    <row r="98" spans="3:25" x14ac:dyDescent="0.35">
      <c r="C98" s="76">
        <f t="shared" si="21"/>
        <v>2.9883720930232558</v>
      </c>
      <c r="D98" s="6">
        <v>257</v>
      </c>
      <c r="E98" t="s">
        <v>1312</v>
      </c>
      <c r="H98" t="s">
        <v>107</v>
      </c>
      <c r="I98" s="14" t="s">
        <v>1071</v>
      </c>
      <c r="J98" t="s">
        <v>45</v>
      </c>
      <c r="M98" s="8"/>
      <c r="R98" s="8"/>
      <c r="T98" s="2"/>
    </row>
    <row r="99" spans="3:25" x14ac:dyDescent="0.35">
      <c r="C99" s="76">
        <f>D99/D$93</f>
        <v>6.5116279069767441E-2</v>
      </c>
      <c r="D99" s="6">
        <v>5.6</v>
      </c>
      <c r="E99" t="s">
        <v>1313</v>
      </c>
      <c r="H99" t="s">
        <v>107</v>
      </c>
      <c r="I99" s="14" t="s">
        <v>1071</v>
      </c>
      <c r="J99" t="s">
        <v>45</v>
      </c>
      <c r="M99" s="8"/>
      <c r="R99" s="8"/>
      <c r="T99" s="2"/>
    </row>
    <row r="100" spans="3:25" x14ac:dyDescent="0.35">
      <c r="C100" s="692">
        <f>D100/D$93</f>
        <v>1.627906976744186E-6</v>
      </c>
      <c r="D100" s="653">
        <v>1.3999999999999999E-4</v>
      </c>
      <c r="E100" t="s">
        <v>1396</v>
      </c>
      <c r="G100" s="24">
        <f>50000000/140000</f>
        <v>357.14285714285717</v>
      </c>
      <c r="H100" t="s">
        <v>1397</v>
      </c>
      <c r="I100" s="14"/>
      <c r="J100" t="s">
        <v>97</v>
      </c>
      <c r="K100" s="14" t="s">
        <v>1398</v>
      </c>
      <c r="L100">
        <v>10000</v>
      </c>
      <c r="M100" t="s">
        <v>1597</v>
      </c>
      <c r="R100" s="8"/>
      <c r="T100" s="2"/>
    </row>
    <row r="101" spans="3:25" x14ac:dyDescent="0.35">
      <c r="D101">
        <v>3000</v>
      </c>
      <c r="E101" t="s">
        <v>433</v>
      </c>
      <c r="H101" t="s">
        <v>107</v>
      </c>
      <c r="I101" s="14" t="s">
        <v>152</v>
      </c>
      <c r="J101" t="s">
        <v>45</v>
      </c>
    </row>
    <row r="102" spans="3:25" x14ac:dyDescent="0.35">
      <c r="C102" s="8"/>
      <c r="D102">
        <v>10000</v>
      </c>
      <c r="E102" t="s">
        <v>369</v>
      </c>
      <c r="H102" t="s">
        <v>107</v>
      </c>
      <c r="I102" s="14" t="s">
        <v>152</v>
      </c>
      <c r="J102" s="14" t="s">
        <v>151</v>
      </c>
      <c r="K102" s="14"/>
    </row>
    <row r="103" spans="3:25" x14ac:dyDescent="0.35">
      <c r="D103">
        <v>50</v>
      </c>
      <c r="E103" t="s">
        <v>371</v>
      </c>
      <c r="H103" t="s">
        <v>107</v>
      </c>
      <c r="I103" s="14" t="s">
        <v>343</v>
      </c>
      <c r="J103" t="s">
        <v>372</v>
      </c>
      <c r="L103" t="s">
        <v>373</v>
      </c>
      <c r="M103" s="14" t="s">
        <v>374</v>
      </c>
      <c r="N103" t="s">
        <v>375</v>
      </c>
      <c r="R103" s="14" t="s">
        <v>376</v>
      </c>
      <c r="S103" t="s">
        <v>45</v>
      </c>
    </row>
    <row r="104" spans="3:25" x14ac:dyDescent="0.35">
      <c r="D104" s="8" t="s">
        <v>436</v>
      </c>
      <c r="I104" s="46">
        <f>D93*D102</f>
        <v>860000</v>
      </c>
      <c r="J104" s="8" t="s">
        <v>101</v>
      </c>
      <c r="K104" s="8"/>
      <c r="M104" t="s">
        <v>393</v>
      </c>
    </row>
    <row r="105" spans="3:25" x14ac:dyDescent="0.35">
      <c r="D105" s="8" t="s">
        <v>435</v>
      </c>
      <c r="I105" s="46">
        <f>D93*D101</f>
        <v>258000</v>
      </c>
      <c r="J105" s="8" t="s">
        <v>101</v>
      </c>
      <c r="K105" s="8"/>
      <c r="M105" t="s">
        <v>97</v>
      </c>
      <c r="N105" s="14" t="s">
        <v>114</v>
      </c>
      <c r="O105" s="14"/>
      <c r="P105" s="14"/>
      <c r="Q105" s="14"/>
      <c r="R105" t="s">
        <v>45</v>
      </c>
    </row>
    <row r="106" spans="3:25" x14ac:dyDescent="0.35">
      <c r="D106" s="8" t="s">
        <v>454</v>
      </c>
      <c r="I106" s="46">
        <f>D94*D101</f>
        <v>48900</v>
      </c>
      <c r="J106" s="8" t="s">
        <v>101</v>
      </c>
      <c r="K106" s="8"/>
      <c r="M106" s="1" t="s">
        <v>877</v>
      </c>
      <c r="N106" s="1"/>
      <c r="O106" s="1"/>
      <c r="P106" s="1"/>
      <c r="Q106" s="1"/>
      <c r="R106" s="1"/>
      <c r="S106" s="1"/>
      <c r="T106" s="1"/>
      <c r="U106" s="1"/>
      <c r="V106" s="1"/>
      <c r="W106" s="1"/>
      <c r="X106" s="1"/>
      <c r="Y106" s="1"/>
    </row>
    <row r="107" spans="3:25" x14ac:dyDescent="0.35">
      <c r="D107" s="8" t="s">
        <v>437</v>
      </c>
      <c r="I107" s="46">
        <f>D95*D101</f>
        <v>84000</v>
      </c>
      <c r="J107" s="8" t="s">
        <v>101</v>
      </c>
      <c r="K107" s="8"/>
      <c r="M107" t="s">
        <v>107</v>
      </c>
      <c r="N107" s="14" t="s">
        <v>326</v>
      </c>
      <c r="O107" s="14"/>
      <c r="P107" s="14"/>
      <c r="Q107" s="14"/>
    </row>
    <row r="108" spans="3:25" x14ac:dyDescent="0.35">
      <c r="M108" s="1" t="s">
        <v>483</v>
      </c>
      <c r="N108" s="1"/>
      <c r="O108" s="1"/>
      <c r="P108" s="1"/>
      <c r="Q108" s="1"/>
      <c r="R108" s="1"/>
      <c r="S108" s="1"/>
      <c r="T108" s="1"/>
      <c r="U108" s="1">
        <v>2000</v>
      </c>
      <c r="V108" s="1" t="s">
        <v>141</v>
      </c>
    </row>
    <row r="109" spans="3:25" x14ac:dyDescent="0.35">
      <c r="D109" s="123" t="s">
        <v>434</v>
      </c>
      <c r="E109" s="124"/>
      <c r="F109" s="124"/>
      <c r="G109" s="124"/>
      <c r="H109" s="124"/>
      <c r="I109" s="125">
        <f>(D95/1000)*D$101*D$103</f>
        <v>4200</v>
      </c>
      <c r="J109" s="8" t="s">
        <v>377</v>
      </c>
      <c r="K109" s="8"/>
      <c r="L109" s="8" t="s">
        <v>341</v>
      </c>
    </row>
    <row r="110" spans="3:25" x14ac:dyDescent="0.35">
      <c r="D110" s="123" t="s">
        <v>378</v>
      </c>
      <c r="E110" s="124"/>
      <c r="F110" s="124"/>
      <c r="G110" s="124"/>
      <c r="H110" s="124"/>
      <c r="I110" s="125">
        <f>(D93/1000)*D$101*D$103</f>
        <v>12900</v>
      </c>
      <c r="J110" s="8" t="s">
        <v>377</v>
      </c>
      <c r="K110" s="8"/>
      <c r="L110" s="14" t="s">
        <v>155</v>
      </c>
      <c r="M110" t="str">
        <f>D111</f>
        <v>Raymond Kurzweil 2009 slide 20 estimate 10^19 FLOPS are needed to simulate a complete human brain in a supercomputer for brain uploading. Ray K. also has a lower estimate of 2*10^16 or 20,000 TFLOPS that uses 100 billion neurons*1000 synapses *200 firings per second and call that estimate the needed compute for functional brain simulation</v>
      </c>
    </row>
    <row r="111" spans="3:25" x14ac:dyDescent="0.35">
      <c r="D111" s="123" t="s">
        <v>1095</v>
      </c>
      <c r="E111" s="124"/>
      <c r="F111" s="124"/>
      <c r="G111" s="124"/>
      <c r="H111" s="124"/>
      <c r="I111" s="125">
        <v>10000000</v>
      </c>
      <c r="J111" s="8" t="s">
        <v>377</v>
      </c>
      <c r="K111" s="8"/>
      <c r="L111" s="14" t="s">
        <v>343</v>
      </c>
      <c r="M111" t="s">
        <v>344</v>
      </c>
    </row>
    <row r="112" spans="3:25" x14ac:dyDescent="0.35">
      <c r="D112" s="123" t="s">
        <v>455</v>
      </c>
      <c r="E112" s="124"/>
      <c r="F112" s="124"/>
      <c r="G112" s="124"/>
      <c r="H112" s="124"/>
      <c r="I112" s="125">
        <f>(D94/1000)*D$101*D$103</f>
        <v>2445.0000000000005</v>
      </c>
      <c r="J112" s="8" t="s">
        <v>377</v>
      </c>
      <c r="K112" s="8"/>
      <c r="L112" s="14" t="s">
        <v>345</v>
      </c>
    </row>
    <row r="113" spans="4:26" x14ac:dyDescent="0.35">
      <c r="L113" s="14" t="s">
        <v>342</v>
      </c>
    </row>
    <row r="114" spans="4:26" x14ac:dyDescent="0.35">
      <c r="L114" s="14"/>
    </row>
    <row r="115" spans="4:26" x14ac:dyDescent="0.35">
      <c r="L115" s="14" t="s">
        <v>379</v>
      </c>
    </row>
    <row r="116" spans="4:26" x14ac:dyDescent="0.35">
      <c r="L116" s="14"/>
    </row>
    <row r="117" spans="4:26" x14ac:dyDescent="0.35">
      <c r="D117" s="8"/>
      <c r="L117" s="113" t="s">
        <v>480</v>
      </c>
      <c r="M117" s="1"/>
    </row>
    <row r="118" spans="4:26" x14ac:dyDescent="0.35">
      <c r="I118" s="2"/>
      <c r="L118" s="14" t="s">
        <v>338</v>
      </c>
      <c r="M118" t="s">
        <v>45</v>
      </c>
      <c r="N118" s="1"/>
      <c r="O118" s="1"/>
      <c r="P118" s="1"/>
      <c r="Q118" s="1"/>
      <c r="R118" s="1" t="s">
        <v>1096</v>
      </c>
      <c r="S118" s="1"/>
      <c r="T118" s="1"/>
      <c r="U118" s="1"/>
      <c r="W118" s="115" t="s">
        <v>502</v>
      </c>
      <c r="X118" s="115"/>
      <c r="Y118" s="2">
        <f>100*1000</f>
        <v>100000</v>
      </c>
    </row>
    <row r="119" spans="4:26" x14ac:dyDescent="0.35">
      <c r="L119" s="14" t="s">
        <v>339</v>
      </c>
      <c r="M119" t="s">
        <v>45</v>
      </c>
      <c r="R119" t="s">
        <v>504</v>
      </c>
    </row>
    <row r="120" spans="4:26" x14ac:dyDescent="0.35">
      <c r="L120" s="14"/>
      <c r="Z120" t="s">
        <v>503</v>
      </c>
    </row>
    <row r="121" spans="4:26" x14ac:dyDescent="0.35">
      <c r="L121" s="14" t="s">
        <v>340</v>
      </c>
      <c r="M121" t="s">
        <v>45</v>
      </c>
    </row>
    <row r="122" spans="4:26" x14ac:dyDescent="0.35">
      <c r="D122" s="8" t="s">
        <v>447</v>
      </c>
    </row>
    <row r="123" spans="4:26" x14ac:dyDescent="0.35">
      <c r="D123" t="s">
        <v>1097</v>
      </c>
    </row>
    <row r="124" spans="4:26" x14ac:dyDescent="0.35">
      <c r="D124" t="s">
        <v>916</v>
      </c>
      <c r="L124" s="159" t="s">
        <v>38</v>
      </c>
    </row>
    <row r="125" spans="4:26" x14ac:dyDescent="0.35">
      <c r="L125" s="159"/>
    </row>
    <row r="126" spans="4:26" x14ac:dyDescent="0.35">
      <c r="D126" t="s">
        <v>450</v>
      </c>
      <c r="L126" s="14" t="s">
        <v>446</v>
      </c>
    </row>
    <row r="127" spans="4:26" x14ac:dyDescent="0.35">
      <c r="D127" t="s">
        <v>471</v>
      </c>
      <c r="H127">
        <v>8</v>
      </c>
      <c r="I127" s="12">
        <v>3</v>
      </c>
      <c r="J127" t="s">
        <v>215</v>
      </c>
      <c r="L127" s="14" t="s">
        <v>451</v>
      </c>
      <c r="M127" t="s">
        <v>917</v>
      </c>
    </row>
    <row r="128" spans="4:26" x14ac:dyDescent="0.35">
      <c r="D128" s="8" t="s">
        <v>490</v>
      </c>
      <c r="I128">
        <v>50</v>
      </c>
      <c r="J128" s="8" t="s">
        <v>215</v>
      </c>
      <c r="K128" s="8"/>
      <c r="L128" s="14"/>
    </row>
    <row r="129" spans="3:25" x14ac:dyDescent="0.35">
      <c r="D129">
        <v>24</v>
      </c>
      <c r="E129" s="8" t="s">
        <v>355</v>
      </c>
      <c r="I129" s="12"/>
      <c r="L129" s="14" t="s">
        <v>448</v>
      </c>
    </row>
    <row r="130" spans="3:25" x14ac:dyDescent="0.35">
      <c r="D130">
        <v>1</v>
      </c>
      <c r="E130" s="8" t="s">
        <v>1098</v>
      </c>
      <c r="L130" s="14" t="s">
        <v>449</v>
      </c>
    </row>
    <row r="131" spans="3:25" x14ac:dyDescent="0.35">
      <c r="D131">
        <f>60*60</f>
        <v>3600</v>
      </c>
      <c r="E131" t="s">
        <v>533</v>
      </c>
      <c r="F131" s="8"/>
      <c r="G131" s="8"/>
      <c r="H131" s="8"/>
      <c r="I131" s="140"/>
      <c r="J131" s="8"/>
      <c r="K131" s="8"/>
    </row>
    <row r="132" spans="3:25" x14ac:dyDescent="0.35">
      <c r="D132">
        <v>0.1</v>
      </c>
      <c r="E132" t="s">
        <v>534</v>
      </c>
      <c r="F132" s="46"/>
      <c r="G132" s="8" t="s">
        <v>1099</v>
      </c>
      <c r="H132" s="8"/>
      <c r="I132" s="46"/>
      <c r="J132" s="8"/>
      <c r="K132" s="8"/>
    </row>
    <row r="133" spans="3:25" x14ac:dyDescent="0.35">
      <c r="D133">
        <v>60</v>
      </c>
      <c r="E133" t="s">
        <v>546</v>
      </c>
      <c r="I133" s="2"/>
    </row>
    <row r="134" spans="3:25" x14ac:dyDescent="0.35">
      <c r="D134" s="113" t="s">
        <v>923</v>
      </c>
      <c r="E134" s="1"/>
      <c r="F134" s="113"/>
      <c r="G134" s="113"/>
      <c r="H134" s="113"/>
      <c r="I134" s="112">
        <f>M134*I135</f>
        <v>266.66666666666669</v>
      </c>
      <c r="J134" s="113" t="s">
        <v>922</v>
      </c>
      <c r="K134" s="113" t="s">
        <v>107</v>
      </c>
      <c r="L134" s="14" t="s">
        <v>1318</v>
      </c>
      <c r="M134">
        <v>8</v>
      </c>
      <c r="N134" t="s">
        <v>1062</v>
      </c>
      <c r="S134" t="s">
        <v>107</v>
      </c>
    </row>
    <row r="135" spans="3:25" x14ac:dyDescent="0.35">
      <c r="D135" s="575" t="s">
        <v>1139</v>
      </c>
      <c r="E135" s="1"/>
      <c r="F135" s="1"/>
      <c r="G135" s="1"/>
      <c r="H135" s="1"/>
      <c r="I135" s="347">
        <f>I139/D133</f>
        <v>33.333333333333336</v>
      </c>
      <c r="J135" s="113" t="s">
        <v>547</v>
      </c>
      <c r="K135" s="113" t="s">
        <v>107</v>
      </c>
      <c r="L135" s="14" t="s">
        <v>1318</v>
      </c>
      <c r="N135" s="8" t="s">
        <v>536</v>
      </c>
      <c r="O135" s="8"/>
      <c r="P135" s="8"/>
      <c r="Q135" s="8"/>
    </row>
    <row r="136" spans="3:25" x14ac:dyDescent="0.35">
      <c r="D136" s="8" t="s">
        <v>537</v>
      </c>
      <c r="I136" s="12">
        <f>500*2000/1000000</f>
        <v>1</v>
      </c>
      <c r="J136" s="8" t="s">
        <v>535</v>
      </c>
      <c r="K136" s="8"/>
      <c r="M136" s="14" t="s">
        <v>540</v>
      </c>
    </row>
    <row r="137" spans="3:25" x14ac:dyDescent="0.35">
      <c r="D137" s="8" t="s">
        <v>538</v>
      </c>
      <c r="I137">
        <v>300</v>
      </c>
      <c r="J137" s="8" t="s">
        <v>539</v>
      </c>
      <c r="K137" s="8"/>
      <c r="M137" s="14" t="s">
        <v>541</v>
      </c>
    </row>
    <row r="138" spans="3:25" x14ac:dyDescent="0.35">
      <c r="D138" s="8" t="s">
        <v>543</v>
      </c>
      <c r="I138">
        <v>1</v>
      </c>
      <c r="J138" s="8" t="s">
        <v>542</v>
      </c>
      <c r="K138" s="8"/>
      <c r="M138" s="14" t="s">
        <v>541</v>
      </c>
    </row>
    <row r="139" spans="3:25" x14ac:dyDescent="0.35">
      <c r="D139" s="8" t="s">
        <v>544</v>
      </c>
      <c r="I139">
        <v>2000</v>
      </c>
      <c r="J139" s="8" t="s">
        <v>545</v>
      </c>
      <c r="K139" s="8"/>
      <c r="M139" t="s">
        <v>540</v>
      </c>
    </row>
    <row r="141" spans="3:25" ht="24" thickBot="1" x14ac:dyDescent="0.6">
      <c r="C141" s="11" t="s">
        <v>38</v>
      </c>
    </row>
    <row r="142" spans="3:25" ht="15" thickTop="1" x14ac:dyDescent="0.35">
      <c r="C142" s="18" t="str">
        <f t="shared" ref="C142:Y142" si="22">C6</f>
        <v>Name of AI model or</v>
      </c>
      <c r="D142" s="19" t="str">
        <f t="shared" si="22"/>
        <v xml:space="preserve">Year </v>
      </c>
      <c r="E142" s="19" t="str">
        <f t="shared" si="22"/>
        <v>Main use, description and</v>
      </c>
      <c r="F142" s="19" t="str">
        <f t="shared" si="22"/>
        <v xml:space="preserve">Status </v>
      </c>
      <c r="G142" s="19" t="str">
        <f t="shared" si="22"/>
        <v>Income USD</v>
      </c>
      <c r="H142" s="19" t="str">
        <f t="shared" si="22"/>
        <v>AI model</v>
      </c>
      <c r="I142" s="19" t="str">
        <f t="shared" si="22"/>
        <v>Associated</v>
      </c>
      <c r="J142" s="19" t="str">
        <f t="shared" si="22"/>
        <v>Memory</v>
      </c>
      <c r="K142" s="19" t="str">
        <f t="shared" si="22"/>
        <v>Min. # of</v>
      </c>
      <c r="L142" s="19" t="str">
        <f t="shared" si="22"/>
        <v>Compute</v>
      </c>
      <c r="M142" s="19" t="str">
        <f t="shared" si="22"/>
        <v>Power use</v>
      </c>
      <c r="N142" s="19" t="str">
        <f t="shared" si="22"/>
        <v>TFLOPS</v>
      </c>
      <c r="O142" s="19" t="str">
        <f t="shared" si="22"/>
        <v>Cost min.</v>
      </c>
      <c r="P142" s="19" t="str">
        <f t="shared" si="22"/>
        <v># of chips</v>
      </c>
      <c r="Q142" s="19" t="str">
        <f t="shared" si="22"/>
        <v>Cost of</v>
      </c>
      <c r="R142" s="19" t="str">
        <f t="shared" si="22"/>
        <v>Max input</v>
      </c>
      <c r="S142" s="19" t="str">
        <f t="shared" si="22"/>
        <v>Training data</v>
      </c>
      <c r="T142" s="19" t="str">
        <f t="shared" si="22"/>
        <v>Estimated</v>
      </c>
      <c r="U142" s="19" t="str">
        <f t="shared" si="22"/>
        <v xml:space="preserve">Lines of code </v>
      </c>
      <c r="V142" s="19" t="str">
        <f t="shared" si="22"/>
        <v># of sub</v>
      </c>
      <c r="W142" s="19" t="str">
        <f t="shared" si="22"/>
        <v># of layers</v>
      </c>
      <c r="X142" s="19" t="str">
        <f t="shared" ref="X142" si="23">X6</f>
        <v>Training</v>
      </c>
      <c r="Y142" s="20" t="str">
        <f t="shared" si="22"/>
        <v>Cost of</v>
      </c>
    </row>
    <row r="143" spans="3:25" x14ac:dyDescent="0.35">
      <c r="C143" s="21" t="str">
        <f>C7</f>
        <v>computing entity</v>
      </c>
      <c r="D143" s="13" t="str">
        <f>D7</f>
        <v>announced</v>
      </c>
      <c r="E143" s="13" t="str">
        <f>E7</f>
        <v>likely chip used for inference</v>
      </c>
      <c r="F143" s="13"/>
      <c r="G143" s="13" t="str">
        <f t="shared" ref="G143:Y143" si="24">G7</f>
        <v>from AI web</v>
      </c>
      <c r="H143" s="13" t="str">
        <f t="shared" si="24"/>
        <v>in billion</v>
      </c>
      <c r="I143" s="13" t="str">
        <f t="shared" si="24"/>
        <v>memory</v>
      </c>
      <c r="J143" s="13" t="str">
        <f t="shared" si="24"/>
        <v>bandwidth</v>
      </c>
      <c r="K143" s="13" t="str">
        <f t="shared" si="24"/>
        <v>chips for</v>
      </c>
      <c r="L143" s="13" t="str">
        <f t="shared" si="24"/>
        <v>TFLOPS used</v>
      </c>
      <c r="M143" s="13" t="str">
        <f t="shared" si="24"/>
        <v>in watt for</v>
      </c>
      <c r="N143" s="13" t="str">
        <f t="shared" si="24"/>
        <v>per watt</v>
      </c>
      <c r="O143" s="13" t="str">
        <f t="shared" si="24"/>
        <v>inference</v>
      </c>
      <c r="P143" s="13" t="str">
        <f t="shared" si="24"/>
        <v>used in</v>
      </c>
      <c r="Q143" s="13" t="str">
        <f t="shared" si="24"/>
        <v xml:space="preserve">training cluster </v>
      </c>
      <c r="R143" s="13" t="str">
        <f t="shared" si="24"/>
        <v>tokens 1=4</v>
      </c>
      <c r="S143" s="13" t="str">
        <f t="shared" si="24"/>
        <v>billion tokens</v>
      </c>
      <c r="T143" s="13" t="str">
        <f t="shared" si="24"/>
        <v>size of training</v>
      </c>
      <c r="U143" s="13" t="str">
        <f t="shared" si="24"/>
        <v>to specify</v>
      </c>
      <c r="V143" s="13" t="str">
        <f t="shared" si="24"/>
        <v xml:space="preserve">expert </v>
      </c>
      <c r="W143" s="13" t="str">
        <f t="shared" si="24"/>
        <v>in neural</v>
      </c>
      <c r="X143" s="13" t="str">
        <f t="shared" ref="X143" si="25">X7</f>
        <v>compute</v>
      </c>
      <c r="Y143" s="22" t="str">
        <f t="shared" si="24"/>
        <v>training</v>
      </c>
    </row>
    <row r="144" spans="3:25" ht="15" thickBot="1" x14ac:dyDescent="0.4">
      <c r="C144" s="210">
        <f>C8</f>
        <v>0</v>
      </c>
      <c r="D144" s="202" t="str">
        <f>D8</f>
        <v>or expected</v>
      </c>
      <c r="E144" s="202"/>
      <c r="F144" s="202"/>
      <c r="G144" s="202"/>
      <c r="H144" s="202" t="str">
        <f t="shared" ref="H144:M144" si="26">H8</f>
        <v>parameters</v>
      </c>
      <c r="I144" s="202" t="str">
        <f t="shared" si="26"/>
        <v>RAM in GB</v>
      </c>
      <c r="J144" s="202" t="str">
        <f t="shared" si="26"/>
        <v>GB/s</v>
      </c>
      <c r="K144" s="202" t="str">
        <f t="shared" si="26"/>
        <v>inference calc. by GB ram needed for AI model and GB in available AI chip</v>
      </c>
      <c r="L144" s="202" t="str">
        <f t="shared" si="26"/>
        <v>for inference</v>
      </c>
      <c r="M144" s="202" t="str">
        <f t="shared" si="26"/>
        <v>inference</v>
      </c>
      <c r="N144" s="202"/>
      <c r="O144" s="202" t="str">
        <f t="shared" ref="O144:Y144" si="27">O8</f>
        <v>computer</v>
      </c>
      <c r="P144" s="202" t="str">
        <f t="shared" si="27"/>
        <v>training cluster</v>
      </c>
      <c r="Q144" s="202" t="str">
        <f t="shared" si="27"/>
        <v>million USD</v>
      </c>
      <c r="R144" s="202" t="str">
        <f t="shared" si="27"/>
        <v>characters</v>
      </c>
      <c r="S144" s="202" t="str">
        <f t="shared" si="27"/>
        <v>or images</v>
      </c>
      <c r="T144" s="202" t="str">
        <f t="shared" si="27"/>
        <v>database in GB</v>
      </c>
      <c r="U144" s="202" t="str">
        <f t="shared" si="27"/>
        <v>full ai model</v>
      </c>
      <c r="V144" s="202" t="str">
        <f t="shared" si="27"/>
        <v>AI models</v>
      </c>
      <c r="W144" s="202" t="str">
        <f t="shared" si="27"/>
        <v>AI network</v>
      </c>
      <c r="X144" s="202" t="str">
        <f t="shared" ref="X144" si="28">X8</f>
        <v>ExaFlops</v>
      </c>
      <c r="Y144" s="211" t="str">
        <f t="shared" si="27"/>
        <v>million $</v>
      </c>
    </row>
    <row r="145" spans="2:26" ht="15" thickTop="1" x14ac:dyDescent="0.35">
      <c r="B145">
        <v>1</v>
      </c>
      <c r="C145" s="236" t="str">
        <f t="shared" ref="C145:C177" si="29">C9</f>
        <v>AI models that are predominantly LLMs (Large Language Models) or text to text</v>
      </c>
      <c r="D145" s="243"/>
      <c r="E145" s="243"/>
      <c r="F145" s="243"/>
      <c r="G145" s="243"/>
      <c r="H145" s="243"/>
      <c r="I145" s="243"/>
      <c r="J145" s="243"/>
      <c r="K145" s="243"/>
      <c r="L145" s="243"/>
      <c r="M145" s="243"/>
      <c r="N145" s="243"/>
      <c r="O145" s="243"/>
      <c r="P145" s="243"/>
      <c r="Q145" s="243"/>
      <c r="R145" s="243"/>
      <c r="S145" s="243"/>
      <c r="T145" s="243"/>
      <c r="U145" s="243"/>
      <c r="V145" s="243"/>
      <c r="W145" s="243"/>
      <c r="X145" s="243"/>
      <c r="Y145" s="244"/>
      <c r="Z145">
        <v>1</v>
      </c>
    </row>
    <row r="146" spans="2:26" x14ac:dyDescent="0.35">
      <c r="B146">
        <f t="shared" ref="B146:B210" si="30">B145+1</f>
        <v>2</v>
      </c>
      <c r="C146" s="23" t="str">
        <f t="shared" si="29"/>
        <v xml:space="preserve">GPT-1 by OpenAI </v>
      </c>
      <c r="D146" t="s">
        <v>1227</v>
      </c>
      <c r="E146" s="152" t="s">
        <v>1227</v>
      </c>
      <c r="F146" s="152" t="s">
        <v>1227</v>
      </c>
      <c r="G146" s="613" t="s">
        <v>45</v>
      </c>
      <c r="H146" s="110" t="s">
        <v>1227</v>
      </c>
      <c r="I146" s="29" t="s">
        <v>138</v>
      </c>
      <c r="J146" s="110" t="s">
        <v>305</v>
      </c>
      <c r="K146" t="s">
        <v>138</v>
      </c>
      <c r="L146" s="106" t="s">
        <v>138</v>
      </c>
      <c r="M146" s="29" t="s">
        <v>138</v>
      </c>
      <c r="N146" s="29" t="s">
        <v>138</v>
      </c>
      <c r="O146" s="29" t="s">
        <v>138</v>
      </c>
      <c r="P146" s="29"/>
      <c r="Q146" s="29"/>
      <c r="R146" s="28" t="s">
        <v>1235</v>
      </c>
      <c r="S146" s="48" t="s">
        <v>138</v>
      </c>
      <c r="T146" s="152" t="s">
        <v>1233</v>
      </c>
      <c r="U146" s="15" t="s">
        <v>1228</v>
      </c>
      <c r="V146" s="49" t="s">
        <v>45</v>
      </c>
      <c r="W146" s="49" t="s">
        <v>45</v>
      </c>
      <c r="X146" s="14" t="s">
        <v>1642</v>
      </c>
      <c r="Y146" s="145" t="s">
        <v>45</v>
      </c>
      <c r="Z146">
        <f t="shared" ref="Z146:Z149" si="31">Z145+1</f>
        <v>2</v>
      </c>
    </row>
    <row r="147" spans="2:26" x14ac:dyDescent="0.35">
      <c r="B147">
        <f t="shared" si="30"/>
        <v>3</v>
      </c>
      <c r="C147" s="23" t="str">
        <f t="shared" si="29"/>
        <v>GPT-2 by OpenAI, 13x bigger GPT-1</v>
      </c>
      <c r="D147" t="s">
        <v>1229</v>
      </c>
      <c r="E147" s="152" t="s">
        <v>1229</v>
      </c>
      <c r="F147" s="152" t="s">
        <v>1229</v>
      </c>
      <c r="G147" s="613" t="s">
        <v>45</v>
      </c>
      <c r="H147" s="163" t="s">
        <v>1229</v>
      </c>
      <c r="I147" s="29" t="s">
        <v>138</v>
      </c>
      <c r="J147" s="110" t="s">
        <v>305</v>
      </c>
      <c r="K147" t="s">
        <v>138</v>
      </c>
      <c r="L147" s="106" t="s">
        <v>138</v>
      </c>
      <c r="M147" s="29" t="s">
        <v>138</v>
      </c>
      <c r="N147" s="29" t="s">
        <v>138</v>
      </c>
      <c r="O147" s="29" t="s">
        <v>138</v>
      </c>
      <c r="P147" s="29"/>
      <c r="Q147" s="29"/>
      <c r="R147" s="48" t="s">
        <v>1236</v>
      </c>
      <c r="S147" s="48" t="s">
        <v>138</v>
      </c>
      <c r="T147" s="15" t="s">
        <v>1233</v>
      </c>
      <c r="U147" s="15" t="s">
        <v>1230</v>
      </c>
      <c r="V147" s="49" t="s">
        <v>45</v>
      </c>
      <c r="W147" s="49" t="s">
        <v>45</v>
      </c>
      <c r="X147" t="s">
        <v>1644</v>
      </c>
      <c r="Y147" s="145" t="s">
        <v>45</v>
      </c>
      <c r="Z147">
        <f t="shared" si="31"/>
        <v>3</v>
      </c>
    </row>
    <row r="148" spans="2:26" x14ac:dyDescent="0.35">
      <c r="B148">
        <f t="shared" si="30"/>
        <v>4</v>
      </c>
      <c r="C148" s="23" t="str">
        <f t="shared" si="29"/>
        <v>GPT-3 by OpenAI, 116x bigger GPT-2</v>
      </c>
      <c r="D148" s="28" t="s">
        <v>171</v>
      </c>
      <c r="E148" s="28" t="s">
        <v>172</v>
      </c>
      <c r="F148" s="28" t="s">
        <v>175</v>
      </c>
      <c r="G148" s="28" t="s">
        <v>175</v>
      </c>
      <c r="H148" s="110" t="s">
        <v>171</v>
      </c>
      <c r="I148" s="29" t="s">
        <v>138</v>
      </c>
      <c r="J148" s="110" t="s">
        <v>305</v>
      </c>
      <c r="K148" t="s">
        <v>138</v>
      </c>
      <c r="L148" s="106" t="s">
        <v>138</v>
      </c>
      <c r="M148" s="29" t="s">
        <v>138</v>
      </c>
      <c r="N148" s="29" t="s">
        <v>138</v>
      </c>
      <c r="O148" s="29" t="s">
        <v>138</v>
      </c>
      <c r="P148" s="28" t="s">
        <v>1383</v>
      </c>
      <c r="Q148" s="29" t="s">
        <v>944</v>
      </c>
      <c r="R148" s="28" t="s">
        <v>171</v>
      </c>
      <c r="S148" s="28" t="s">
        <v>359</v>
      </c>
      <c r="T148" s="48" t="s">
        <v>138</v>
      </c>
      <c r="U148" s="15" t="s">
        <v>653</v>
      </c>
      <c r="V148" s="49" t="s">
        <v>45</v>
      </c>
      <c r="W148" s="49" t="s">
        <v>45</v>
      </c>
      <c r="X148" t="s">
        <v>1643</v>
      </c>
      <c r="Y148" s="651" t="s">
        <v>1383</v>
      </c>
      <c r="Z148">
        <f t="shared" si="31"/>
        <v>4</v>
      </c>
    </row>
    <row r="149" spans="2:26" x14ac:dyDescent="0.35">
      <c r="B149">
        <f t="shared" si="30"/>
        <v>5</v>
      </c>
      <c r="C149" s="23" t="str">
        <f t="shared" si="29"/>
        <v>GPT-3.5 by OpenAI, refined GPT-3</v>
      </c>
      <c r="D149" s="15" t="s">
        <v>181</v>
      </c>
      <c r="E149" s="15" t="s">
        <v>190</v>
      </c>
      <c r="F149" s="28" t="s">
        <v>175</v>
      </c>
      <c r="G149" s="28" t="s">
        <v>175</v>
      </c>
      <c r="H149" s="107" t="s">
        <v>182</v>
      </c>
      <c r="I149" s="29" t="s">
        <v>138</v>
      </c>
      <c r="J149" s="110" t="s">
        <v>305</v>
      </c>
      <c r="K149" t="s">
        <v>138</v>
      </c>
      <c r="L149" s="106" t="s">
        <v>138</v>
      </c>
      <c r="M149" s="29" t="s">
        <v>138</v>
      </c>
      <c r="N149" s="29" t="s">
        <v>138</v>
      </c>
      <c r="O149" s="29" t="s">
        <v>138</v>
      </c>
      <c r="P149" s="29"/>
      <c r="Q149" s="29" t="s">
        <v>944</v>
      </c>
      <c r="R149" s="15" t="s">
        <v>188</v>
      </c>
      <c r="S149" s="48" t="s">
        <v>506</v>
      </c>
      <c r="T149" s="48" t="s">
        <v>138</v>
      </c>
      <c r="U149" s="15" t="s">
        <v>656</v>
      </c>
      <c r="V149" s="8" t="s">
        <v>45</v>
      </c>
      <c r="W149" s="14" t="s">
        <v>1624</v>
      </c>
      <c r="X149" t="s">
        <v>1652</v>
      </c>
      <c r="Y149" s="146" t="s">
        <v>45</v>
      </c>
      <c r="Z149">
        <f t="shared" si="31"/>
        <v>5</v>
      </c>
    </row>
    <row r="150" spans="2:26" x14ac:dyDescent="0.35">
      <c r="B150">
        <f t="shared" si="30"/>
        <v>6</v>
      </c>
      <c r="C150" s="23" t="str">
        <f t="shared" si="29"/>
        <v>GPT-3.5-turbo by OpenAI, destilled GPT-3.5</v>
      </c>
      <c r="D150" s="15" t="s">
        <v>722</v>
      </c>
      <c r="E150" s="48" t="s">
        <v>1102</v>
      </c>
      <c r="F150" s="28"/>
      <c r="G150" s="28"/>
      <c r="H150" s="107" t="s">
        <v>722</v>
      </c>
      <c r="I150" s="29"/>
      <c r="J150" s="110" t="s">
        <v>305</v>
      </c>
      <c r="K150" t="s">
        <v>138</v>
      </c>
      <c r="L150" s="106" t="s">
        <v>138</v>
      </c>
      <c r="M150" s="29" t="s">
        <v>138</v>
      </c>
      <c r="N150" s="29" t="s">
        <v>138</v>
      </c>
      <c r="O150" s="29" t="s">
        <v>138</v>
      </c>
      <c r="P150" s="29"/>
      <c r="Q150" s="29" t="s">
        <v>944</v>
      </c>
      <c r="R150" s="15"/>
      <c r="S150" s="48"/>
      <c r="T150" s="48"/>
      <c r="U150" s="15"/>
      <c r="V150" s="8"/>
      <c r="W150" s="8"/>
      <c r="X150" s="8" t="s">
        <v>45</v>
      </c>
      <c r="Y150" s="146"/>
      <c r="Z150">
        <f t="shared" ref="Z150:Z210" si="32">Z149+1</f>
        <v>6</v>
      </c>
    </row>
    <row r="151" spans="2:26" x14ac:dyDescent="0.35">
      <c r="B151">
        <f t="shared" si="30"/>
        <v>7</v>
      </c>
      <c r="C151" s="23" t="str">
        <f t="shared" si="29"/>
        <v>GPT-4 by OpenAI, 10X bigger GPT-3</v>
      </c>
      <c r="D151" s="15" t="s">
        <v>172</v>
      </c>
      <c r="E151" s="15" t="s">
        <v>189</v>
      </c>
      <c r="F151" s="28" t="s">
        <v>175</v>
      </c>
      <c r="G151" s="28" t="s">
        <v>175</v>
      </c>
      <c r="H151" s="107" t="s">
        <v>191</v>
      </c>
      <c r="I151" s="28" t="s">
        <v>191</v>
      </c>
      <c r="J151" s="110" t="s">
        <v>305</v>
      </c>
      <c r="K151" t="s">
        <v>191</v>
      </c>
      <c r="L151" s="107" t="s">
        <v>191</v>
      </c>
      <c r="M151" s="28" t="s">
        <v>191</v>
      </c>
      <c r="N151" s="29" t="s">
        <v>138</v>
      </c>
      <c r="O151" s="29" t="s">
        <v>138</v>
      </c>
      <c r="P151" s="29" t="s">
        <v>1383</v>
      </c>
      <c r="Q151" s="29" t="s">
        <v>944</v>
      </c>
      <c r="R151" s="15" t="s">
        <v>187</v>
      </c>
      <c r="S151" s="15" t="s">
        <v>191</v>
      </c>
      <c r="T151" s="48" t="s">
        <v>138</v>
      </c>
      <c r="U151" s="15" t="s">
        <v>657</v>
      </c>
      <c r="V151" s="15" t="s">
        <v>191</v>
      </c>
      <c r="W151" s="15" t="s">
        <v>191</v>
      </c>
      <c r="X151" s="15" t="s">
        <v>1628</v>
      </c>
      <c r="Y151" s="52" t="s">
        <v>191</v>
      </c>
      <c r="Z151">
        <f t="shared" si="32"/>
        <v>7</v>
      </c>
    </row>
    <row r="152" spans="2:26" x14ac:dyDescent="0.35">
      <c r="B152">
        <f t="shared" si="30"/>
        <v>8</v>
      </c>
      <c r="C152" s="23" t="str">
        <f t="shared" si="29"/>
        <v>GPT-4o by OpenAI, destilled GPT-4</v>
      </c>
      <c r="D152" s="15" t="s">
        <v>831</v>
      </c>
      <c r="E152" s="15" t="s">
        <v>831</v>
      </c>
      <c r="F152" s="15" t="s">
        <v>831</v>
      </c>
      <c r="G152" s="15" t="s">
        <v>831</v>
      </c>
      <c r="H152" s="116" t="s">
        <v>1265</v>
      </c>
      <c r="I152" s="169" t="s">
        <v>138</v>
      </c>
      <c r="J152" s="110" t="s">
        <v>305</v>
      </c>
      <c r="K152" t="s">
        <v>138</v>
      </c>
      <c r="L152" s="106" t="s">
        <v>138</v>
      </c>
      <c r="M152" s="29" t="s">
        <v>138</v>
      </c>
      <c r="N152" s="29" t="s">
        <v>138</v>
      </c>
      <c r="O152" s="29" t="s">
        <v>138</v>
      </c>
      <c r="P152" s="29"/>
      <c r="Q152" s="29"/>
      <c r="R152" s="39" t="s">
        <v>838</v>
      </c>
      <c r="S152" s="248" t="s">
        <v>45</v>
      </c>
      <c r="T152" s="248" t="s">
        <v>45</v>
      </c>
      <c r="U152" s="248" t="s">
        <v>45</v>
      </c>
      <c r="V152" s="248" t="s">
        <v>45</v>
      </c>
      <c r="W152" s="248" t="s">
        <v>45</v>
      </c>
      <c r="X152" s="248" t="s">
        <v>45</v>
      </c>
      <c r="Y152" s="249" t="s">
        <v>45</v>
      </c>
      <c r="Z152">
        <f t="shared" si="32"/>
        <v>8</v>
      </c>
    </row>
    <row r="153" spans="2:26" x14ac:dyDescent="0.35">
      <c r="B153">
        <f t="shared" si="30"/>
        <v>9</v>
      </c>
      <c r="C153" s="23" t="str">
        <f t="shared" si="29"/>
        <v>OpenAI o1, GPT-4o with reasoning loops</v>
      </c>
      <c r="D153" s="15" t="s">
        <v>1260</v>
      </c>
      <c r="E153" s="15" t="s">
        <v>1260</v>
      </c>
      <c r="F153" s="15" t="s">
        <v>1260</v>
      </c>
      <c r="G153" s="15" t="s">
        <v>1260</v>
      </c>
      <c r="H153" s="116" t="s">
        <v>1276</v>
      </c>
      <c r="I153" s="169" t="s">
        <v>138</v>
      </c>
      <c r="J153" s="110" t="s">
        <v>305</v>
      </c>
      <c r="K153" t="s">
        <v>138</v>
      </c>
      <c r="L153" s="106" t="s">
        <v>138</v>
      </c>
      <c r="M153" s="29" t="s">
        <v>138</v>
      </c>
      <c r="N153" s="29" t="s">
        <v>138</v>
      </c>
      <c r="O153" s="29" t="s">
        <v>138</v>
      </c>
      <c r="P153" s="29"/>
      <c r="Q153" s="29"/>
      <c r="R153" s="39" t="s">
        <v>1278</v>
      </c>
      <c r="S153" s="248"/>
      <c r="T153" s="248"/>
      <c r="U153" s="248"/>
      <c r="V153" s="248"/>
      <c r="W153" s="248"/>
      <c r="X153" s="248" t="s">
        <v>45</v>
      </c>
      <c r="Y153" s="249"/>
      <c r="Z153">
        <f t="shared" si="32"/>
        <v>9</v>
      </c>
    </row>
    <row r="154" spans="2:26" x14ac:dyDescent="0.35">
      <c r="B154">
        <f t="shared" si="30"/>
        <v>10</v>
      </c>
      <c r="C154" s="23" t="str">
        <f t="shared" si="29"/>
        <v>GPT-5, 10x bigger GPT-4 my speculation</v>
      </c>
      <c r="D154" s="48" t="s">
        <v>1275</v>
      </c>
      <c r="E154" s="48"/>
      <c r="F154" s="48" t="s">
        <v>1300</v>
      </c>
      <c r="G154" s="48"/>
      <c r="H154" s="169"/>
      <c r="I154" s="169"/>
      <c r="J154" s="283"/>
      <c r="K154" t="s">
        <v>138</v>
      </c>
      <c r="L154" s="283"/>
      <c r="M154" s="283"/>
      <c r="N154" s="283"/>
      <c r="O154" s="48"/>
      <c r="P154" s="48" t="s">
        <v>1395</v>
      </c>
      <c r="Q154" s="48" t="s">
        <v>944</v>
      </c>
      <c r="R154" s="169"/>
      <c r="S154" s="283"/>
      <c r="T154" s="283"/>
      <c r="U154" s="283"/>
      <c r="V154" s="283"/>
      <c r="W154" s="283"/>
      <c r="X154" s="169" t="s">
        <v>1649</v>
      </c>
      <c r="Y154" s="53"/>
      <c r="Z154">
        <f t="shared" si="32"/>
        <v>10</v>
      </c>
    </row>
    <row r="155" spans="2:26" x14ac:dyDescent="0.35">
      <c r="B155">
        <f t="shared" si="30"/>
        <v>11</v>
      </c>
      <c r="C155" s="23" t="str">
        <f t="shared" si="29"/>
        <v>GPT-5o, destilled GPT-5</v>
      </c>
      <c r="D155" s="48" t="s">
        <v>1275</v>
      </c>
      <c r="E155" s="48"/>
      <c r="F155" s="48"/>
      <c r="G155" s="48"/>
      <c r="H155" s="169"/>
      <c r="I155" s="169"/>
      <c r="J155" s="283"/>
      <c r="K155" t="s">
        <v>138</v>
      </c>
      <c r="L155" s="283"/>
      <c r="M155" s="283"/>
      <c r="N155" s="283"/>
      <c r="O155" s="48"/>
      <c r="P155" s="48"/>
      <c r="Q155" s="48"/>
      <c r="R155" s="169"/>
      <c r="S155" s="283"/>
      <c r="T155" s="283"/>
      <c r="U155" s="283"/>
      <c r="V155" s="283"/>
      <c r="W155" s="283"/>
      <c r="X155" s="283" t="s">
        <v>45</v>
      </c>
      <c r="Y155" s="53"/>
      <c r="Z155">
        <f t="shared" si="32"/>
        <v>11</v>
      </c>
    </row>
    <row r="156" spans="2:26" x14ac:dyDescent="0.35">
      <c r="B156">
        <f t="shared" si="30"/>
        <v>12</v>
      </c>
      <c r="C156" s="23" t="str">
        <f t="shared" si="29"/>
        <v>GPT-5-o1= GPT-5 destilled+agentic reasoning</v>
      </c>
      <c r="D156" s="48" t="s">
        <v>1275</v>
      </c>
      <c r="E156" s="48"/>
      <c r="F156" s="48"/>
      <c r="G156" s="48"/>
      <c r="H156" s="169"/>
      <c r="I156" s="169"/>
      <c r="J156" s="283"/>
      <c r="K156" t="s">
        <v>138</v>
      </c>
      <c r="L156" s="283"/>
      <c r="M156" s="283"/>
      <c r="N156" s="283"/>
      <c r="O156" s="48"/>
      <c r="P156" s="48"/>
      <c r="Q156" s="48"/>
      <c r="R156" s="169"/>
      <c r="S156" s="283"/>
      <c r="T156" s="283"/>
      <c r="U156" s="283"/>
      <c r="V156" s="283"/>
      <c r="W156" s="283"/>
      <c r="X156" s="283" t="s">
        <v>45</v>
      </c>
      <c r="Y156" s="53"/>
      <c r="Z156">
        <f t="shared" si="32"/>
        <v>12</v>
      </c>
    </row>
    <row r="157" spans="2:26" x14ac:dyDescent="0.35">
      <c r="B157">
        <f t="shared" si="30"/>
        <v>13</v>
      </c>
      <c r="C157" s="23" t="str">
        <f t="shared" si="29"/>
        <v>GPT-6, 10x bigger GPT-5 my speculation</v>
      </c>
      <c r="D157" s="48" t="s">
        <v>1275</v>
      </c>
      <c r="E157" s="48"/>
      <c r="F157" s="48" t="s">
        <v>1300</v>
      </c>
      <c r="G157" s="48"/>
      <c r="H157" s="169"/>
      <c r="I157" s="169"/>
      <c r="J157" s="283"/>
      <c r="K157" t="s">
        <v>138</v>
      </c>
      <c r="L157" s="283"/>
      <c r="M157" s="283"/>
      <c r="N157" s="283"/>
      <c r="O157" s="48"/>
      <c r="P157" s="48" t="s">
        <v>1395</v>
      </c>
      <c r="Q157" s="48" t="s">
        <v>944</v>
      </c>
      <c r="R157" s="169"/>
      <c r="S157" s="283"/>
      <c r="T157" s="283"/>
      <c r="U157" s="283"/>
      <c r="V157" s="283"/>
      <c r="W157" s="283"/>
      <c r="X157" s="169" t="s">
        <v>1649</v>
      </c>
      <c r="Y157" s="53"/>
      <c r="Z157">
        <f t="shared" si="32"/>
        <v>13</v>
      </c>
    </row>
    <row r="158" spans="2:26" x14ac:dyDescent="0.35">
      <c r="B158">
        <f t="shared" si="30"/>
        <v>14</v>
      </c>
      <c r="C158" s="23" t="str">
        <f t="shared" si="29"/>
        <v>GPT-6o, destilled GPT-6</v>
      </c>
      <c r="D158" s="48" t="s">
        <v>1275</v>
      </c>
      <c r="E158" s="48"/>
      <c r="F158" s="48"/>
      <c r="G158" s="48"/>
      <c r="H158" s="169"/>
      <c r="I158" s="169"/>
      <c r="J158" s="283"/>
      <c r="K158" t="s">
        <v>138</v>
      </c>
      <c r="L158" s="283"/>
      <c r="M158" s="283"/>
      <c r="N158" s="283"/>
      <c r="O158" s="48"/>
      <c r="P158" s="48"/>
      <c r="Q158" s="48"/>
      <c r="R158" s="169"/>
      <c r="S158" s="283"/>
      <c r="T158" s="283"/>
      <c r="U158" s="283"/>
      <c r="V158" s="283"/>
      <c r="W158" s="283"/>
      <c r="X158" s="283" t="s">
        <v>45</v>
      </c>
      <c r="Y158" s="53"/>
      <c r="Z158">
        <f t="shared" si="32"/>
        <v>14</v>
      </c>
    </row>
    <row r="159" spans="2:26" x14ac:dyDescent="0.35">
      <c r="B159">
        <f t="shared" si="30"/>
        <v>15</v>
      </c>
      <c r="C159" s="23" t="str">
        <f t="shared" si="29"/>
        <v>GPT-6-o1= GPT-5 destilled+agentic reasoning</v>
      </c>
      <c r="D159" s="48" t="s">
        <v>1296</v>
      </c>
      <c r="E159" s="48"/>
      <c r="F159" s="48"/>
      <c r="G159" s="48"/>
      <c r="H159" s="169"/>
      <c r="I159" s="169"/>
      <c r="J159" s="283"/>
      <c r="K159" t="s">
        <v>138</v>
      </c>
      <c r="L159" s="283"/>
      <c r="M159" s="283"/>
      <c r="N159" s="283"/>
      <c r="O159" s="48"/>
      <c r="P159" s="48"/>
      <c r="Q159" s="48"/>
      <c r="R159" s="169"/>
      <c r="S159" s="283"/>
      <c r="T159" s="283"/>
      <c r="U159" s="283"/>
      <c r="V159" s="283"/>
      <c r="W159" s="283"/>
      <c r="X159" s="283" t="s">
        <v>45</v>
      </c>
      <c r="Y159" s="53"/>
      <c r="Z159">
        <f t="shared" si="32"/>
        <v>15</v>
      </c>
    </row>
    <row r="160" spans="2:26" x14ac:dyDescent="0.35">
      <c r="B160">
        <f t="shared" si="30"/>
        <v>16</v>
      </c>
      <c r="C160" s="23" t="str">
        <f t="shared" si="29"/>
        <v>Copilot by MS</v>
      </c>
      <c r="D160" s="15" t="s">
        <v>248</v>
      </c>
      <c r="E160" s="15"/>
      <c r="F160" s="48" t="s">
        <v>246</v>
      </c>
      <c r="G160" s="48" t="s">
        <v>174</v>
      </c>
      <c r="H160" s="106" t="s">
        <v>507</v>
      </c>
      <c r="I160" s="48" t="s">
        <v>507</v>
      </c>
      <c r="J160" s="110" t="s">
        <v>305</v>
      </c>
      <c r="K160" t="s">
        <v>138</v>
      </c>
      <c r="L160" s="106" t="s">
        <v>507</v>
      </c>
      <c r="M160" s="48" t="s">
        <v>507</v>
      </c>
      <c r="N160" s="29" t="s">
        <v>138</v>
      </c>
      <c r="O160" s="29" t="s">
        <v>138</v>
      </c>
      <c r="P160" s="29"/>
      <c r="Q160" s="29"/>
      <c r="R160" s="48" t="s">
        <v>507</v>
      </c>
      <c r="S160" s="48" t="s">
        <v>507</v>
      </c>
      <c r="T160" s="48" t="s">
        <v>138</v>
      </c>
      <c r="U160" s="15" t="s">
        <v>659</v>
      </c>
      <c r="V160" s="48" t="s">
        <v>507</v>
      </c>
      <c r="W160" s="48" t="s">
        <v>507</v>
      </c>
      <c r="X160" s="283" t="s">
        <v>45</v>
      </c>
      <c r="Y160" s="53" t="s">
        <v>507</v>
      </c>
      <c r="Z160">
        <f t="shared" si="32"/>
        <v>16</v>
      </c>
    </row>
    <row r="161" spans="2:28" x14ac:dyDescent="0.35">
      <c r="B161">
        <f t="shared" si="30"/>
        <v>17</v>
      </c>
      <c r="C161" s="23" t="str">
        <f t="shared" si="29"/>
        <v xml:space="preserve">Claude 1 by Anthropic </v>
      </c>
      <c r="D161" s="15" t="s">
        <v>249</v>
      </c>
      <c r="E161" s="15" t="s">
        <v>249</v>
      </c>
      <c r="F161" s="14" t="s">
        <v>247</v>
      </c>
      <c r="G161" s="14" t="s">
        <v>247</v>
      </c>
      <c r="H161" s="107" t="s">
        <v>250</v>
      </c>
      <c r="I161" s="247" t="s">
        <v>45</v>
      </c>
      <c r="J161" s="107"/>
      <c r="K161" t="s">
        <v>138</v>
      </c>
      <c r="L161" s="106" t="s">
        <v>45</v>
      </c>
      <c r="M161" s="48" t="s">
        <v>45</v>
      </c>
      <c r="N161" s="29" t="s">
        <v>138</v>
      </c>
      <c r="O161" s="29" t="s">
        <v>138</v>
      </c>
      <c r="P161" s="29"/>
      <c r="Q161" s="29"/>
      <c r="R161" s="14" t="s">
        <v>360</v>
      </c>
      <c r="S161" t="s">
        <v>45</v>
      </c>
      <c r="T161" t="s">
        <v>45</v>
      </c>
      <c r="U161" s="15" t="s">
        <v>660</v>
      </c>
      <c r="V161" t="s">
        <v>45</v>
      </c>
      <c r="W161" t="s">
        <v>45</v>
      </c>
      <c r="X161" s="283" t="s">
        <v>45</v>
      </c>
      <c r="Y161" s="53" t="s">
        <v>45</v>
      </c>
      <c r="Z161">
        <f t="shared" si="32"/>
        <v>17</v>
      </c>
    </row>
    <row r="162" spans="2:28" x14ac:dyDescent="0.35">
      <c r="B162">
        <f t="shared" si="30"/>
        <v>18</v>
      </c>
      <c r="C162" s="23" t="str">
        <f t="shared" si="29"/>
        <v xml:space="preserve">Claude 3 Opus by Anthropic </v>
      </c>
      <c r="D162" s="15" t="s">
        <v>814</v>
      </c>
      <c r="E162" s="15" t="s">
        <v>824</v>
      </c>
      <c r="F162" s="15" t="s">
        <v>824</v>
      </c>
      <c r="G162" s="14" t="s">
        <v>823</v>
      </c>
      <c r="H162" s="107" t="s">
        <v>881</v>
      </c>
      <c r="I162" s="48" t="s">
        <v>138</v>
      </c>
      <c r="J162" s="110" t="s">
        <v>305</v>
      </c>
      <c r="K162" t="s">
        <v>138</v>
      </c>
      <c r="L162" s="106"/>
      <c r="M162" s="48"/>
      <c r="N162" s="29"/>
      <c r="O162" s="29" t="s">
        <v>138</v>
      </c>
      <c r="P162" s="29"/>
      <c r="Q162" s="29"/>
      <c r="R162" s="14"/>
      <c r="S162" t="s">
        <v>881</v>
      </c>
      <c r="T162" s="48" t="s">
        <v>138</v>
      </c>
      <c r="U162" s="15"/>
      <c r="X162" s="283" t="s">
        <v>45</v>
      </c>
      <c r="Y162" s="53"/>
      <c r="Z162">
        <f t="shared" si="32"/>
        <v>18</v>
      </c>
    </row>
    <row r="163" spans="2:28" x14ac:dyDescent="0.35">
      <c r="B163">
        <f t="shared" si="30"/>
        <v>19</v>
      </c>
      <c r="C163" s="23" t="str">
        <f t="shared" si="29"/>
        <v xml:space="preserve">Bard/LaMDA by Google </v>
      </c>
      <c r="D163" s="15" t="s">
        <v>251</v>
      </c>
      <c r="E163" s="15" t="s">
        <v>251</v>
      </c>
      <c r="F163" s="15" t="s">
        <v>210</v>
      </c>
      <c r="G163" s="15" t="s">
        <v>210</v>
      </c>
      <c r="H163" s="107" t="s">
        <v>252</v>
      </c>
      <c r="I163" s="15"/>
      <c r="J163" s="107"/>
      <c r="K163" t="s">
        <v>138</v>
      </c>
      <c r="L163" s="110" t="s">
        <v>45</v>
      </c>
      <c r="M163" s="48" t="s">
        <v>45</v>
      </c>
      <c r="N163" s="29" t="s">
        <v>138</v>
      </c>
      <c r="O163" s="29" t="s">
        <v>138</v>
      </c>
      <c r="P163" s="29"/>
      <c r="Q163" s="29"/>
      <c r="R163" s="48" t="s">
        <v>45</v>
      </c>
      <c r="S163" s="15" t="s">
        <v>252</v>
      </c>
      <c r="T163" s="48" t="s">
        <v>138</v>
      </c>
      <c r="U163" s="15" t="s">
        <v>661</v>
      </c>
      <c r="V163" t="s">
        <v>45</v>
      </c>
      <c r="W163" s="62" t="s">
        <v>252</v>
      </c>
      <c r="X163" s="283" t="s">
        <v>45</v>
      </c>
      <c r="Y163" s="53" t="s">
        <v>45</v>
      </c>
      <c r="Z163">
        <f t="shared" si="32"/>
        <v>19</v>
      </c>
    </row>
    <row r="164" spans="2:28" x14ac:dyDescent="0.35">
      <c r="B164">
        <f t="shared" si="30"/>
        <v>20</v>
      </c>
      <c r="C164" s="23" t="str">
        <f t="shared" si="29"/>
        <v>PaLM by Google 540B</v>
      </c>
      <c r="D164" s="15" t="s">
        <v>649</v>
      </c>
      <c r="E164" s="15" t="s">
        <v>649</v>
      </c>
      <c r="F164" s="15" t="s">
        <v>649</v>
      </c>
      <c r="G164" s="15" t="s">
        <v>45</v>
      </c>
      <c r="H164" s="107" t="s">
        <v>649</v>
      </c>
      <c r="I164" s="29" t="s">
        <v>138</v>
      </c>
      <c r="J164" s="106" t="s">
        <v>138</v>
      </c>
      <c r="K164" t="s">
        <v>138</v>
      </c>
      <c r="L164" s="110" t="s">
        <v>45</v>
      </c>
      <c r="M164" t="s">
        <v>45</v>
      </c>
      <c r="N164" t="s">
        <v>45</v>
      </c>
      <c r="O164" s="29" t="s">
        <v>138</v>
      </c>
      <c r="P164" s="29"/>
      <c r="Q164" s="29"/>
      <c r="R164" t="s">
        <v>45</v>
      </c>
      <c r="S164" s="15" t="s">
        <v>649</v>
      </c>
      <c r="T164" s="48" t="s">
        <v>138</v>
      </c>
      <c r="U164" s="15" t="s">
        <v>652</v>
      </c>
      <c r="W164" s="62"/>
      <c r="X164" s="62" t="s">
        <v>1648</v>
      </c>
      <c r="Y164" s="53" t="s">
        <v>1633</v>
      </c>
      <c r="Z164">
        <f t="shared" si="32"/>
        <v>20</v>
      </c>
    </row>
    <row r="165" spans="2:28" x14ac:dyDescent="0.35">
      <c r="B165">
        <f t="shared" si="30"/>
        <v>21</v>
      </c>
      <c r="C165" s="23" t="str">
        <f t="shared" si="29"/>
        <v>Gemini 1.5 Pro by Google</v>
      </c>
      <c r="D165" s="15" t="s">
        <v>884</v>
      </c>
      <c r="E165" s="15" t="s">
        <v>884</v>
      </c>
      <c r="F165" s="15" t="s">
        <v>885</v>
      </c>
      <c r="G165" s="15" t="s">
        <v>885</v>
      </c>
      <c r="H165" s="107" t="s">
        <v>886</v>
      </c>
      <c r="I165" s="29" t="s">
        <v>45</v>
      </c>
      <c r="J165" s="106" t="s">
        <v>45</v>
      </c>
      <c r="K165" t="s">
        <v>138</v>
      </c>
      <c r="L165" s="106" t="s">
        <v>45</v>
      </c>
      <c r="M165" s="48" t="s">
        <v>45</v>
      </c>
      <c r="N165" s="48" t="s">
        <v>45</v>
      </c>
      <c r="O165" s="29" t="s">
        <v>138</v>
      </c>
      <c r="P165" s="29" t="s">
        <v>1383</v>
      </c>
      <c r="Q165" s="29" t="s">
        <v>944</v>
      </c>
      <c r="R165" t="s">
        <v>884</v>
      </c>
      <c r="S165" s="15" t="s">
        <v>887</v>
      </c>
      <c r="T165" s="48" t="s">
        <v>138</v>
      </c>
      <c r="U165" s="15" t="s">
        <v>888</v>
      </c>
      <c r="V165" t="s">
        <v>884</v>
      </c>
      <c r="W165" s="699" t="s">
        <v>45</v>
      </c>
      <c r="X165" s="699" t="s">
        <v>45</v>
      </c>
      <c r="Y165" s="53" t="s">
        <v>1383</v>
      </c>
      <c r="Z165">
        <f t="shared" si="32"/>
        <v>21</v>
      </c>
    </row>
    <row r="166" spans="2:28" x14ac:dyDescent="0.35">
      <c r="B166">
        <f t="shared" si="30"/>
        <v>22</v>
      </c>
      <c r="C166" s="23" t="str">
        <f t="shared" si="29"/>
        <v>Llama 1 65B by  Meta</v>
      </c>
      <c r="D166" s="14" t="s">
        <v>442</v>
      </c>
      <c r="E166" s="14" t="s">
        <v>361</v>
      </c>
      <c r="F166" s="14" t="s">
        <v>361</v>
      </c>
      <c r="G166" s="14" t="s">
        <v>361</v>
      </c>
      <c r="H166" s="163" t="s">
        <v>361</v>
      </c>
      <c r="J166" s="110"/>
      <c r="K166" t="s">
        <v>138</v>
      </c>
      <c r="L166" s="106" t="s">
        <v>443</v>
      </c>
      <c r="M166" s="48" t="s">
        <v>443</v>
      </c>
      <c r="N166" s="29" t="s">
        <v>138</v>
      </c>
      <c r="O166" s="29" t="s">
        <v>138</v>
      </c>
      <c r="P166" s="29" t="s">
        <v>1383</v>
      </c>
      <c r="Q166" s="29" t="s">
        <v>944</v>
      </c>
      <c r="R166" s="152" t="s">
        <v>442</v>
      </c>
      <c r="S166" s="14" t="s">
        <v>361</v>
      </c>
      <c r="T166" s="14" t="s">
        <v>417</v>
      </c>
      <c r="U166" s="14"/>
      <c r="W166" s="229" t="s">
        <v>45</v>
      </c>
      <c r="X166" s="229" t="s">
        <v>1650</v>
      </c>
      <c r="Y166" s="53" t="s">
        <v>1383</v>
      </c>
      <c r="Z166">
        <f t="shared" si="32"/>
        <v>22</v>
      </c>
    </row>
    <row r="167" spans="2:28" x14ac:dyDescent="0.35">
      <c r="B167">
        <f t="shared" si="30"/>
        <v>23</v>
      </c>
      <c r="C167" s="23" t="str">
        <f t="shared" si="29"/>
        <v>Llama 2 70B by Meta</v>
      </c>
      <c r="D167" s="15" t="s">
        <v>217</v>
      </c>
      <c r="E167" s="15" t="s">
        <v>217</v>
      </c>
      <c r="F167" s="15" t="s">
        <v>221</v>
      </c>
      <c r="G167" s="15" t="s">
        <v>217</v>
      </c>
      <c r="H167" s="107" t="s">
        <v>217</v>
      </c>
      <c r="I167" s="48" t="s">
        <v>138</v>
      </c>
      <c r="J167" s="106"/>
      <c r="K167" t="s">
        <v>138</v>
      </c>
      <c r="L167" s="106" t="s">
        <v>443</v>
      </c>
      <c r="M167" s="48" t="s">
        <v>443</v>
      </c>
      <c r="N167" s="29" t="s">
        <v>138</v>
      </c>
      <c r="O167" s="29" t="s">
        <v>138</v>
      </c>
      <c r="P167" s="29" t="s">
        <v>1383</v>
      </c>
      <c r="Q167" s="29" t="s">
        <v>944</v>
      </c>
      <c r="R167" s="152" t="s">
        <v>442</v>
      </c>
      <c r="S167" s="15" t="s">
        <v>442</v>
      </c>
      <c r="T167" s="48" t="s">
        <v>138</v>
      </c>
      <c r="U167" s="15" t="s">
        <v>653</v>
      </c>
      <c r="V167" t="s">
        <v>45</v>
      </c>
      <c r="W167" t="s">
        <v>45</v>
      </c>
      <c r="X167" s="229" t="s">
        <v>1650</v>
      </c>
      <c r="Y167" s="64" t="s">
        <v>1383</v>
      </c>
      <c r="Z167">
        <f t="shared" si="32"/>
        <v>23</v>
      </c>
      <c r="AB167" s="14" t="s">
        <v>1391</v>
      </c>
    </row>
    <row r="168" spans="2:28" x14ac:dyDescent="0.35">
      <c r="B168">
        <f t="shared" si="30"/>
        <v>24</v>
      </c>
      <c r="C168" s="23" t="str">
        <f t="shared" si="29"/>
        <v>Llama 3.1, 405B by Meta</v>
      </c>
      <c r="D168" s="15" t="s">
        <v>1090</v>
      </c>
      <c r="E168" s="15" t="s">
        <v>826</v>
      </c>
      <c r="F168" s="15" t="s">
        <v>827</v>
      </c>
      <c r="G168" s="15" t="s">
        <v>828</v>
      </c>
      <c r="H168" s="107" t="s">
        <v>829</v>
      </c>
      <c r="I168" s="48" t="s">
        <v>138</v>
      </c>
      <c r="J168" s="110" t="s">
        <v>305</v>
      </c>
      <c r="K168" t="s">
        <v>138</v>
      </c>
      <c r="L168" s="106"/>
      <c r="M168" s="48"/>
      <c r="N168" s="29"/>
      <c r="O168" s="29" t="s">
        <v>138</v>
      </c>
      <c r="P168" s="29" t="s">
        <v>1383</v>
      </c>
      <c r="Q168" s="29" t="s">
        <v>944</v>
      </c>
      <c r="R168" t="s">
        <v>1090</v>
      </c>
      <c r="S168" s="15" t="s">
        <v>825</v>
      </c>
      <c r="T168" s="48" t="s">
        <v>138</v>
      </c>
      <c r="U168" s="15" t="s">
        <v>45</v>
      </c>
      <c r="X168" s="62" t="s">
        <v>1650</v>
      </c>
      <c r="Y168" s="64" t="s">
        <v>1383</v>
      </c>
      <c r="Z168">
        <f t="shared" si="32"/>
        <v>24</v>
      </c>
    </row>
    <row r="169" spans="2:28" x14ac:dyDescent="0.35">
      <c r="B169">
        <f t="shared" si="30"/>
        <v>25</v>
      </c>
      <c r="C169" s="23" t="str">
        <f t="shared" si="29"/>
        <v>Llama 3.1, 8B by Meta</v>
      </c>
      <c r="D169" s="15" t="s">
        <v>1090</v>
      </c>
      <c r="E169" s="15" t="s">
        <v>1090</v>
      </c>
      <c r="F169" s="15" t="s">
        <v>1090</v>
      </c>
      <c r="G169" s="15" t="s">
        <v>1090</v>
      </c>
      <c r="H169" s="107" t="s">
        <v>1090</v>
      </c>
      <c r="I169" s="48" t="s">
        <v>138</v>
      </c>
      <c r="J169" s="110" t="s">
        <v>305</v>
      </c>
      <c r="K169" t="s">
        <v>138</v>
      </c>
      <c r="L169" s="106"/>
      <c r="M169" s="48"/>
      <c r="N169" s="29"/>
      <c r="O169" s="29" t="s">
        <v>138</v>
      </c>
      <c r="P169" s="29"/>
      <c r="Q169" s="29" t="s">
        <v>944</v>
      </c>
      <c r="R169" t="s">
        <v>1090</v>
      </c>
      <c r="S169" t="s">
        <v>1090</v>
      </c>
      <c r="T169" s="48" t="s">
        <v>138</v>
      </c>
      <c r="U169" s="15"/>
      <c r="X169" t="s">
        <v>45</v>
      </c>
      <c r="Y169" s="64"/>
      <c r="Z169">
        <f t="shared" si="32"/>
        <v>25</v>
      </c>
    </row>
    <row r="170" spans="2:28" x14ac:dyDescent="0.35">
      <c r="B170">
        <f t="shared" si="30"/>
        <v>26</v>
      </c>
      <c r="C170" s="23" t="str">
        <f t="shared" si="29"/>
        <v>Ask or pplx-70b by Perplexity AI</v>
      </c>
      <c r="D170" s="15" t="s">
        <v>218</v>
      </c>
      <c r="E170" s="15" t="s">
        <v>1182</v>
      </c>
      <c r="F170" s="15" t="s">
        <v>219</v>
      </c>
      <c r="G170" s="15" t="s">
        <v>219</v>
      </c>
      <c r="H170" s="107" t="s">
        <v>218</v>
      </c>
      <c r="I170" s="48"/>
      <c r="J170" s="106"/>
      <c r="K170" t="s">
        <v>138</v>
      </c>
      <c r="L170" s="110" t="s">
        <v>45</v>
      </c>
      <c r="M170" s="48" t="s">
        <v>45</v>
      </c>
      <c r="N170" s="29" t="s">
        <v>138</v>
      </c>
      <c r="O170" s="29" t="s">
        <v>138</v>
      </c>
      <c r="P170" s="29"/>
      <c r="Q170" s="29" t="s">
        <v>944</v>
      </c>
      <c r="R170" s="48" t="s">
        <v>45</v>
      </c>
      <c r="S170" s="48" t="s">
        <v>45</v>
      </c>
      <c r="T170" s="48" t="s">
        <v>45</v>
      </c>
      <c r="U170" s="15" t="s">
        <v>657</v>
      </c>
      <c r="V170" t="s">
        <v>45</v>
      </c>
      <c r="W170" t="s">
        <v>45</v>
      </c>
      <c r="X170" t="s">
        <v>45</v>
      </c>
      <c r="Y170" s="53" t="s">
        <v>45</v>
      </c>
      <c r="Z170">
        <f t="shared" si="32"/>
        <v>26</v>
      </c>
    </row>
    <row r="171" spans="2:28" x14ac:dyDescent="0.35">
      <c r="B171">
        <f t="shared" si="30"/>
        <v>27</v>
      </c>
      <c r="C171" s="23" t="str">
        <f t="shared" si="29"/>
        <v>Grok 1 by E. Musk's xAI</v>
      </c>
      <c r="D171" s="15" t="s">
        <v>723</v>
      </c>
      <c r="E171" s="48" t="s">
        <v>45</v>
      </c>
      <c r="F171" s="15" t="s">
        <v>723</v>
      </c>
      <c r="G171" s="15" t="s">
        <v>723</v>
      </c>
      <c r="H171" s="107" t="s">
        <v>803</v>
      </c>
      <c r="I171" s="48"/>
      <c r="J171" s="106"/>
      <c r="K171" t="s">
        <v>138</v>
      </c>
      <c r="L171" s="110"/>
      <c r="M171" s="48"/>
      <c r="N171" s="29"/>
      <c r="O171" s="29" t="s">
        <v>138</v>
      </c>
      <c r="P171" s="29"/>
      <c r="Q171" s="29" t="s">
        <v>944</v>
      </c>
      <c r="R171" s="48" t="s">
        <v>803</v>
      </c>
      <c r="S171" s="48"/>
      <c r="T171" s="48"/>
      <c r="U171" s="15"/>
      <c r="V171" t="s">
        <v>803</v>
      </c>
      <c r="X171" t="s">
        <v>45</v>
      </c>
      <c r="Y171" s="53"/>
      <c r="Z171">
        <f t="shared" si="32"/>
        <v>27</v>
      </c>
    </row>
    <row r="172" spans="2:28" x14ac:dyDescent="0.35">
      <c r="B172">
        <f t="shared" si="30"/>
        <v>28</v>
      </c>
      <c r="C172" s="23" t="str">
        <f t="shared" si="29"/>
        <v>Grok 2 by E. Musk's xAI + image generation</v>
      </c>
      <c r="D172" s="53" t="s">
        <v>1383</v>
      </c>
      <c r="E172" s="48"/>
      <c r="F172" s="15"/>
      <c r="G172" s="15"/>
      <c r="H172" s="107"/>
      <c r="I172" s="48"/>
      <c r="J172" s="106"/>
      <c r="L172" s="110"/>
      <c r="M172" s="48"/>
      <c r="N172" s="29"/>
      <c r="O172" s="29"/>
      <c r="P172" s="29" t="s">
        <v>1383</v>
      </c>
      <c r="Q172" s="29" t="s">
        <v>944</v>
      </c>
      <c r="R172" s="48"/>
      <c r="S172" s="48"/>
      <c r="T172" s="48"/>
      <c r="U172" s="15"/>
      <c r="X172" t="s">
        <v>45</v>
      </c>
      <c r="Y172" s="52" t="s">
        <v>1383</v>
      </c>
      <c r="Z172">
        <f t="shared" si="32"/>
        <v>28</v>
      </c>
    </row>
    <row r="173" spans="2:28" x14ac:dyDescent="0.35">
      <c r="B173">
        <f t="shared" si="30"/>
        <v>29</v>
      </c>
      <c r="C173" s="23" t="str">
        <f t="shared" si="29"/>
        <v>Grok 3 by E. Musk's xAI</v>
      </c>
      <c r="D173" s="15" t="s">
        <v>1383</v>
      </c>
      <c r="E173" s="48"/>
      <c r="F173" s="15"/>
      <c r="G173" s="15"/>
      <c r="H173" s="107"/>
      <c r="I173" s="48"/>
      <c r="J173" s="106"/>
      <c r="L173" s="110"/>
      <c r="M173" s="48"/>
      <c r="N173" s="29"/>
      <c r="O173" s="29"/>
      <c r="P173" s="29" t="s">
        <v>1383</v>
      </c>
      <c r="Q173" s="29" t="s">
        <v>944</v>
      </c>
      <c r="R173" s="48"/>
      <c r="S173" s="48"/>
      <c r="T173" s="48"/>
      <c r="U173" s="15"/>
      <c r="X173" t="s">
        <v>45</v>
      </c>
      <c r="Y173" s="53" t="s">
        <v>1383</v>
      </c>
      <c r="Z173">
        <f t="shared" si="32"/>
        <v>29</v>
      </c>
    </row>
    <row r="174" spans="2:28" ht="15" thickBot="1" x14ac:dyDescent="0.4">
      <c r="B174">
        <f t="shared" si="30"/>
        <v>30</v>
      </c>
      <c r="C174" s="23" t="str">
        <f t="shared" si="29"/>
        <v>Nemotron-4 by NVIDIA</v>
      </c>
      <c r="D174" s="15" t="s">
        <v>816</v>
      </c>
      <c r="E174" s="15" t="s">
        <v>816</v>
      </c>
      <c r="F174" s="15"/>
      <c r="G174" s="15"/>
      <c r="H174" s="107"/>
      <c r="I174" s="163" t="s">
        <v>817</v>
      </c>
      <c r="J174" s="106"/>
      <c r="K174" t="s">
        <v>138</v>
      </c>
      <c r="L174" s="163" t="s">
        <v>817</v>
      </c>
      <c r="M174" s="48"/>
      <c r="N174" s="29"/>
      <c r="O174" s="29" t="s">
        <v>138</v>
      </c>
      <c r="P174" s="29"/>
      <c r="Q174" s="29"/>
      <c r="R174" s="48"/>
      <c r="S174" s="48" t="s">
        <v>817</v>
      </c>
      <c r="T174" s="48"/>
      <c r="U174" s="15"/>
      <c r="X174" t="s">
        <v>1650</v>
      </c>
      <c r="Y174" s="53"/>
      <c r="Z174">
        <f t="shared" si="32"/>
        <v>30</v>
      </c>
    </row>
    <row r="175" spans="2:28" ht="15" thickTop="1" x14ac:dyDescent="0.35">
      <c r="B175">
        <f t="shared" si="30"/>
        <v>31</v>
      </c>
      <c r="C175" s="702" t="str">
        <f t="shared" si="29"/>
        <v>AI models that are predominantly image or video based</v>
      </c>
      <c r="D175" s="730"/>
      <c r="E175" s="730"/>
      <c r="F175" s="730"/>
      <c r="G175" s="730"/>
      <c r="H175" s="730"/>
      <c r="I175" s="731"/>
      <c r="J175" s="731"/>
      <c r="K175" s="731"/>
      <c r="L175" s="713"/>
      <c r="M175" s="731"/>
      <c r="N175" s="731"/>
      <c r="O175" s="731" t="s">
        <v>138</v>
      </c>
      <c r="P175" s="731"/>
      <c r="Q175" s="731"/>
      <c r="R175" s="731"/>
      <c r="S175" s="731"/>
      <c r="T175" s="731"/>
      <c r="U175" s="730"/>
      <c r="V175" s="713"/>
      <c r="W175" s="713"/>
      <c r="X175" s="713"/>
      <c r="Y175" s="732"/>
      <c r="Z175">
        <f t="shared" si="32"/>
        <v>31</v>
      </c>
    </row>
    <row r="176" spans="2:28" x14ac:dyDescent="0.35">
      <c r="B176">
        <f t="shared" si="30"/>
        <v>32</v>
      </c>
      <c r="C176" s="23" t="str">
        <f t="shared" si="29"/>
        <v>AlexNet by Hinton &amp; Sutskever</v>
      </c>
      <c r="D176" s="15" t="s">
        <v>1630</v>
      </c>
      <c r="E176" s="15" t="s">
        <v>1630</v>
      </c>
      <c r="F176" s="15" t="s">
        <v>1630</v>
      </c>
      <c r="G176" s="15" t="s">
        <v>1630</v>
      </c>
      <c r="H176" s="107" t="s">
        <v>1630</v>
      </c>
      <c r="I176" s="15" t="s">
        <v>1630</v>
      </c>
      <c r="J176" s="106"/>
      <c r="K176" t="s">
        <v>1630</v>
      </c>
      <c r="L176" s="107" t="s">
        <v>1641</v>
      </c>
      <c r="M176" s="15"/>
      <c r="N176" s="29"/>
      <c r="O176" s="29"/>
      <c r="P176" s="28"/>
      <c r="Q176" s="29" t="s">
        <v>1641</v>
      </c>
      <c r="R176" s="48"/>
      <c r="S176" s="15"/>
      <c r="T176" s="15"/>
      <c r="U176" s="15"/>
      <c r="W176" s="14" t="s">
        <v>1628</v>
      </c>
      <c r="X176" t="s">
        <v>1651</v>
      </c>
      <c r="Y176" s="52"/>
      <c r="Z176">
        <f t="shared" si="32"/>
        <v>32</v>
      </c>
    </row>
    <row r="177" spans="2:26" x14ac:dyDescent="0.35">
      <c r="B177">
        <f t="shared" si="30"/>
        <v>33</v>
      </c>
      <c r="C177" s="23" t="str">
        <f t="shared" si="29"/>
        <v>Stable Diffusion 2.1 by Stability AI</v>
      </c>
      <c r="D177" s="15" t="s">
        <v>253</v>
      </c>
      <c r="E177" s="15"/>
      <c r="F177" s="15" t="s">
        <v>254</v>
      </c>
      <c r="G177" s="15" t="s">
        <v>254</v>
      </c>
      <c r="H177" s="107" t="s">
        <v>255</v>
      </c>
      <c r="I177" s="15" t="s">
        <v>259</v>
      </c>
      <c r="J177" s="106" t="s">
        <v>701</v>
      </c>
      <c r="K177" t="s">
        <v>138</v>
      </c>
      <c r="L177" s="107" t="s">
        <v>259</v>
      </c>
      <c r="M177" s="15" t="s">
        <v>259</v>
      </c>
      <c r="N177" s="29" t="s">
        <v>138</v>
      </c>
      <c r="O177" s="29" t="s">
        <v>138</v>
      </c>
      <c r="P177" s="28" t="s">
        <v>1546</v>
      </c>
      <c r="Q177" s="29" t="s">
        <v>944</v>
      </c>
      <c r="R177" s="48" t="s">
        <v>18</v>
      </c>
      <c r="S177" s="15" t="s">
        <v>422</v>
      </c>
      <c r="T177" s="15" t="s">
        <v>1151</v>
      </c>
      <c r="U177" s="15" t="s">
        <v>658</v>
      </c>
      <c r="V177" t="s">
        <v>45</v>
      </c>
      <c r="W177" t="s">
        <v>45</v>
      </c>
      <c r="X177" t="s">
        <v>1650</v>
      </c>
      <c r="Y177" s="52" t="s">
        <v>261</v>
      </c>
      <c r="Z177">
        <f t="shared" si="32"/>
        <v>33</v>
      </c>
    </row>
    <row r="178" spans="2:26" x14ac:dyDescent="0.35">
      <c r="B178">
        <f t="shared" si="30"/>
        <v>34</v>
      </c>
      <c r="C178" s="23" t="str">
        <f t="shared" ref="C178:C185" si="33">C42</f>
        <v>Stable Diffusion XL by Stability AI</v>
      </c>
      <c r="D178" s="15" t="s">
        <v>699</v>
      </c>
      <c r="E178" s="15" t="s">
        <v>699</v>
      </c>
      <c r="F178" s="15" t="s">
        <v>700</v>
      </c>
      <c r="G178" s="15" t="s">
        <v>254</v>
      </c>
      <c r="H178" s="107" t="s">
        <v>699</v>
      </c>
      <c r="I178" s="48" t="s">
        <v>138</v>
      </c>
      <c r="J178" s="106" t="s">
        <v>1148</v>
      </c>
      <c r="K178" t="s">
        <v>138</v>
      </c>
      <c r="L178" s="106" t="s">
        <v>1147</v>
      </c>
      <c r="M178" s="48" t="s">
        <v>1147</v>
      </c>
      <c r="N178" s="29" t="s">
        <v>138</v>
      </c>
      <c r="O178" s="29" t="s">
        <v>138</v>
      </c>
      <c r="P178" s="29" t="s">
        <v>1548</v>
      </c>
      <c r="Q178" s="29" t="s">
        <v>944</v>
      </c>
      <c r="R178" s="48" t="s">
        <v>18</v>
      </c>
      <c r="S178" s="15" t="s">
        <v>422</v>
      </c>
      <c r="T178" s="15" t="s">
        <v>688</v>
      </c>
      <c r="U178" s="15" t="s">
        <v>659</v>
      </c>
      <c r="V178" t="s">
        <v>45</v>
      </c>
      <c r="W178" t="s">
        <v>45</v>
      </c>
      <c r="X178" t="s">
        <v>45</v>
      </c>
      <c r="Y178" s="52" t="s">
        <v>261</v>
      </c>
      <c r="Z178">
        <f t="shared" si="32"/>
        <v>34</v>
      </c>
    </row>
    <row r="179" spans="2:26" x14ac:dyDescent="0.35">
      <c r="B179">
        <f t="shared" si="30"/>
        <v>35</v>
      </c>
      <c r="C179" s="23" t="str">
        <f t="shared" si="33"/>
        <v>Ideogram 1.0</v>
      </c>
      <c r="D179" s="15" t="s">
        <v>1142</v>
      </c>
      <c r="E179" s="15" t="s">
        <v>1142</v>
      </c>
      <c r="F179" s="15" t="s">
        <v>1144</v>
      </c>
      <c r="G179" s="15" t="s">
        <v>1145</v>
      </c>
      <c r="H179" s="107" t="s">
        <v>1146</v>
      </c>
      <c r="I179" s="48" t="s">
        <v>138</v>
      </c>
      <c r="J179" s="106" t="s">
        <v>1149</v>
      </c>
      <c r="K179" t="s">
        <v>138</v>
      </c>
      <c r="L179" s="106" t="s">
        <v>1150</v>
      </c>
      <c r="M179" s="48" t="s">
        <v>1150</v>
      </c>
      <c r="N179" s="29" t="s">
        <v>138</v>
      </c>
      <c r="O179" s="29" t="s">
        <v>138</v>
      </c>
      <c r="P179" s="29"/>
      <c r="Q179" s="29"/>
      <c r="R179" s="48" t="s">
        <v>18</v>
      </c>
      <c r="S179" s="15" t="s">
        <v>422</v>
      </c>
      <c r="T179" s="247" t="s">
        <v>45</v>
      </c>
      <c r="U179" s="15"/>
      <c r="W179" t="s">
        <v>45</v>
      </c>
      <c r="X179" t="s">
        <v>45</v>
      </c>
      <c r="Y179" s="52" t="s">
        <v>45</v>
      </c>
      <c r="Z179">
        <f t="shared" si="32"/>
        <v>35</v>
      </c>
    </row>
    <row r="180" spans="2:26" ht="15" thickBot="1" x14ac:dyDescent="0.4">
      <c r="B180">
        <f t="shared" si="30"/>
        <v>36</v>
      </c>
      <c r="C180" s="23" t="str">
        <f t="shared" si="33"/>
        <v>Dall-E 2 by OpenAI</v>
      </c>
      <c r="D180" s="15" t="s">
        <v>256</v>
      </c>
      <c r="E180" s="15"/>
      <c r="F180" s="15" t="s">
        <v>258</v>
      </c>
      <c r="G180" s="15" t="s">
        <v>258</v>
      </c>
      <c r="H180" s="107" t="s">
        <v>256</v>
      </c>
      <c r="I180" s="48" t="s">
        <v>260</v>
      </c>
      <c r="J180" s="106" t="s">
        <v>702</v>
      </c>
      <c r="K180" t="s">
        <v>138</v>
      </c>
      <c r="L180" s="106" t="s">
        <v>1103</v>
      </c>
      <c r="M180" s="48" t="s">
        <v>262</v>
      </c>
      <c r="N180" s="29" t="s">
        <v>138</v>
      </c>
      <c r="O180" s="29" t="s">
        <v>138</v>
      </c>
      <c r="P180" s="29"/>
      <c r="Q180" s="29"/>
      <c r="R180" s="48" t="s">
        <v>18</v>
      </c>
      <c r="S180" s="15" t="s">
        <v>422</v>
      </c>
      <c r="T180" s="48" t="s">
        <v>45</v>
      </c>
      <c r="U180" s="15" t="s">
        <v>659</v>
      </c>
      <c r="V180" t="s">
        <v>45</v>
      </c>
      <c r="W180" t="s">
        <v>45</v>
      </c>
      <c r="X180" t="s">
        <v>45</v>
      </c>
      <c r="Y180" s="52" t="s">
        <v>264</v>
      </c>
      <c r="Z180">
        <f t="shared" si="32"/>
        <v>36</v>
      </c>
    </row>
    <row r="181" spans="2:26" ht="15" thickTop="1" x14ac:dyDescent="0.35">
      <c r="B181">
        <f t="shared" si="30"/>
        <v>37</v>
      </c>
      <c r="C181" s="702" t="str">
        <f t="shared" si="33"/>
        <v>AI models for navigating the world and handling physical tools</v>
      </c>
      <c r="D181" s="730"/>
      <c r="E181" s="730"/>
      <c r="F181" s="730"/>
      <c r="G181" s="730"/>
      <c r="H181" s="730"/>
      <c r="I181" s="731"/>
      <c r="J181" s="731"/>
      <c r="K181" s="713"/>
      <c r="L181" s="731"/>
      <c r="M181" s="731"/>
      <c r="N181" s="731"/>
      <c r="O181" s="731"/>
      <c r="P181" s="731"/>
      <c r="Q181" s="731"/>
      <c r="R181" s="731"/>
      <c r="S181" s="730"/>
      <c r="T181" s="731"/>
      <c r="U181" s="730"/>
      <c r="V181" s="713"/>
      <c r="W181" s="713"/>
      <c r="X181" s="713"/>
      <c r="Y181" s="733"/>
      <c r="Z181">
        <f t="shared" si="32"/>
        <v>37</v>
      </c>
    </row>
    <row r="182" spans="2:26" x14ac:dyDescent="0.35">
      <c r="B182">
        <f t="shared" si="30"/>
        <v>38</v>
      </c>
      <c r="C182" s="23" t="str">
        <f t="shared" si="33"/>
        <v>F-11 war drone on Jetson Orin NX by Palantir and Flyby Robotics</v>
      </c>
      <c r="D182" t="s">
        <v>1532</v>
      </c>
      <c r="E182" t="s">
        <v>1532</v>
      </c>
      <c r="F182" t="s">
        <v>1532</v>
      </c>
      <c r="G182" s="41"/>
      <c r="H182" s="106" t="s">
        <v>138</v>
      </c>
      <c r="I182" s="102" t="s">
        <v>332</v>
      </c>
      <c r="J182" s="106" t="s">
        <v>305</v>
      </c>
      <c r="K182" s="37" t="s">
        <v>1535</v>
      </c>
      <c r="L182" s="106" t="s">
        <v>305</v>
      </c>
      <c r="M182" s="48" t="s">
        <v>305</v>
      </c>
      <c r="N182" s="29" t="s">
        <v>138</v>
      </c>
      <c r="O182" s="48" t="s">
        <v>305</v>
      </c>
      <c r="P182" s="119"/>
      <c r="Q182" s="119"/>
      <c r="R182" s="283"/>
      <c r="S182" s="283"/>
      <c r="T182" s="283"/>
      <c r="U182" s="665"/>
      <c r="V182" s="661"/>
      <c r="W182" s="662"/>
      <c r="X182" s="662"/>
      <c r="Y182" s="663"/>
      <c r="Z182">
        <f t="shared" si="32"/>
        <v>38</v>
      </c>
    </row>
    <row r="183" spans="2:26" x14ac:dyDescent="0.35">
      <c r="B183">
        <f t="shared" si="30"/>
        <v>39</v>
      </c>
      <c r="C183" s="23" t="str">
        <f t="shared" si="33"/>
        <v>FSD AI on HW4/AI4 by Tesla</v>
      </c>
      <c r="D183" t="s">
        <v>305</v>
      </c>
      <c r="E183" t="s">
        <v>305</v>
      </c>
      <c r="F183" t="s">
        <v>305</v>
      </c>
      <c r="G183" s="41" t="s">
        <v>1086</v>
      </c>
      <c r="H183" s="106" t="s">
        <v>138</v>
      </c>
      <c r="I183" s="102" t="s">
        <v>332</v>
      </c>
      <c r="J183" s="106" t="s">
        <v>305</v>
      </c>
      <c r="K183" s="37" t="s">
        <v>1536</v>
      </c>
      <c r="L183" s="106" t="s">
        <v>305</v>
      </c>
      <c r="M183" s="48" t="s">
        <v>305</v>
      </c>
      <c r="N183" s="29" t="s">
        <v>138</v>
      </c>
      <c r="O183" s="29" t="s">
        <v>138</v>
      </c>
      <c r="P183" s="29"/>
      <c r="Q183" s="29"/>
      <c r="R183" s="48" t="s">
        <v>18</v>
      </c>
      <c r="S183" s="48" t="s">
        <v>362</v>
      </c>
      <c r="T183" s="15" t="s">
        <v>605</v>
      </c>
      <c r="U183" s="14" t="s">
        <v>932</v>
      </c>
      <c r="V183" s="14" t="s">
        <v>665</v>
      </c>
      <c r="W183" t="s">
        <v>45</v>
      </c>
      <c r="Y183" s="52" t="s">
        <v>306</v>
      </c>
      <c r="Z183">
        <f t="shared" si="32"/>
        <v>39</v>
      </c>
    </row>
    <row r="184" spans="2:26" x14ac:dyDescent="0.35">
      <c r="B184">
        <f t="shared" si="30"/>
        <v>40</v>
      </c>
      <c r="C184" s="23" t="str">
        <f t="shared" si="33"/>
        <v>Drive AI on Orin AGX by Nvidia</v>
      </c>
      <c r="D184" t="s">
        <v>305</v>
      </c>
      <c r="E184" t="s">
        <v>305</v>
      </c>
      <c r="F184" t="s">
        <v>305</v>
      </c>
      <c r="G184" s="41" t="s">
        <v>45</v>
      </c>
      <c r="H184" s="106" t="s">
        <v>138</v>
      </c>
      <c r="I184" s="102" t="s">
        <v>332</v>
      </c>
      <c r="J184" s="106" t="s">
        <v>305</v>
      </c>
      <c r="K184" s="37" t="s">
        <v>1536</v>
      </c>
      <c r="L184" s="106" t="s">
        <v>305</v>
      </c>
      <c r="M184" s="48" t="s">
        <v>305</v>
      </c>
      <c r="N184" s="29" t="s">
        <v>138</v>
      </c>
      <c r="O184" s="29" t="s">
        <v>138</v>
      </c>
      <c r="P184" s="29"/>
      <c r="Q184" s="29"/>
      <c r="R184" s="48" t="s">
        <v>18</v>
      </c>
      <c r="S184" s="48" t="s">
        <v>362</v>
      </c>
      <c r="T184" s="48" t="s">
        <v>357</v>
      </c>
      <c r="U184" s="14" t="s">
        <v>665</v>
      </c>
      <c r="V184" s="661" t="s">
        <v>45</v>
      </c>
      <c r="W184" s="664" t="s">
        <v>45</v>
      </c>
      <c r="X184" s="664"/>
      <c r="Y184" s="663" t="s">
        <v>45</v>
      </c>
      <c r="Z184">
        <f t="shared" si="32"/>
        <v>40</v>
      </c>
    </row>
    <row r="185" spans="2:26" x14ac:dyDescent="0.35">
      <c r="B185">
        <f t="shared" si="30"/>
        <v>41</v>
      </c>
      <c r="C185" s="23" t="str">
        <f t="shared" si="33"/>
        <v>Waymo driver on ?chip By Google</v>
      </c>
      <c r="D185" t="s">
        <v>1508</v>
      </c>
      <c r="E185" t="s">
        <v>1508</v>
      </c>
      <c r="F185" t="s">
        <v>1509</v>
      </c>
      <c r="G185" s="41"/>
      <c r="H185" s="660" t="s">
        <v>45</v>
      </c>
      <c r="I185" s="661" t="s">
        <v>45</v>
      </c>
      <c r="J185" s="660" t="s">
        <v>45</v>
      </c>
      <c r="K185" s="37" t="s">
        <v>1536</v>
      </c>
      <c r="L185" s="660" t="s">
        <v>45</v>
      </c>
      <c r="M185" s="283" t="s">
        <v>45</v>
      </c>
      <c r="N185" s="119" t="s">
        <v>45</v>
      </c>
      <c r="O185" s="119" t="s">
        <v>45</v>
      </c>
      <c r="P185" s="119" t="s">
        <v>45</v>
      </c>
      <c r="Q185" s="119" t="s">
        <v>45</v>
      </c>
      <c r="R185" s="283" t="s">
        <v>45</v>
      </c>
      <c r="S185" s="283" t="s">
        <v>45</v>
      </c>
      <c r="T185" s="283" t="s">
        <v>45</v>
      </c>
      <c r="U185" s="665" t="s">
        <v>45</v>
      </c>
      <c r="V185" s="661" t="s">
        <v>45</v>
      </c>
      <c r="W185" s="662" t="s">
        <v>45</v>
      </c>
      <c r="X185" s="662"/>
      <c r="Y185" s="663" t="s">
        <v>45</v>
      </c>
      <c r="Z185">
        <f t="shared" si="32"/>
        <v>41</v>
      </c>
    </row>
    <row r="186" spans="2:26" x14ac:dyDescent="0.35">
      <c r="B186">
        <f t="shared" si="30"/>
        <v>42</v>
      </c>
      <c r="C186" s="23" t="str">
        <f t="shared" ref="C186:C201" si="34">C50</f>
        <v>Optimus Gen2 on HW4 by Tesla</v>
      </c>
      <c r="D186" t="s">
        <v>1515</v>
      </c>
      <c r="E186" t="s">
        <v>1515</v>
      </c>
      <c r="F186" t="s">
        <v>1515</v>
      </c>
      <c r="G186" s="41" t="s">
        <v>45</v>
      </c>
      <c r="H186" s="106" t="s">
        <v>138</v>
      </c>
      <c r="I186" s="102" t="s">
        <v>332</v>
      </c>
      <c r="J186" s="106" t="s">
        <v>305</v>
      </c>
      <c r="K186" s="37" t="s">
        <v>1535</v>
      </c>
      <c r="L186" s="106" t="s">
        <v>305</v>
      </c>
      <c r="M186" s="48" t="s">
        <v>305</v>
      </c>
      <c r="N186" s="29" t="s">
        <v>138</v>
      </c>
      <c r="O186" s="29" t="s">
        <v>138</v>
      </c>
      <c r="P186" s="29"/>
      <c r="Q186" s="29"/>
      <c r="R186" s="48" t="s">
        <v>18</v>
      </c>
      <c r="S186" s="48" t="s">
        <v>362</v>
      </c>
      <c r="T186" s="48"/>
      <c r="U186" s="14"/>
      <c r="V186" s="102"/>
      <c r="W186" s="61"/>
      <c r="X186" s="61"/>
      <c r="Y186" s="103"/>
      <c r="Z186">
        <f t="shared" si="32"/>
        <v>42</v>
      </c>
    </row>
    <row r="187" spans="2:26" ht="15" thickBot="1" x14ac:dyDescent="0.4">
      <c r="B187">
        <f t="shared" si="30"/>
        <v>43</v>
      </c>
      <c r="C187" s="23" t="str">
        <f t="shared" si="34"/>
        <v>Figure 02 on Nvidia Jetson Orin by FigureAI</v>
      </c>
      <c r="D187" t="s">
        <v>1521</v>
      </c>
      <c r="E187" t="s">
        <v>1522</v>
      </c>
      <c r="F187" t="s">
        <v>1522</v>
      </c>
      <c r="G187" s="41" t="s">
        <v>45</v>
      </c>
      <c r="H187" s="106" t="s">
        <v>138</v>
      </c>
      <c r="I187" s="102" t="s">
        <v>332</v>
      </c>
      <c r="J187" s="106" t="s">
        <v>305</v>
      </c>
      <c r="K187" s="37" t="s">
        <v>1535</v>
      </c>
      <c r="L187" s="106" t="s">
        <v>305</v>
      </c>
      <c r="M187" s="48" t="s">
        <v>305</v>
      </c>
      <c r="N187" s="29" t="s">
        <v>138</v>
      </c>
      <c r="O187" s="48" t="s">
        <v>305</v>
      </c>
      <c r="P187" s="29"/>
      <c r="Q187" s="29"/>
      <c r="R187" s="48"/>
      <c r="S187" s="48"/>
      <c r="T187" s="48"/>
      <c r="U187" s="14"/>
      <c r="V187" s="102"/>
      <c r="W187" s="61"/>
      <c r="X187" s="61"/>
      <c r="Y187" s="103"/>
      <c r="Z187">
        <f t="shared" si="32"/>
        <v>43</v>
      </c>
    </row>
    <row r="188" spans="2:26" ht="15" thickTop="1" x14ac:dyDescent="0.35">
      <c r="B188">
        <f t="shared" si="30"/>
        <v>44</v>
      </c>
      <c r="C188" s="702" t="str">
        <f t="shared" si="34"/>
        <v>Other AI models that are not any of the above types listed in table</v>
      </c>
      <c r="D188" s="713"/>
      <c r="E188" s="713"/>
      <c r="F188" s="713"/>
      <c r="G188" s="734"/>
      <c r="H188" s="731"/>
      <c r="I188" s="731"/>
      <c r="J188" s="731"/>
      <c r="K188" s="731"/>
      <c r="L188" s="731"/>
      <c r="M188" s="731"/>
      <c r="N188" s="731"/>
      <c r="O188" s="731" t="s">
        <v>138</v>
      </c>
      <c r="P188" s="731"/>
      <c r="Q188" s="731"/>
      <c r="R188" s="731"/>
      <c r="S188" s="731"/>
      <c r="T188" s="731"/>
      <c r="U188" s="730"/>
      <c r="V188" s="731"/>
      <c r="W188" s="735"/>
      <c r="X188" s="735"/>
      <c r="Y188" s="732"/>
      <c r="Z188">
        <f t="shared" si="32"/>
        <v>44</v>
      </c>
    </row>
    <row r="189" spans="2:26" x14ac:dyDescent="0.35">
      <c r="B189">
        <f t="shared" si="30"/>
        <v>45</v>
      </c>
      <c r="C189" s="23" t="str">
        <f t="shared" si="34"/>
        <v>AlphaGo Zero by Google</v>
      </c>
      <c r="D189" s="152" t="s">
        <v>707</v>
      </c>
      <c r="E189" s="152" t="s">
        <v>707</v>
      </c>
      <c r="F189" s="152" t="s">
        <v>707</v>
      </c>
      <c r="G189" s="152" t="s">
        <v>707</v>
      </c>
      <c r="H189" s="163" t="s">
        <v>705</v>
      </c>
      <c r="I189" t="s">
        <v>720</v>
      </c>
      <c r="J189" s="110" t="s">
        <v>720</v>
      </c>
      <c r="K189" t="s">
        <v>138</v>
      </c>
      <c r="L189" s="110" t="s">
        <v>720</v>
      </c>
      <c r="M189" s="48" t="s">
        <v>138</v>
      </c>
      <c r="N189" s="29" t="s">
        <v>138</v>
      </c>
      <c r="O189" s="29" t="s">
        <v>138</v>
      </c>
      <c r="P189" s="29"/>
      <c r="Q189" s="29"/>
      <c r="R189" s="48" t="s">
        <v>45</v>
      </c>
      <c r="S189" s="15" t="s">
        <v>706</v>
      </c>
      <c r="T189" s="48" t="s">
        <v>45</v>
      </c>
      <c r="U189" s="48" t="s">
        <v>45</v>
      </c>
      <c r="V189" t="s">
        <v>45</v>
      </c>
      <c r="W189" t="s">
        <v>45</v>
      </c>
      <c r="X189" t="s">
        <v>1650</v>
      </c>
      <c r="Y189" s="53" t="s">
        <v>45</v>
      </c>
      <c r="Z189">
        <f t="shared" si="32"/>
        <v>45</v>
      </c>
    </row>
    <row r="190" spans="2:26" x14ac:dyDescent="0.35">
      <c r="B190">
        <f t="shared" si="30"/>
        <v>46</v>
      </c>
      <c r="C190" s="23" t="str">
        <f t="shared" si="34"/>
        <v>AlphaFold2 by Google</v>
      </c>
      <c r="D190" s="152" t="s">
        <v>711</v>
      </c>
      <c r="E190" s="152" t="s">
        <v>714</v>
      </c>
      <c r="F190" s="234"/>
      <c r="G190" s="234"/>
      <c r="H190" s="163" t="s">
        <v>711</v>
      </c>
      <c r="I190" s="48" t="s">
        <v>45</v>
      </c>
      <c r="J190" s="163" t="s">
        <v>714</v>
      </c>
      <c r="K190" t="s">
        <v>138</v>
      </c>
      <c r="L190" s="163" t="s">
        <v>715</v>
      </c>
      <c r="M190" s="14" t="s">
        <v>716</v>
      </c>
      <c r="N190" s="29" t="s">
        <v>138</v>
      </c>
      <c r="O190" s="29" t="s">
        <v>138</v>
      </c>
      <c r="P190" s="29"/>
      <c r="Q190" s="29"/>
      <c r="R190" s="48" t="s">
        <v>45</v>
      </c>
      <c r="S190" s="15" t="s">
        <v>719</v>
      </c>
      <c r="T190" s="15" t="s">
        <v>717</v>
      </c>
      <c r="U190" s="15" t="s">
        <v>718</v>
      </c>
      <c r="V190" s="231"/>
      <c r="W190" s="231"/>
      <c r="X190" t="s">
        <v>1650</v>
      </c>
      <c r="Y190" s="53" t="s">
        <v>45</v>
      </c>
      <c r="Z190">
        <f t="shared" si="32"/>
        <v>46</v>
      </c>
    </row>
    <row r="191" spans="2:26" x14ac:dyDescent="0.35">
      <c r="B191">
        <f t="shared" si="30"/>
        <v>47</v>
      </c>
      <c r="C191" s="23" t="str">
        <f t="shared" si="34"/>
        <v>USM by Google</v>
      </c>
      <c r="D191" s="15" t="s">
        <v>682</v>
      </c>
      <c r="E191" s="15" t="s">
        <v>682</v>
      </c>
      <c r="F191" s="15" t="s">
        <v>682</v>
      </c>
      <c r="G191" s="48" t="s">
        <v>1104</v>
      </c>
      <c r="H191" s="107" t="s">
        <v>682</v>
      </c>
      <c r="I191" s="29" t="s">
        <v>684</v>
      </c>
      <c r="J191" s="106" t="s">
        <v>684</v>
      </c>
      <c r="K191" t="s">
        <v>138</v>
      </c>
      <c r="L191" s="106" t="s">
        <v>684</v>
      </c>
      <c r="M191" s="29" t="s">
        <v>684</v>
      </c>
      <c r="N191" s="29" t="s">
        <v>684</v>
      </c>
      <c r="O191" s="29" t="s">
        <v>138</v>
      </c>
      <c r="P191" s="29"/>
      <c r="Q191" s="29"/>
      <c r="R191" s="48" t="s">
        <v>18</v>
      </c>
      <c r="S191" s="15" t="s">
        <v>682</v>
      </c>
      <c r="T191" s="48" t="s">
        <v>138</v>
      </c>
      <c r="U191" s="15" t="s">
        <v>691</v>
      </c>
      <c r="V191" s="14" t="s">
        <v>690</v>
      </c>
      <c r="W191" s="229" t="s">
        <v>45</v>
      </c>
      <c r="X191" s="229"/>
      <c r="Y191" s="53" t="s">
        <v>45</v>
      </c>
      <c r="Z191">
        <f t="shared" si="32"/>
        <v>47</v>
      </c>
    </row>
    <row r="192" spans="2:26" ht="15" thickBot="1" x14ac:dyDescent="0.4">
      <c r="B192">
        <f t="shared" si="30"/>
        <v>48</v>
      </c>
      <c r="C192" s="23" t="str">
        <f t="shared" si="34"/>
        <v>Wisper by OpenAI</v>
      </c>
      <c r="D192" s="15" t="s">
        <v>693</v>
      </c>
      <c r="E192" s="15" t="s">
        <v>693</v>
      </c>
      <c r="F192" s="15" t="s">
        <v>693</v>
      </c>
      <c r="G192" s="48" t="s">
        <v>696</v>
      </c>
      <c r="H192" s="107" t="s">
        <v>694</v>
      </c>
      <c r="I192" s="29" t="s">
        <v>684</v>
      </c>
      <c r="J192" s="106" t="s">
        <v>684</v>
      </c>
      <c r="K192" t="s">
        <v>138</v>
      </c>
      <c r="L192" s="106" t="s">
        <v>684</v>
      </c>
      <c r="M192" s="29" t="s">
        <v>684</v>
      </c>
      <c r="N192" s="29" t="s">
        <v>684</v>
      </c>
      <c r="O192" s="29" t="s">
        <v>138</v>
      </c>
      <c r="P192" s="29"/>
      <c r="Q192" s="29"/>
      <c r="R192" s="48" t="s">
        <v>18</v>
      </c>
      <c r="S192" s="15" t="s">
        <v>694</v>
      </c>
      <c r="T192" s="48" t="s">
        <v>138</v>
      </c>
      <c r="U192" s="48" t="s">
        <v>236</v>
      </c>
      <c r="V192" s="230" t="s">
        <v>45</v>
      </c>
      <c r="W192" s="229" t="s">
        <v>45</v>
      </c>
      <c r="X192" s="229"/>
      <c r="Y192" s="53" t="s">
        <v>45</v>
      </c>
      <c r="Z192">
        <f t="shared" si="32"/>
        <v>48</v>
      </c>
    </row>
    <row r="193" spans="2:26" ht="15" thickTop="1" x14ac:dyDescent="0.35">
      <c r="B193">
        <f t="shared" si="30"/>
        <v>49</v>
      </c>
      <c r="C193" s="702" t="str">
        <f t="shared" si="34"/>
        <v>Comparing biological brains with existing supercomputers and likely forthcoming supercomputers</v>
      </c>
      <c r="D193" s="730"/>
      <c r="E193" s="730"/>
      <c r="F193" s="730"/>
      <c r="G193" s="713"/>
      <c r="H193" s="443"/>
      <c r="I193" s="713"/>
      <c r="J193" s="443"/>
      <c r="K193" s="443"/>
      <c r="L193" s="443"/>
      <c r="M193" s="713"/>
      <c r="N193" s="731"/>
      <c r="O193" s="731"/>
      <c r="P193" s="731"/>
      <c r="Q193" s="731"/>
      <c r="R193" s="731"/>
      <c r="S193" s="731"/>
      <c r="T193" s="731"/>
      <c r="U193" s="730"/>
      <c r="V193" s="731"/>
      <c r="W193" s="731"/>
      <c r="X193" s="731"/>
      <c r="Y193" s="736"/>
      <c r="Z193">
        <f t="shared" si="32"/>
        <v>49</v>
      </c>
    </row>
    <row r="194" spans="2:26" x14ac:dyDescent="0.35">
      <c r="B194">
        <f t="shared" si="30"/>
        <v>50</v>
      </c>
      <c r="C194" s="23" t="str">
        <f t="shared" si="34"/>
        <v>Human brain 100% functional simulation</v>
      </c>
      <c r="D194" s="328" t="s">
        <v>147</v>
      </c>
      <c r="E194" s="321" t="s">
        <v>1322</v>
      </c>
      <c r="F194" s="332" t="s">
        <v>222</v>
      </c>
      <c r="G194" s="339" t="s">
        <v>1523</v>
      </c>
      <c r="H194" s="110" t="s">
        <v>305</v>
      </c>
      <c r="I194" s="321" t="s">
        <v>332</v>
      </c>
      <c r="J194" s="110" t="s">
        <v>305</v>
      </c>
      <c r="K194" s="580" t="s">
        <v>1175</v>
      </c>
      <c r="L194" s="106" t="s">
        <v>1051</v>
      </c>
      <c r="M194" s="324" t="s">
        <v>153</v>
      </c>
      <c r="N194" s="321" t="s">
        <v>138</v>
      </c>
      <c r="O194" s="339" t="s">
        <v>267</v>
      </c>
      <c r="P194" s="339"/>
      <c r="Q194" s="339"/>
      <c r="R194" s="321" t="s">
        <v>216</v>
      </c>
      <c r="S194" s="321" t="s">
        <v>263</v>
      </c>
      <c r="T194" s="321" t="s">
        <v>357</v>
      </c>
      <c r="U194" s="321" t="s">
        <v>304</v>
      </c>
      <c r="V194" s="332" t="s">
        <v>380</v>
      </c>
      <c r="W194" s="321" t="s">
        <v>383</v>
      </c>
      <c r="X194" s="321" t="s">
        <v>43</v>
      </c>
      <c r="Y194" s="334" t="s">
        <v>266</v>
      </c>
      <c r="Z194">
        <f t="shared" si="32"/>
        <v>50</v>
      </c>
    </row>
    <row r="195" spans="2:26" x14ac:dyDescent="0.35">
      <c r="B195">
        <f t="shared" si="30"/>
        <v>51</v>
      </c>
      <c r="C195" s="23" t="str">
        <f t="shared" si="34"/>
        <v>Human forebrain is 20% of all brain by neuron count. To get to parameter count we also need to multiply with average synapsis in forbrain and I could not find that number so just assumed it is the same as average brain at 3000 which may be a wrong number and also dependent on age of human</v>
      </c>
      <c r="D195" s="328" t="s">
        <v>147</v>
      </c>
      <c r="E195" s="321" t="s">
        <v>1322</v>
      </c>
      <c r="F195" s="332" t="s">
        <v>222</v>
      </c>
      <c r="G195" s="339" t="s">
        <v>1523</v>
      </c>
      <c r="H195" s="110" t="s">
        <v>305</v>
      </c>
      <c r="I195" s="321" t="s">
        <v>332</v>
      </c>
      <c r="J195" s="110" t="s">
        <v>305</v>
      </c>
      <c r="K195" s="580" t="s">
        <v>1175</v>
      </c>
      <c r="L195" s="106" t="s">
        <v>332</v>
      </c>
      <c r="M195" s="321" t="s">
        <v>138</v>
      </c>
      <c r="N195" s="321" t="s">
        <v>138</v>
      </c>
      <c r="O195" s="339" t="s">
        <v>267</v>
      </c>
      <c r="P195" s="339"/>
      <c r="Q195" s="339"/>
      <c r="R195" s="321" t="s">
        <v>216</v>
      </c>
      <c r="S195" s="321" t="s">
        <v>263</v>
      </c>
      <c r="T195" s="321" t="s">
        <v>357</v>
      </c>
      <c r="U195" s="321" t="s">
        <v>304</v>
      </c>
      <c r="V195" s="332" t="s">
        <v>380</v>
      </c>
      <c r="W195" s="321" t="s">
        <v>383</v>
      </c>
      <c r="X195" s="321" t="s">
        <v>43</v>
      </c>
      <c r="Y195" s="334" t="s">
        <v>266</v>
      </c>
      <c r="Z195">
        <f t="shared" si="32"/>
        <v>51</v>
      </c>
    </row>
    <row r="196" spans="2:26" x14ac:dyDescent="0.35">
      <c r="B196">
        <f t="shared" si="30"/>
        <v>52</v>
      </c>
      <c r="C196" s="23" t="str">
        <f t="shared" si="34"/>
        <v>Chimpanzee 33% of human brain</v>
      </c>
      <c r="D196" s="328" t="s">
        <v>429</v>
      </c>
      <c r="E196" s="321" t="s">
        <v>1322</v>
      </c>
      <c r="F196" s="332" t="s">
        <v>429</v>
      </c>
      <c r="G196" s="321" t="s">
        <v>18</v>
      </c>
      <c r="H196" s="110" t="s">
        <v>305</v>
      </c>
      <c r="I196" s="321" t="s">
        <v>332</v>
      </c>
      <c r="J196" s="110" t="s">
        <v>305</v>
      </c>
      <c r="K196" s="580" t="s">
        <v>1175</v>
      </c>
      <c r="L196" s="106" t="s">
        <v>332</v>
      </c>
      <c r="M196" s="321" t="s">
        <v>138</v>
      </c>
      <c r="N196" s="321" t="s">
        <v>138</v>
      </c>
      <c r="O196" s="321" t="s">
        <v>18</v>
      </c>
      <c r="P196" s="321" t="s">
        <v>18</v>
      </c>
      <c r="Q196" s="321" t="s">
        <v>18</v>
      </c>
      <c r="R196" s="321" t="s">
        <v>216</v>
      </c>
      <c r="S196" s="321" t="s">
        <v>441</v>
      </c>
      <c r="T196" s="321" t="s">
        <v>440</v>
      </c>
      <c r="U196" s="321" t="s">
        <v>304</v>
      </c>
      <c r="V196" s="321" t="s">
        <v>45</v>
      </c>
      <c r="W196" s="321" t="s">
        <v>45</v>
      </c>
      <c r="X196" s="321" t="s">
        <v>43</v>
      </c>
      <c r="Y196" s="334" t="s">
        <v>18</v>
      </c>
      <c r="Z196">
        <f t="shared" si="32"/>
        <v>52</v>
      </c>
    </row>
    <row r="197" spans="2:26" x14ac:dyDescent="0.35">
      <c r="B197">
        <f t="shared" si="30"/>
        <v>53</v>
      </c>
      <c r="C197" s="23" t="str">
        <f t="shared" si="34"/>
        <v>Dog/wolf brain 4.1% of human brain</v>
      </c>
      <c r="D197" s="328" t="s">
        <v>1073</v>
      </c>
      <c r="E197" s="321" t="s">
        <v>1322</v>
      </c>
      <c r="F197" s="332" t="s">
        <v>1075</v>
      </c>
      <c r="G197" s="321" t="s">
        <v>18</v>
      </c>
      <c r="H197" s="110" t="s">
        <v>305</v>
      </c>
      <c r="I197" s="321" t="s">
        <v>332</v>
      </c>
      <c r="J197" s="110" t="s">
        <v>305</v>
      </c>
      <c r="K197" s="580" t="s">
        <v>1175</v>
      </c>
      <c r="L197" s="106" t="s">
        <v>332</v>
      </c>
      <c r="M197" s="321" t="s">
        <v>138</v>
      </c>
      <c r="N197" s="321" t="s">
        <v>138</v>
      </c>
      <c r="O197" s="321" t="s">
        <v>18</v>
      </c>
      <c r="P197" s="321" t="s">
        <v>18</v>
      </c>
      <c r="Q197" s="321" t="s">
        <v>18</v>
      </c>
      <c r="R197" s="321" t="s">
        <v>216</v>
      </c>
      <c r="S197" s="321" t="s">
        <v>1078</v>
      </c>
      <c r="T197" s="321" t="s">
        <v>1079</v>
      </c>
      <c r="U197" s="321" t="s">
        <v>304</v>
      </c>
      <c r="V197" s="321" t="s">
        <v>45</v>
      </c>
      <c r="W197" s="321" t="s">
        <v>45</v>
      </c>
      <c r="X197" s="321" t="s">
        <v>43</v>
      </c>
      <c r="Y197" s="334" t="s">
        <v>18</v>
      </c>
      <c r="Z197">
        <f t="shared" si="32"/>
        <v>53</v>
      </c>
    </row>
    <row r="198" spans="2:26" x14ac:dyDescent="0.35">
      <c r="B198">
        <f t="shared" si="30"/>
        <v>54</v>
      </c>
      <c r="C198" s="23" t="str">
        <f t="shared" si="34"/>
        <v>Mouse brain 0.08% of human brain</v>
      </c>
      <c r="D198" s="328" t="s">
        <v>1054</v>
      </c>
      <c r="E198" s="321" t="s">
        <v>1322</v>
      </c>
      <c r="F198" s="332" t="s">
        <v>1053</v>
      </c>
      <c r="G198" s="321" t="s">
        <v>18</v>
      </c>
      <c r="H198" s="110" t="s">
        <v>305</v>
      </c>
      <c r="I198" s="321" t="s">
        <v>332</v>
      </c>
      <c r="J198" s="110" t="s">
        <v>1595</v>
      </c>
      <c r="K198" s="580" t="s">
        <v>1175</v>
      </c>
      <c r="L198" s="106" t="s">
        <v>332</v>
      </c>
      <c r="M198" s="321" t="s">
        <v>138</v>
      </c>
      <c r="N198" s="321" t="s">
        <v>138</v>
      </c>
      <c r="O198" s="321" t="s">
        <v>18</v>
      </c>
      <c r="P198" s="321" t="s">
        <v>18</v>
      </c>
      <c r="Q198" s="321" t="s">
        <v>18</v>
      </c>
      <c r="R198" s="321" t="s">
        <v>216</v>
      </c>
      <c r="S198" s="321" t="s">
        <v>1653</v>
      </c>
      <c r="T198" s="321"/>
      <c r="U198" s="321" t="s">
        <v>304</v>
      </c>
      <c r="V198" s="321" t="s">
        <v>45</v>
      </c>
      <c r="W198" s="321" t="s">
        <v>45</v>
      </c>
      <c r="X198" s="321" t="s">
        <v>43</v>
      </c>
      <c r="Y198" s="334" t="s">
        <v>18</v>
      </c>
      <c r="Z198">
        <f t="shared" si="32"/>
        <v>54</v>
      </c>
    </row>
    <row r="199" spans="2:26" x14ac:dyDescent="0.35">
      <c r="B199">
        <f t="shared" si="30"/>
        <v>55</v>
      </c>
      <c r="C199" s="23" t="str">
        <f t="shared" si="34"/>
        <v>African elephant total brain 299%</v>
      </c>
      <c r="D199" s="328" t="s">
        <v>1317</v>
      </c>
      <c r="E199" s="321" t="s">
        <v>1322</v>
      </c>
      <c r="F199" s="332" t="s">
        <v>1323</v>
      </c>
      <c r="G199" s="321"/>
      <c r="H199" s="110" t="s">
        <v>305</v>
      </c>
      <c r="I199" s="321" t="s">
        <v>332</v>
      </c>
      <c r="J199" s="110" t="s">
        <v>305</v>
      </c>
      <c r="K199" s="580" t="s">
        <v>1175</v>
      </c>
      <c r="L199" s="106" t="s">
        <v>332</v>
      </c>
      <c r="M199" s="321" t="s">
        <v>138</v>
      </c>
      <c r="N199" s="321" t="s">
        <v>138</v>
      </c>
      <c r="O199" s="321" t="s">
        <v>18</v>
      </c>
      <c r="P199" s="321" t="s">
        <v>18</v>
      </c>
      <c r="Q199" s="321" t="s">
        <v>18</v>
      </c>
      <c r="R199" s="321" t="s">
        <v>216</v>
      </c>
      <c r="S199" s="321" t="s">
        <v>1654</v>
      </c>
      <c r="T199" s="321"/>
      <c r="U199" s="321" t="s">
        <v>304</v>
      </c>
      <c r="V199" s="321" t="s">
        <v>45</v>
      </c>
      <c r="W199" s="321"/>
      <c r="X199" s="321" t="s">
        <v>43</v>
      </c>
      <c r="Y199" s="334" t="s">
        <v>18</v>
      </c>
      <c r="Z199">
        <f t="shared" si="32"/>
        <v>55</v>
      </c>
    </row>
    <row r="200" spans="2:26" x14ac:dyDescent="0.35">
      <c r="B200">
        <f t="shared" si="30"/>
        <v>56</v>
      </c>
      <c r="C200" s="23" t="str">
        <f t="shared" si="34"/>
        <v>African elephant forebrain brain 6.5%</v>
      </c>
      <c r="D200" s="328" t="s">
        <v>1317</v>
      </c>
      <c r="E200" s="321" t="s">
        <v>1322</v>
      </c>
      <c r="F200" s="332" t="s">
        <v>1323</v>
      </c>
      <c r="G200" s="321"/>
      <c r="H200" s="110" t="s">
        <v>305</v>
      </c>
      <c r="I200" s="321" t="s">
        <v>332</v>
      </c>
      <c r="J200" s="110" t="s">
        <v>305</v>
      </c>
      <c r="K200" s="580" t="s">
        <v>1175</v>
      </c>
      <c r="L200" s="106" t="s">
        <v>332</v>
      </c>
      <c r="M200" s="321" t="s">
        <v>138</v>
      </c>
      <c r="N200" s="321" t="s">
        <v>138</v>
      </c>
      <c r="O200" s="321" t="s">
        <v>18</v>
      </c>
      <c r="P200" s="321" t="s">
        <v>18</v>
      </c>
      <c r="Q200" s="321" t="s">
        <v>18</v>
      </c>
      <c r="R200" s="321" t="s">
        <v>216</v>
      </c>
      <c r="S200" s="321" t="s">
        <v>1654</v>
      </c>
      <c r="T200" s="321"/>
      <c r="U200" s="321" t="s">
        <v>304</v>
      </c>
      <c r="V200" s="321" t="s">
        <v>45</v>
      </c>
      <c r="W200" s="321"/>
      <c r="X200" s="321" t="s">
        <v>43</v>
      </c>
      <c r="Y200" s="334" t="s">
        <v>18</v>
      </c>
      <c r="Z200">
        <f t="shared" si="32"/>
        <v>56</v>
      </c>
    </row>
    <row r="201" spans="2:26" x14ac:dyDescent="0.35">
      <c r="B201">
        <f t="shared" si="30"/>
        <v>57</v>
      </c>
      <c r="C201" s="23" t="str">
        <f t="shared" si="34"/>
        <v>Fruit fly brain 0.000163% of human brain</v>
      </c>
      <c r="D201" s="328" t="s">
        <v>1590</v>
      </c>
      <c r="E201" s="321" t="s">
        <v>1591</v>
      </c>
      <c r="F201" s="332" t="s">
        <v>1399</v>
      </c>
      <c r="G201" s="321"/>
      <c r="H201" s="163" t="s">
        <v>1398</v>
      </c>
      <c r="I201" s="321"/>
      <c r="J201" s="110" t="s">
        <v>1594</v>
      </c>
      <c r="K201" s="580" t="s">
        <v>1175</v>
      </c>
      <c r="L201" s="106" t="s">
        <v>332</v>
      </c>
      <c r="M201" s="321" t="s">
        <v>138</v>
      </c>
      <c r="N201" s="321" t="s">
        <v>138</v>
      </c>
      <c r="O201" s="321" t="s">
        <v>18</v>
      </c>
      <c r="P201" s="321" t="s">
        <v>18</v>
      </c>
      <c r="Q201" s="321" t="s">
        <v>18</v>
      </c>
      <c r="R201" s="321" t="s">
        <v>216</v>
      </c>
      <c r="S201" s="321" t="s">
        <v>1655</v>
      </c>
      <c r="T201" s="321"/>
      <c r="U201" s="321" t="s">
        <v>304</v>
      </c>
      <c r="V201" s="321" t="s">
        <v>45</v>
      </c>
      <c r="W201" s="321"/>
      <c r="X201" s="321" t="s">
        <v>43</v>
      </c>
      <c r="Y201" s="334" t="s">
        <v>18</v>
      </c>
      <c r="Z201">
        <f t="shared" si="32"/>
        <v>57</v>
      </c>
    </row>
    <row r="202" spans="2:26" x14ac:dyDescent="0.35">
      <c r="B202">
        <f t="shared" si="30"/>
        <v>58</v>
      </c>
      <c r="C202" s="23" t="str">
        <f t="shared" ref="C202:C204" si="35">C66</f>
        <v>Nvidia GB200 NVL72 training cluster</v>
      </c>
      <c r="D202" s="126" t="s">
        <v>305</v>
      </c>
      <c r="E202" s="126" t="s">
        <v>305</v>
      </c>
      <c r="F202" s="126" t="s">
        <v>305</v>
      </c>
      <c r="G202" s="126" t="s">
        <v>45</v>
      </c>
      <c r="H202" s="110" t="s">
        <v>305</v>
      </c>
      <c r="I202" s="126" t="s">
        <v>305</v>
      </c>
      <c r="J202" s="110" t="s">
        <v>305</v>
      </c>
      <c r="K202" s="126"/>
      <c r="L202" s="110" t="s">
        <v>305</v>
      </c>
      <c r="M202" s="126" t="s">
        <v>305</v>
      </c>
      <c r="N202" s="126" t="s">
        <v>305</v>
      </c>
      <c r="O202" s="126" t="s">
        <v>305</v>
      </c>
      <c r="P202" s="126"/>
      <c r="Q202" s="126"/>
      <c r="R202" s="126" t="s">
        <v>305</v>
      </c>
      <c r="S202" s="126" t="s">
        <v>305</v>
      </c>
      <c r="T202" s="126" t="s">
        <v>305</v>
      </c>
      <c r="U202" s="126" t="s">
        <v>305</v>
      </c>
      <c r="V202" s="126" t="s">
        <v>305</v>
      </c>
      <c r="W202" s="126" t="s">
        <v>305</v>
      </c>
      <c r="X202" s="126"/>
      <c r="Y202" s="526" t="s">
        <v>305</v>
      </c>
      <c r="Z202">
        <f t="shared" si="32"/>
        <v>58</v>
      </c>
    </row>
    <row r="203" spans="2:26" x14ac:dyDescent="0.35">
      <c r="B203">
        <f t="shared" si="30"/>
        <v>59</v>
      </c>
      <c r="C203" s="23" t="str">
        <f t="shared" si="35"/>
        <v>Min. AGI computer GB200 +40TB HBM</v>
      </c>
      <c r="D203" s="1" t="s">
        <v>305</v>
      </c>
      <c r="E203" s="1" t="s">
        <v>305</v>
      </c>
      <c r="F203" s="1" t="s">
        <v>305</v>
      </c>
      <c r="G203" s="1" t="s">
        <v>45</v>
      </c>
      <c r="H203" s="110" t="s">
        <v>305</v>
      </c>
      <c r="I203" s="1" t="s">
        <v>305</v>
      </c>
      <c r="J203" s="110" t="s">
        <v>305</v>
      </c>
      <c r="K203" s="1"/>
      <c r="L203" s="110" t="s">
        <v>305</v>
      </c>
      <c r="M203" s="1" t="s">
        <v>305</v>
      </c>
      <c r="N203" s="1" t="s">
        <v>305</v>
      </c>
      <c r="O203" s="1" t="s">
        <v>305</v>
      </c>
      <c r="P203" s="1"/>
      <c r="Q203" s="1"/>
      <c r="R203" s="1" t="s">
        <v>305</v>
      </c>
      <c r="S203" s="1" t="s">
        <v>305</v>
      </c>
      <c r="T203" s="1" t="s">
        <v>305</v>
      </c>
      <c r="U203" s="1" t="s">
        <v>305</v>
      </c>
      <c r="V203" s="1" t="s">
        <v>305</v>
      </c>
      <c r="W203" s="1" t="s">
        <v>305</v>
      </c>
      <c r="X203" s="1"/>
      <c r="Y203" s="527" t="s">
        <v>305</v>
      </c>
      <c r="Z203">
        <f t="shared" si="32"/>
        <v>59</v>
      </c>
    </row>
    <row r="204" spans="2:26" x14ac:dyDescent="0.35">
      <c r="B204">
        <f t="shared" si="30"/>
        <v>60</v>
      </c>
      <c r="C204" s="23" t="str">
        <f t="shared" si="35"/>
        <v>15, 4 TB SSD disks doing 7.4GB/s each</v>
      </c>
      <c r="D204" s="115" t="s">
        <v>1216</v>
      </c>
      <c r="E204" s="115" t="s">
        <v>1216</v>
      </c>
      <c r="F204" s="1" t="s">
        <v>45</v>
      </c>
      <c r="G204" s="1" t="s">
        <v>45</v>
      </c>
      <c r="H204" s="110" t="s">
        <v>45</v>
      </c>
      <c r="I204" s="1" t="s">
        <v>45</v>
      </c>
      <c r="J204" s="163" t="s">
        <v>1216</v>
      </c>
      <c r="K204" s="1" t="s">
        <v>45</v>
      </c>
      <c r="L204" s="110" t="s">
        <v>45</v>
      </c>
      <c r="M204" s="1" t="s">
        <v>45</v>
      </c>
      <c r="N204" s="1" t="s">
        <v>45</v>
      </c>
      <c r="O204" s="1" t="s">
        <v>305</v>
      </c>
      <c r="P204" s="1"/>
      <c r="Q204" s="1"/>
      <c r="R204" s="1" t="s">
        <v>45</v>
      </c>
      <c r="S204" s="1" t="s">
        <v>45</v>
      </c>
      <c r="T204" s="1" t="s">
        <v>45</v>
      </c>
      <c r="U204" s="1" t="s">
        <v>45</v>
      </c>
      <c r="V204" s="1" t="s">
        <v>45</v>
      </c>
      <c r="W204" s="1" t="s">
        <v>45</v>
      </c>
      <c r="X204" s="1"/>
      <c r="Y204" s="527" t="s">
        <v>45</v>
      </c>
      <c r="Z204">
        <f t="shared" si="32"/>
        <v>60</v>
      </c>
    </row>
    <row r="205" spans="2:26" ht="15" thickBot="1" x14ac:dyDescent="0.4">
      <c r="B205">
        <f t="shared" si="30"/>
        <v>61</v>
      </c>
      <c r="C205" s="27" t="str">
        <f t="shared" ref="C205" si="36">C69</f>
        <v>Artificial human beings - An artificial species capable of building their own technological civilization without any further help from biological humans</v>
      </c>
      <c r="D205" s="204" t="s">
        <v>305</v>
      </c>
      <c r="E205" s="1" t="s">
        <v>305</v>
      </c>
      <c r="F205" s="204" t="s">
        <v>305</v>
      </c>
      <c r="G205" s="204" t="s">
        <v>1192</v>
      </c>
      <c r="H205" s="82" t="s">
        <v>305</v>
      </c>
      <c r="I205" s="262" t="s">
        <v>138</v>
      </c>
      <c r="J205" s="333"/>
      <c r="K205" s="262"/>
      <c r="L205" s="333" t="s">
        <v>305</v>
      </c>
      <c r="M205" s="252" t="s">
        <v>330</v>
      </c>
      <c r="N205" s="262" t="s">
        <v>138</v>
      </c>
      <c r="O205" s="251" t="s">
        <v>1427</v>
      </c>
      <c r="P205" s="204"/>
      <c r="Q205" s="204"/>
      <c r="R205" s="262" t="s">
        <v>45</v>
      </c>
      <c r="S205" s="262" t="s">
        <v>384</v>
      </c>
      <c r="T205" s="262" t="s">
        <v>357</v>
      </c>
      <c r="U205" s="251" t="s">
        <v>662</v>
      </c>
      <c r="V205" s="251" t="s">
        <v>380</v>
      </c>
      <c r="W205" s="262" t="s">
        <v>383</v>
      </c>
      <c r="X205" s="262"/>
      <c r="Y205" s="263" t="s">
        <v>1105</v>
      </c>
      <c r="Z205">
        <f t="shared" si="32"/>
        <v>61</v>
      </c>
    </row>
    <row r="206" spans="2:26" ht="15" thickTop="1" x14ac:dyDescent="0.35">
      <c r="B206">
        <f t="shared" si="30"/>
        <v>62</v>
      </c>
      <c r="C206" s="400" t="str">
        <f>C70</f>
        <v>Text file size reading 1 page per min. for 16 years non-stop (28,000 books at 300 pages each)</v>
      </c>
      <c r="D206" s="538"/>
      <c r="E206" s="541"/>
      <c r="F206" s="542"/>
      <c r="G206" s="541"/>
      <c r="H206" s="543"/>
      <c r="I206" s="541" t="s">
        <v>1319</v>
      </c>
      <c r="J206" s="541" t="s">
        <v>1319</v>
      </c>
      <c r="K206" s="538"/>
      <c r="L206" s="544" t="s">
        <v>45</v>
      </c>
      <c r="M206" s="538" t="s">
        <v>45</v>
      </c>
      <c r="N206" s="541" t="s">
        <v>45</v>
      </c>
      <c r="O206" s="541"/>
      <c r="P206" s="541"/>
      <c r="Q206" s="541"/>
      <c r="R206" s="541" t="s">
        <v>45</v>
      </c>
      <c r="S206" s="541" t="s">
        <v>45</v>
      </c>
      <c r="T206" s="541" t="s">
        <v>1050</v>
      </c>
      <c r="U206" s="542" t="s">
        <v>45</v>
      </c>
      <c r="V206" s="542" t="s">
        <v>45</v>
      </c>
      <c r="W206" s="541" t="s">
        <v>45</v>
      </c>
      <c r="X206" s="541"/>
      <c r="Y206" s="545" t="s">
        <v>45</v>
      </c>
      <c r="Z206">
        <f t="shared" si="32"/>
        <v>62</v>
      </c>
    </row>
    <row r="207" spans="2:26" x14ac:dyDescent="0.35">
      <c r="B207">
        <f t="shared" si="30"/>
        <v>63</v>
      </c>
      <c r="C207" s="23" t="str">
        <f>C71</f>
        <v>Audio file size listening 16 years non-stop at 16-bit, 48kHz, non-compressed</v>
      </c>
      <c r="D207" s="507"/>
      <c r="E207" s="529"/>
      <c r="F207" s="530"/>
      <c r="G207" s="529"/>
      <c r="H207" s="546"/>
      <c r="I207" s="529" t="s">
        <v>1050</v>
      </c>
      <c r="J207" s="529" t="s">
        <v>1050</v>
      </c>
      <c r="K207" s="507"/>
      <c r="L207" s="531" t="s">
        <v>45</v>
      </c>
      <c r="M207" s="507" t="s">
        <v>45</v>
      </c>
      <c r="N207" s="529" t="s">
        <v>45</v>
      </c>
      <c r="O207" s="529"/>
      <c r="P207" s="529"/>
      <c r="Q207" s="529"/>
      <c r="R207" s="529" t="s">
        <v>45</v>
      </c>
      <c r="S207" s="529" t="s">
        <v>45</v>
      </c>
      <c r="T207" s="529" t="s">
        <v>1050</v>
      </c>
      <c r="U207" s="530" t="s">
        <v>45</v>
      </c>
      <c r="V207" s="530" t="s">
        <v>45</v>
      </c>
      <c r="W207" s="529" t="s">
        <v>45</v>
      </c>
      <c r="X207" s="529"/>
      <c r="Y207" s="532" t="s">
        <v>45</v>
      </c>
      <c r="Z207">
        <f t="shared" si="32"/>
        <v>63</v>
      </c>
    </row>
    <row r="208" spans="2:26" x14ac:dyDescent="0.35">
      <c r="B208">
        <f t="shared" si="30"/>
        <v>64</v>
      </c>
      <c r="C208" s="23" t="str">
        <f>C72</f>
        <v>Video file size for FHD1080p, 0.1fps for 16 years non-stop, H264 or 50 million FHD images &gt;Max size human memory?&lt;</v>
      </c>
      <c r="D208" s="507"/>
      <c r="E208" s="529"/>
      <c r="F208" s="533"/>
      <c r="G208" s="529"/>
      <c r="H208" s="507"/>
      <c r="I208" s="529" t="s">
        <v>1050</v>
      </c>
      <c r="J208" s="529" t="s">
        <v>1050</v>
      </c>
      <c r="K208" s="507"/>
      <c r="L208" s="531" t="s">
        <v>45</v>
      </c>
      <c r="M208" s="507" t="s">
        <v>45</v>
      </c>
      <c r="N208" s="529" t="s">
        <v>45</v>
      </c>
      <c r="O208" s="529"/>
      <c r="P208" s="529"/>
      <c r="Q208" s="529"/>
      <c r="R208" s="529" t="s">
        <v>45</v>
      </c>
      <c r="S208" s="529" t="s">
        <v>45</v>
      </c>
      <c r="T208" s="529" t="s">
        <v>1050</v>
      </c>
      <c r="U208" s="530" t="s">
        <v>45</v>
      </c>
      <c r="V208" s="530" t="s">
        <v>45</v>
      </c>
      <c r="W208" s="529" t="s">
        <v>45</v>
      </c>
      <c r="X208" s="529"/>
      <c r="Y208" s="532" t="s">
        <v>45</v>
      </c>
      <c r="Z208">
        <f t="shared" si="32"/>
        <v>64</v>
      </c>
    </row>
    <row r="209" spans="2:26" x14ac:dyDescent="0.35">
      <c r="B209">
        <f t="shared" si="30"/>
        <v>65</v>
      </c>
      <c r="C209" s="23" t="str">
        <f>C73</f>
        <v>Video file size for 4k, 60pfs for 16 years nonstop, H265 or 30 billion 4k images, 1 eye</v>
      </c>
      <c r="D209" s="507"/>
      <c r="E209" s="529"/>
      <c r="F209" s="533"/>
      <c r="G209" s="529"/>
      <c r="H209" s="507"/>
      <c r="I209" s="529" t="s">
        <v>1050</v>
      </c>
      <c r="J209" s="529" t="s">
        <v>1050</v>
      </c>
      <c r="K209" s="507"/>
      <c r="L209" s="531" t="s">
        <v>45</v>
      </c>
      <c r="M209" s="507" t="s">
        <v>45</v>
      </c>
      <c r="N209" s="529" t="s">
        <v>45</v>
      </c>
      <c r="O209" s="529"/>
      <c r="P209" s="529"/>
      <c r="Q209" s="529"/>
      <c r="R209" s="529" t="s">
        <v>45</v>
      </c>
      <c r="S209" s="529" t="s">
        <v>45</v>
      </c>
      <c r="T209" s="529" t="s">
        <v>1050</v>
      </c>
      <c r="U209" s="530" t="s">
        <v>45</v>
      </c>
      <c r="V209" s="530" t="s">
        <v>45</v>
      </c>
      <c r="W209" s="529" t="s">
        <v>45</v>
      </c>
      <c r="X209" s="529"/>
      <c r="Y209" s="532" t="s">
        <v>45</v>
      </c>
      <c r="Z209">
        <f t="shared" si="32"/>
        <v>65</v>
      </c>
    </row>
    <row r="210" spans="2:26" ht="15" thickBot="1" x14ac:dyDescent="0.4">
      <c r="B210">
        <f t="shared" si="30"/>
        <v>66</v>
      </c>
      <c r="C210" s="27" t="str">
        <f>C74</f>
        <v>Total human brain sensory input in GB/s for 16 years from 2 eyes + sensory nerves and metabolic processes &gt;VERY CRUDE ESTIMATE&lt; Likely too high.</v>
      </c>
      <c r="D210" s="535"/>
      <c r="E210" s="547"/>
      <c r="F210" s="548"/>
      <c r="G210" s="547"/>
      <c r="H210" s="535"/>
      <c r="I210" s="547" t="s">
        <v>1297</v>
      </c>
      <c r="J210" s="547" t="s">
        <v>1297</v>
      </c>
      <c r="K210" s="535"/>
      <c r="L210" s="549"/>
      <c r="M210" s="535"/>
      <c r="N210" s="547"/>
      <c r="O210" s="547"/>
      <c r="P210" s="547"/>
      <c r="Q210" s="547"/>
      <c r="R210" s="547"/>
      <c r="S210" s="547"/>
      <c r="T210" s="547"/>
      <c r="U210" s="550"/>
      <c r="V210" s="550"/>
      <c r="W210" s="547"/>
      <c r="X210" s="547"/>
      <c r="Y210" s="551"/>
      <c r="Z210">
        <f t="shared" si="32"/>
        <v>66</v>
      </c>
    </row>
    <row r="211" spans="2:26" ht="15" thickTop="1" x14ac:dyDescent="0.35"/>
  </sheetData>
  <phoneticPr fontId="4" type="noConversion"/>
  <hyperlinks>
    <hyperlink ref="G149:G151" r:id="rId1" display="https://chat.openai.com/" xr:uid="{B71C36CE-6BE0-4A9B-97C4-054EC2C079DC}"/>
    <hyperlink ref="H149" r:id="rId2" xr:uid="{19A253E8-D28E-4723-9A5D-19B7CA8B04E5}"/>
    <hyperlink ref="R151" r:id="rId3" xr:uid="{67C830EA-6008-421B-9C8C-5332CA45CAFC}"/>
    <hyperlink ref="R149" r:id="rId4" xr:uid="{C6436A3D-EB14-4AF2-8DD4-1753993D96BD}"/>
    <hyperlink ref="F149:F151" r:id="rId5" display="https://chat.openai.com/" xr:uid="{A912385B-36C1-43DD-8B3E-12BC825E496B}"/>
    <hyperlink ref="D151" r:id="rId6" xr:uid="{9746A3ED-60B9-4474-9CEF-5FC9B8490517}"/>
    <hyperlink ref="D149" r:id="rId7" location="GPT-3.5" xr:uid="{1841C314-8DD5-4071-81B9-D0C5C0F12F9D}"/>
    <hyperlink ref="E151" r:id="rId8" display="https://en.wikipedia.org/wiki/GPT-4" xr:uid="{39308322-11A9-42D1-8687-22840A11CAF9}"/>
    <hyperlink ref="E149" r:id="rId9" location="GPT-3.5" display="https://en.wikipedia.org/wiki/GPT-3#GPT-3.5" xr:uid="{CD60BB31-F8F8-4777-AB08-D147E927B162}"/>
    <hyperlink ref="AG15" r:id="rId10" xr:uid="{A2E0BAB6-9E2D-482F-AA41-C121B8FC1438}"/>
    <hyperlink ref="H151" r:id="rId11" xr:uid="{FC4F489B-0DAC-44E6-9340-90038A50BCA9}"/>
    <hyperlink ref="S151" r:id="rId12" xr:uid="{3560EBCC-4BB0-462D-826A-B51B77E56ED1}"/>
    <hyperlink ref="L151" r:id="rId13" xr:uid="{D6130DFC-A49C-4AF2-A9B1-08B82F91A61F}"/>
    <hyperlink ref="V151:W151" r:id="rId14" display="https://the-decoder.com/gpt-4-architecture-datasets-costs-and-more-leaked/" xr:uid="{4B053995-3F5A-41D8-B359-F358D2EB5B15}"/>
    <hyperlink ref="Y151" r:id="rId15" xr:uid="{F15D63C6-02E8-4365-B7F9-C377722FCF17}"/>
    <hyperlink ref="F163" r:id="rId16" xr:uid="{9533BC08-665A-4250-9AC0-A3CB2B0602CF}"/>
    <hyperlink ref="G163" r:id="rId17" xr:uid="{529E062D-B0C2-410B-9C07-84BF4CF3AA50}"/>
    <hyperlink ref="M151" r:id="rId18" xr:uid="{04E9782B-1467-4AF1-8FC6-25097C578350}"/>
    <hyperlink ref="D167" r:id="rId19" xr:uid="{64308AF7-BF49-4352-A83C-2ACEF1969171}"/>
    <hyperlink ref="F170" r:id="rId20" xr:uid="{3472319C-909D-4192-810D-F78728E63AA5}"/>
    <hyperlink ref="G170" r:id="rId21" xr:uid="{A07F9604-FF76-4518-AF88-6B78CFEFAD0C}"/>
    <hyperlink ref="H167" r:id="rId22" xr:uid="{A1802DDE-2D63-4BB2-B0FE-367841692AC7}"/>
    <hyperlink ref="F167" r:id="rId23" xr:uid="{D7DB38F3-C913-409D-922E-163358DD2422}"/>
    <hyperlink ref="F161" r:id="rId24" xr:uid="{2C3F0B7B-79BA-4524-AC4F-3274C5F23152}"/>
    <hyperlink ref="D160" r:id="rId25" xr:uid="{43CB4D7D-0EA7-430F-A057-B3F15275B7BB}"/>
    <hyperlink ref="D161" r:id="rId26" xr:uid="{EFE881E6-B952-41DE-BA48-07AEE541D68D}"/>
    <hyperlink ref="E161" r:id="rId27" xr:uid="{0B894040-6537-4C85-AC51-D7BC6B14BF7D}"/>
    <hyperlink ref="G161" r:id="rId28" xr:uid="{5370D573-EE8E-45BB-BB92-E17689975D77}"/>
    <hyperlink ref="D163" r:id="rId29" xr:uid="{5527BB52-EAC9-47E3-9616-E895906A02E5}"/>
    <hyperlink ref="E163" r:id="rId30" xr:uid="{78CA1EA8-B35D-4D52-B7F4-729BF8F4D6DC}"/>
    <hyperlink ref="W163" r:id="rId31" xr:uid="{F13D7E64-ED9D-49F8-A6B3-E5BB2D34E3C4}"/>
    <hyperlink ref="S163" r:id="rId32" xr:uid="{2921C1E0-951D-471A-BB39-7D090D44436F}"/>
    <hyperlink ref="D177" r:id="rId33" xr:uid="{9E1BAC2C-6D15-4E8C-BBDB-77B3862188E6}"/>
    <hyperlink ref="F177" r:id="rId34" xr:uid="{8FFB8615-F472-40C0-9D00-EB780705C1A0}"/>
    <hyperlink ref="G177" r:id="rId35" xr:uid="{8A2BB1F2-E804-463C-A2BB-EE1127C4A708}"/>
    <hyperlink ref="H177" r:id="rId36" location="Architecture" xr:uid="{D0676ADA-B99E-4533-9E6E-2614D39CF197}"/>
    <hyperlink ref="D180" r:id="rId37" xr:uid="{9C14AF6C-42B9-4A04-8251-1F71E59B8612}"/>
    <hyperlink ref="F180" r:id="rId38" xr:uid="{79D9A651-E586-47FD-9CFB-EA4101C48ED3}"/>
    <hyperlink ref="G180" r:id="rId39" xr:uid="{89481D5E-12AA-458A-B1B0-EDF34C675D9F}"/>
    <hyperlink ref="H180" r:id="rId40" xr:uid="{3B663A9E-5FCC-48E7-BF5F-DB859710E8A7}"/>
    <hyperlink ref="I177" r:id="rId41" xr:uid="{493983E5-6887-4F19-B88A-BE28191131FC}"/>
    <hyperlink ref="L177" r:id="rId42" xr:uid="{DBABF1F0-4CE2-44E9-A6E2-E95D7BD8EA60}"/>
    <hyperlink ref="M177" r:id="rId43" xr:uid="{E33187BC-F829-4F1B-9B90-0CA117E19FD5}"/>
    <hyperlink ref="Y180" r:id="rId44" xr:uid="{27DBD027-DEFF-405F-9651-0072C1A79AA3}"/>
    <hyperlink ref="Y177" r:id="rId45" location="Training_procedures" xr:uid="{71F626BC-5BED-46E8-9C60-6BA570D5B12B}"/>
    <hyperlink ref="Y183" r:id="rId46" xr:uid="{B6287125-145F-4665-BC98-BDB5539B03BB}"/>
    <hyperlink ref="D170" r:id="rId47" location=":~:text=Perplexity%20AI%20is%20a%20company%20developing%20an%20AI-based,answers%20to%20complex%20questions%20using%20large%20language%20models." xr:uid="{961745F1-E475-44F6-9E7B-AED1DE97A6D0}"/>
    <hyperlink ref="H170" r:id="rId48" location=":~:text=Perplexity%20AI%20is%20a%20company%20developing%20an%20AI-based,answers%20to%20complex%20questions%20using%20large%20language%20models." xr:uid="{1DD20D82-95C6-4850-92D1-58D4CDE67C26}"/>
    <hyperlink ref="V90" r:id="rId49" xr:uid="{4A6C7A51-AD78-411C-A9CD-AB7009713FA2}"/>
    <hyperlink ref="D194" r:id="rId50" xr:uid="{7D88FDF5-C01B-40EE-B9B4-2432D1E66740}"/>
    <hyperlink ref="L119" r:id="rId51" xr:uid="{B4A85377-5D62-4F50-9963-2BB90FBA2D93}"/>
    <hyperlink ref="L118" r:id="rId52" xr:uid="{73951C16-C955-4DBB-8CF7-645B0AE754EB}"/>
    <hyperlink ref="L121" r:id="rId53" xr:uid="{E81271B7-13F8-4E6D-9C96-D2A279E96AA3}"/>
    <hyperlink ref="L113" r:id="rId54" xr:uid="{232C3634-B1B2-4B7C-923F-442B4BBE5463}"/>
    <hyperlink ref="L110" r:id="rId55" xr:uid="{D0D0F6D4-5798-417E-A9F8-55C3B92A01F0}"/>
    <hyperlink ref="L111" r:id="rId56" xr:uid="{28206CC0-32AF-484B-8889-319D423B2DE7}"/>
    <hyperlink ref="L112" r:id="rId57" xr:uid="{4FE5615D-735C-4AD0-8069-E05102315D3F}"/>
    <hyperlink ref="F194" r:id="rId58" xr:uid="{F5D542F5-8E2D-46B8-900B-EA77CC406CDD}"/>
    <hyperlink ref="I91" r:id="rId59" xr:uid="{4CA49520-4AD0-45EA-88EB-ECBFC8B46741}"/>
    <hyperlink ref="I92" r:id="rId60" xr:uid="{3092A720-48C2-4DFE-A82B-F6F57F04547C}"/>
    <hyperlink ref="I101" r:id="rId61" location="Connectivity" xr:uid="{8B7BA430-9C06-4A9A-AF1B-20F2C51D682A}"/>
    <hyperlink ref="I102" r:id="rId62" location="Connectivity" xr:uid="{C150130C-AE2E-4F5A-9E56-967B6147E1C4}"/>
    <hyperlink ref="I103" r:id="rId63" xr:uid="{3214BE0D-94FE-4B8D-8B16-888D4AE9A6A9}"/>
    <hyperlink ref="M103" r:id="rId64" xr:uid="{7F2007C6-DF1E-4DEA-9F2F-1C0310244213}"/>
    <hyperlink ref="R103" r:id="rId65" xr:uid="{C7524DB2-5561-4E8E-AAE8-AACA2455C8BC}"/>
    <hyperlink ref="M194" r:id="rId66" xr:uid="{BFD1D10D-170D-4423-BDAE-92AA19906DBF}"/>
    <hyperlink ref="L115" r:id="rId67" xr:uid="{DF5E5FDC-86D6-4003-927A-A5D5A355E5BA}"/>
    <hyperlink ref="V194" r:id="rId68" location=":~:text=At%20a%20Glance%201%20Researchers%20created%20a%20high-resolution,of%20specialized%20brain%20regions%20in%20health%20and%20disease." xr:uid="{8C17F1CB-A317-4EA2-81EB-7DF11DAA77E1}"/>
    <hyperlink ref="V205" r:id="rId69" location=":~:text=At%20a%20Glance%201%20Researchers%20created%20a%20high-resolution,of%20specialized%20brain%20regions%20in%20health%20and%20disease." xr:uid="{A0354470-BFD8-4D17-96E8-0BC663226B0D}"/>
    <hyperlink ref="R161" r:id="rId70" xr:uid="{6E62EB37-F69B-4533-AC9C-DE56C75E0457}"/>
    <hyperlink ref="H166" r:id="rId71" xr:uid="{6054DE96-960D-48A3-A3F1-850BED0109EB}"/>
    <hyperlink ref="S166" r:id="rId72" xr:uid="{38AF80CA-1D9D-4EAA-9CA4-1E0BA3959D30}"/>
    <hyperlink ref="E166" r:id="rId73" xr:uid="{8399465C-7FD1-4A42-A576-D888123852E9}"/>
    <hyperlink ref="F166:G166" r:id="rId74" display="https://ai.meta.com/blog/large-language-model-llama-meta-ai/" xr:uid="{1E96104E-E07D-457E-9862-D32145F700F6}"/>
    <hyperlink ref="T166" r:id="rId75" xr:uid="{EEF67922-AFD7-4571-8BBA-544BD8D925E8}"/>
    <hyperlink ref="F196" r:id="rId76" xr:uid="{E97F4E40-EB9B-46A8-873B-4AA4B8A6A90D}"/>
    <hyperlink ref="D196" r:id="rId77" xr:uid="{4B1822F3-17C1-4081-AAF6-8B240E214686}"/>
    <hyperlink ref="I95" r:id="rId78" xr:uid="{594561D2-609D-4AD9-9B72-6145473001C8}"/>
    <hyperlink ref="I93" r:id="rId79" xr:uid="{0CF2FCD8-E0BD-4BE7-8D09-254057235A56}"/>
    <hyperlink ref="D166" r:id="rId80" xr:uid="{1906F9B1-E4BD-4A6D-83CF-86F0E972C1A5}"/>
    <hyperlink ref="R166" r:id="rId81" xr:uid="{2FDD4624-634C-4F9A-9633-6DE5202CBCEB}"/>
    <hyperlink ref="R167" r:id="rId82" xr:uid="{8815BF61-E94F-4DC7-9AE5-F6A1D3AB2F31}"/>
    <hyperlink ref="S167" r:id="rId83" xr:uid="{71C8DDC9-B715-4479-A50C-E0BB8A41F2D4}"/>
    <hyperlink ref="L126" r:id="rId84" xr:uid="{675D51CF-E17B-4FF4-9FD7-8CEA3CC09C83}"/>
    <hyperlink ref="L129" r:id="rId85" xr:uid="{0E8FD1BF-2A82-4468-8076-82D7F0532904}"/>
    <hyperlink ref="L130" r:id="rId86" xr:uid="{072DCF36-2834-4939-8A62-95F1C5695EFF}"/>
    <hyperlink ref="L127" r:id="rId87" xr:uid="{354574E3-8270-4644-A0E5-C19F1E923873}"/>
    <hyperlink ref="D195" r:id="rId88" xr:uid="{D7E7AF6D-149F-40BB-B37B-0498E77EC950}"/>
    <hyperlink ref="I94" r:id="rId89" location="List_of_animal_species_by_forebrain_(cerebrum_or_pallium)_neuron_number" xr:uid="{B2136620-1F1A-402A-A7F3-BB1A6BC2ADED}"/>
    <hyperlink ref="F195" r:id="rId90" xr:uid="{A9A61699-37F5-46A4-89C1-1D0B3587FB65}"/>
    <hyperlink ref="V195" r:id="rId91" location=":~:text=At%20a%20Glance%201%20Researchers%20created%20a%20high-resolution,of%20specialized%20brain%20regions%20in%20health%20and%20disease." xr:uid="{1F56406F-D55E-4731-92AF-982ECB3D2859}"/>
    <hyperlink ref="N105" r:id="rId92" xr:uid="{A516B4AC-0904-4C66-A892-1B82CAE69B2A}"/>
    <hyperlink ref="N107" r:id="rId93" xr:uid="{C2FB8CDE-7036-4A74-BE0A-5EA28E126956}"/>
    <hyperlink ref="I151" r:id="rId94" xr:uid="{76EB7544-DF9B-4D43-88E6-20C3C7548424}"/>
    <hyperlink ref="W118" r:id="rId95" xr:uid="{0A199445-FD1C-405B-9086-D16418D3FB40}"/>
    <hyperlink ref="H79" r:id="rId96" xr:uid="{C7A2A063-DEBF-4F68-ACBD-06EF75E078E6}"/>
    <hyperlink ref="M136" r:id="rId97" xr:uid="{4916390D-79EB-4CE6-BF3B-9D6A6D7AB934}"/>
    <hyperlink ref="M137" r:id="rId98" xr:uid="{56D63582-379F-4639-91DA-4A15EE073BF4}"/>
    <hyperlink ref="M138" r:id="rId99" xr:uid="{09DD15DB-2730-4A16-80E5-1464D3E0C400}"/>
    <hyperlink ref="AF1" r:id="rId100" xr:uid="{E89A0A76-DFF9-4E27-88F6-8B209B8E8521}"/>
    <hyperlink ref="T183" r:id="rId101" xr:uid="{F61C4E93-F81E-45D2-A9C1-BFA5FDDD44BF}"/>
    <hyperlink ref="D164" r:id="rId102" xr:uid="{6391694B-0159-4E7D-BC1C-DD97B60FEFDC}"/>
    <hyperlink ref="H164" r:id="rId103" xr:uid="{9A1B0224-78E5-40A1-98C7-8BBF8743FBBD}"/>
    <hyperlink ref="E164:F164" r:id="rId104" display="https://en.wikipedia.org/wiki/PaLM" xr:uid="{4D8B7229-64C6-4821-83AD-4BA47307B16D}"/>
    <hyperlink ref="U164" r:id="rId105" xr:uid="{481AB2A0-3B3A-4B18-ABF8-5374322C559F}"/>
    <hyperlink ref="U149:U163" r:id="rId106" display="https://youtu.be/1WOjjgyZPj8?si=f4KA-OE7e2eDaO-h&amp;t=4442" xr:uid="{A4676EF7-F2FC-4823-98E7-987E8611CA3D}"/>
    <hyperlink ref="U167" r:id="rId107" xr:uid="{A601D7A1-2F97-43DE-9514-108D61AFF153}"/>
    <hyperlink ref="S164" r:id="rId108" xr:uid="{8ABE8701-B57E-4846-B73B-77544FCD2816}"/>
    <hyperlink ref="V183" r:id="rId109" xr:uid="{1532646F-A352-4E2A-8A6F-FE247DA41CB4}"/>
    <hyperlink ref="H191" r:id="rId110" xr:uid="{C76383C1-C524-4B20-8771-276B207F0D12}"/>
    <hyperlink ref="D191" r:id="rId111" xr:uid="{37874A71-8CDD-4575-A5D5-596054E095CE}"/>
    <hyperlink ref="E191:F191" r:id="rId112" display="https://sites.research.google/usm/" xr:uid="{4FEA09C8-F95C-43B8-80C7-AC173C8E4BC4}"/>
    <hyperlink ref="S191" r:id="rId113" xr:uid="{69799F40-02E5-4A99-8989-3B11D5E8AECD}"/>
    <hyperlink ref="S177" r:id="rId114" xr:uid="{F6042F2B-92D5-48A7-9CDF-9438F570D423}"/>
    <hyperlink ref="S180" r:id="rId115" xr:uid="{651AA0C6-1F3E-4AEB-A4AC-3DAA8BDD06C0}"/>
    <hyperlink ref="T177" r:id="rId116" xr:uid="{3F518556-4CD8-45F6-987D-58FEA65D176F}"/>
    <hyperlink ref="T92" r:id="rId117" xr:uid="{89CDC320-1F2A-4106-8863-94B0ACFB5C57}"/>
    <hyperlink ref="V191" r:id="rId118" xr:uid="{24E0128C-3A37-4B76-B7F7-8DC0FEBCEE4B}"/>
    <hyperlink ref="U191" r:id="rId119" xr:uid="{7076670D-EE7C-41B5-A992-6C363D3466BD}"/>
    <hyperlink ref="D192" r:id="rId120" xr:uid="{7C15085D-3725-4214-81CB-A478E3DD5F07}"/>
    <hyperlink ref="E192:F192" r:id="rId121" display="https://deepgram.com/learn/whisper-issues-smart-formatting" xr:uid="{B7EE745D-34D2-4C41-8B6B-07CE06CE9C05}"/>
    <hyperlink ref="H192" r:id="rId122" xr:uid="{947102FB-DF33-4098-8E77-8480B6A2EE95}"/>
    <hyperlink ref="S192" r:id="rId123" xr:uid="{671193FD-A666-4BA7-AE21-9FAD0FFBB3A5}"/>
    <hyperlink ref="D178" r:id="rId124" xr:uid="{F100D33D-C3B8-481B-99A2-07771FA5158E}"/>
    <hyperlink ref="E178" r:id="rId125" xr:uid="{D85F8508-7679-4723-9B22-D1B4DC167842}"/>
    <hyperlink ref="G178" r:id="rId126" xr:uid="{1FEBCDD5-ED67-4731-A730-47AB143BC711}"/>
    <hyperlink ref="F178" r:id="rId127" xr:uid="{66969D1D-E282-4AD4-8D28-3D22322ACECF}"/>
    <hyperlink ref="H178" r:id="rId128" xr:uid="{29217A44-0096-45D4-8052-CF267C756C9F}"/>
    <hyperlink ref="Y178" r:id="rId129" location="Training_procedures" xr:uid="{532AC74F-0002-4B18-B097-23FC2E6E0F15}"/>
    <hyperlink ref="U178" r:id="rId130" display="https://youtu.be/1WOjjgyZPj8?si=f4KA-OE7e2eDaO-h&amp;t=4442" xr:uid="{DF0442AB-37EE-47D9-9440-612FAE3E6986}"/>
    <hyperlink ref="S178" r:id="rId131" xr:uid="{91949E05-9E2D-4BA6-B33A-7F20DAD883B0}"/>
    <hyperlink ref="T178" r:id="rId132" xr:uid="{87C794D5-94E2-4105-9A78-75ADA284F824}"/>
    <hyperlink ref="H189" r:id="rId133" xr:uid="{8E1BF352-3281-496C-B823-58EDDF7278D0}"/>
    <hyperlink ref="U189" r:id="rId134" display="https://youtu.be/1WOjjgyZPj8?si=f4KA-OE7e2eDaO-h&amp;t=4442" xr:uid="{43BB990F-2A05-4B37-A9C0-7964A06E71C1}"/>
    <hyperlink ref="S189" r:id="rId135" location="LL277-L319" xr:uid="{93E1F399-57CC-4915-93E8-2B79668B4B14}"/>
    <hyperlink ref="D189" r:id="rId136" xr:uid="{2707AEE3-9CA1-4C4D-A3CA-27A85EC3EF25}"/>
    <hyperlink ref="E189" r:id="rId137" xr:uid="{EFC292FC-64B7-4E6B-9B70-49F0CA5C4559}"/>
    <hyperlink ref="G189" r:id="rId138" xr:uid="{6BB6190F-DB63-4A50-B5A3-D7F19EB97640}"/>
    <hyperlink ref="F189" r:id="rId139" xr:uid="{022EC8D1-592A-43D7-98D8-58CF30A52B7E}"/>
    <hyperlink ref="H190" r:id="rId140" xr:uid="{585A496B-A252-45BC-B749-7614B02096BA}"/>
    <hyperlink ref="D190" r:id="rId141" xr:uid="{A32F9F09-AE5F-41CA-AEFF-9CD7259F0C21}"/>
    <hyperlink ref="J190" r:id="rId142" xr:uid="{BC8D72F3-34CF-4661-A225-C44231513659}"/>
    <hyperlink ref="L190:M190" r:id="rId143" display="https://towardsdatascience.com/how-to-deploy-and-interpret-alphafold2-with-minimal-compute-9bf75942c6d7" xr:uid="{F0D92EEA-3318-4E01-A8FA-C0954FEA3878}"/>
    <hyperlink ref="T190" r:id="rId144" location="genetic-databases" xr:uid="{0A8DA481-360B-47AA-B9A9-CD8C866EB4A7}"/>
    <hyperlink ref="U190" r:id="rId145" xr:uid="{1450CB97-DA9E-4A27-BDB4-DE5914898268}"/>
    <hyperlink ref="S190" r:id="rId146" location="Algorithm" xr:uid="{A497BE8F-7757-48DD-8907-94CD9EF59F0F}"/>
    <hyperlink ref="D150" r:id="rId147" xr:uid="{F0197858-3751-4A65-A40A-144231469C66}"/>
    <hyperlink ref="G171" r:id="rId148" xr:uid="{3B5BF390-BC29-49B4-8614-94FEE1192C6A}"/>
    <hyperlink ref="F171" r:id="rId149" xr:uid="{EBCF925C-3F42-4A75-9695-FE8FBFC87D8E}"/>
    <hyperlink ref="D162" r:id="rId150" xr:uid="{152F56A0-1D2F-4C74-9ADA-54300F5D0AC2}"/>
    <hyperlink ref="L3" r:id="rId151" xr:uid="{3F0629B8-A99E-4F50-8937-C5EB7D7ABA5C}"/>
    <hyperlink ref="AF77" r:id="rId152" xr:uid="{C4A07A89-5BF4-44B9-AEB9-E63777CC76DC}"/>
    <hyperlink ref="U165" r:id="rId153" display="https://youtu.be/1WOjjgyZPj8?si=f4KA-OE7e2eDaO-h&amp;t=4442" xr:uid="{3053F6CD-845F-481B-9C5A-CBB843CB1DAF}"/>
    <hyperlink ref="H162" r:id="rId154" xr:uid="{B51E95BB-6E4B-46F1-AFE4-3C3D07FB4322}"/>
    <hyperlink ref="U183" r:id="rId155" display="https://youtu.be/FHhrN-GXrF8?si=SLSweYe6vRFKpDos&amp;t=112" xr:uid="{4534392B-1E60-48C4-9818-1DA6118B78B6}"/>
    <hyperlink ref="U184" r:id="rId156" xr:uid="{77588B1A-6BCB-4825-8B0E-60AC82164217}"/>
    <hyperlink ref="I97" r:id="rId157" xr:uid="{97956E4F-4074-4143-AB1B-B601489CF3AC}"/>
    <hyperlink ref="F198" r:id="rId158" xr:uid="{CC12E839-3E6D-4A03-AAC1-5AB43E6F0483}"/>
    <hyperlink ref="W89" r:id="rId159" xr:uid="{E721718C-C79B-4CEB-8260-1AE21F47AE9E}"/>
    <hyperlink ref="H168" r:id="rId160" location="Llama_7" xr:uid="{669103BA-A461-4539-A7A4-68AEBDDF9177}"/>
    <hyperlink ref="I96" r:id="rId161" location="Forebrain_(cerebrum_or_pallium)_only" xr:uid="{DEEC07AD-5C4E-4FC4-A9B7-10EE86ECAE25}"/>
    <hyperlink ref="D197" r:id="rId162" xr:uid="{C6AF2162-A02F-42CE-9351-313C506A4540}"/>
    <hyperlink ref="L174" r:id="rId163" display="https://x.com/reach_vb/status/1801648142963577103?ref_src=twsrc%5Etfw%7Ctwcamp%5Etweetembed%7Ctwterm%5E1801662289780822100%7Ctwgr%5Ee356aa4e988e30c7664c1990e8512ba9b1bb4980%7Ctwcon%5Es3_&amp;ref_url=https%3A%2F%2Fventurebeat.com%2Fai%2Fnvidias-nemotron-4-340b-model-redefines-synthetic-data-generation-rivals-gpt-4%2F" xr:uid="{B39AFDF1-412D-4CC5-99AA-82D68F43D590}"/>
    <hyperlink ref="I174" r:id="rId164" display="https://x.com/reach_vb/status/1801648142963577103?ref_src=twsrc%5Etfw%7Ctwcamp%5Etweetembed%7Ctwterm%5E1801662289780822100%7Ctwgr%5Ee356aa4e988e30c7664c1990e8512ba9b1bb4980%7Ctwcon%5Es3_&amp;ref_url=https%3A%2F%2Fventurebeat.com%2Fai%2Fnvidias-nemotron-4-340b-model-redefines-synthetic-data-generation-rivals-gpt-4%2F" xr:uid="{FC0C66BE-7F85-4D3C-AA6A-47293B2B8CBE}"/>
    <hyperlink ref="E179" r:id="rId165" xr:uid="{57506DA1-E2FE-4B70-9820-497452B4C860}"/>
    <hyperlink ref="H179" r:id="rId166" xr:uid="{1AF1AB09-7D7D-4C16-ADF5-16AA9234FA7A}"/>
    <hyperlink ref="S179" r:id="rId167" xr:uid="{6D463A9D-E195-41AB-8A64-EC9A341DBCF8}"/>
    <hyperlink ref="E190" r:id="rId168" xr:uid="{8D1130F0-4149-4A4F-A6CE-4827B6F478F2}"/>
    <hyperlink ref="H150" r:id="rId169" xr:uid="{BDAAE580-2E72-472E-8DFC-88FBCFAD4456}"/>
    <hyperlink ref="H161" r:id="rId170" location="Claude" xr:uid="{70E5ECAB-39F1-4E2E-805F-3D79C9D44AC6}"/>
    <hyperlink ref="E170" r:id="rId171" xr:uid="{E8923981-770D-4DB4-9FF5-363727FF4642}"/>
    <hyperlink ref="D204" r:id="rId172" xr:uid="{056B4448-45CD-43FE-A112-8B6F308EF929}"/>
    <hyperlink ref="E204" r:id="rId173" xr:uid="{75C7C3EB-8B8D-4D7E-8C6B-A6CACBAD8511}"/>
    <hyperlink ref="J204" r:id="rId174" xr:uid="{4A740B64-1E4B-420B-8A4C-5CA55A9C4FFC}"/>
    <hyperlink ref="U147" r:id="rId175" display="https://youtu.be/1WOjjgyZPj8?si=f4KA-OE7e2eDaO-h&amp;t=4442" xr:uid="{5F3749F1-7C80-4277-A32B-BDFD7ABAE3EE}"/>
    <hyperlink ref="U146" r:id="rId176" display="https://youtu.be/1WOjjgyZPj8?si=f4KA-OE7e2eDaO-h&amp;t=4442" xr:uid="{0F2AFA7B-CA63-48AD-A0B8-518887722499}"/>
    <hyperlink ref="U148" r:id="rId177" xr:uid="{BB5B0DA3-D0D8-4C3A-BBF1-FF8C07EE627B}"/>
    <hyperlink ref="S148" r:id="rId178" location="Training_and_capabilities" xr:uid="{77725BD0-10D0-4FAA-99A1-574DA3F22B7C}"/>
    <hyperlink ref="R148" r:id="rId179" xr:uid="{8CA53FCE-0510-4643-8DE4-43F46F32814D}"/>
    <hyperlink ref="G148" r:id="rId180" xr:uid="{773430D5-B075-4B23-B932-1C9F925C440C}"/>
    <hyperlink ref="F148" r:id="rId181" xr:uid="{13B1DDCF-1370-4023-9317-F18DDB6B7FDD}"/>
    <hyperlink ref="E148" r:id="rId182" display="https://en.wikipedia.org/wiki/GPT-3" xr:uid="{92F818AB-4858-4E4F-8617-FE6F7257051C}"/>
    <hyperlink ref="D148" r:id="rId183" xr:uid="{4DE33468-027B-4599-9127-7B4DFA791B6F}"/>
    <hyperlink ref="E146" r:id="rId184" xr:uid="{69F930A8-398C-4EB2-B013-F43A709FFA3D}"/>
    <hyperlink ref="E147" r:id="rId185" xr:uid="{7C2FD783-6F4E-48B6-BCBF-68B76ECDA936}"/>
    <hyperlink ref="F146" r:id="rId186" xr:uid="{AC67D443-2281-4F80-BD90-8AAC0F34A2E2}"/>
    <hyperlink ref="F147" r:id="rId187" xr:uid="{8158BF94-1981-415C-BB22-44A2C2100678}"/>
    <hyperlink ref="H147" r:id="rId188" xr:uid="{DE3DECD1-4F44-4D75-8D3E-09C68CDFC09A}"/>
    <hyperlink ref="T147" r:id="rId189" location="Performance_and_evaluation" xr:uid="{93AB74B9-898E-44C6-A3B4-858A96D83DC8}"/>
    <hyperlink ref="T146" r:id="rId190" location="Performance_and_evaluation" xr:uid="{FE3B1F86-9FBF-4DE3-9D18-112B9FBF1E6F}"/>
    <hyperlink ref="R152" r:id="rId191" xr:uid="{DA9DAC21-290A-4B71-9547-A13CD8A1919B}"/>
    <hyperlink ref="R153" r:id="rId192" xr:uid="{29F2B2C6-E978-4287-A8B0-4639DE9797ED}"/>
    <hyperlink ref="I98" r:id="rId193" location="Forebrain_(cerebrum_or_pallium)_only" xr:uid="{DF6CD1F6-0F73-47DD-A96C-FDE462DD435C}"/>
    <hyperlink ref="I99" r:id="rId194" location="Forebrain_(cerebrum_or_pallium)_only" xr:uid="{88C2A9A3-984E-4980-BFA7-1E96147BEF2D}"/>
    <hyperlink ref="J102" r:id="rId195" xr:uid="{2AD1F6C8-1F9F-4BFA-A7F2-0E1D2F36860D}"/>
    <hyperlink ref="L135" r:id="rId196" xr:uid="{46C09AC9-C3FC-4472-80B2-CFFC440F7BB0}"/>
    <hyperlink ref="L134" r:id="rId197" xr:uid="{238D4718-6A31-41E0-8D35-656B103E4873}"/>
    <hyperlink ref="F199" r:id="rId198" location=":~:text=In%202016%2C%20experts%20estimated%20that%20Africa%E2%80%99s%20elephant%20population,Today%2C%20there%20are%20just%20415%2C000%20elephants%20across%20Africa." display="https://www.worldwildlife.org/magazine/issues/winter-2018/articles/the-status-of-african-elephants#:~:text=In%202016%2C%20experts%20estimated%20that%20Africa%E2%80%99s%20elephant%20population,Today%2C%20there%20are%20just%20415%2C000%20elephants%20across%20Africa." xr:uid="{543CF4EC-14CE-4843-AC83-0E69F4D1A1E2}"/>
    <hyperlink ref="AB167" r:id="rId199" display="https://x.com/DrJimFan/status/1681372700881854465?ref_src=twsrc%5Etfw%7Ctwcamp%5Etweetembed%7Ctwterm%5E1681372700881854465%7Ctwgr%5E7249d5e9a5faa88242ea45b35b2543bea19bc1ba%7Ctwcon%5Es1_&amp;ref_url=https%3A%2F%2Fwww.searchenginejournal.com%2Fmeta-and-microsoft-release-llama-2-free-commercial-use-research%2F491963%2F" xr:uid="{A6957C1A-F713-4CB9-B942-A971FED657EE}"/>
    <hyperlink ref="H201" r:id="rId200" xr:uid="{463F4E66-E193-4CDE-BB0C-7058CCEA8EC5}"/>
    <hyperlink ref="O205" r:id="rId201" xr:uid="{EB0B5CB7-417E-40A1-99CE-295B3A7EB80D}"/>
    <hyperlink ref="AB46" r:id="rId202" xr:uid="{830C2F80-1F62-46F5-AA35-54AF38B16FA0}"/>
    <hyperlink ref="P148" r:id="rId203" xr:uid="{886893A9-8AF4-4EFA-B2E6-878E5D7E68A8}"/>
    <hyperlink ref="P177" r:id="rId204" xr:uid="{1518670F-189A-4184-927D-900836B85EF9}"/>
    <hyperlink ref="AB47" r:id="rId205" xr:uid="{4449CCDF-1B25-4B92-99B4-72112BFDEBF4}"/>
    <hyperlink ref="AB48" r:id="rId206" xr:uid="{39F7D648-1762-460C-8775-5004DFFBF3F6}"/>
    <hyperlink ref="AB49" r:id="rId207" xr:uid="{645CB8D6-C4A0-4063-9C9B-2C257C46D0CF}"/>
    <hyperlink ref="AB50" r:id="rId208" xr:uid="{2B602329-DA24-4DD0-B1C0-CEA2689F4911}"/>
    <hyperlink ref="AC50" r:id="rId209" xr:uid="{776113CB-FBF7-4B34-B6CF-717EB0FA7071}"/>
    <hyperlink ref="AC51" r:id="rId210" xr:uid="{B28A49A2-7BDD-48B1-A43C-C20708AAC57D}"/>
    <hyperlink ref="AB51" r:id="rId211" xr:uid="{5CEA86D4-EB5C-4A6E-89D1-EE8A9A902CE6}"/>
    <hyperlink ref="D201" r:id="rId212" xr:uid="{348E13B5-2A35-46CB-BB9C-3459898E36BC}"/>
    <hyperlink ref="K100" r:id="rId213" xr:uid="{8704E4EA-73B7-4FEB-A307-F86124D69992}"/>
    <hyperlink ref="W149" r:id="rId214" xr:uid="{8AF28319-371C-4B6A-BEB7-F5173C8C1CD6}"/>
    <hyperlink ref="W176" r:id="rId215" xr:uid="{55E1ABC0-52B1-45C1-90A9-21906359F674}"/>
    <hyperlink ref="X146" r:id="rId216" xr:uid="{95823BC2-8628-4125-8114-6F7AEB5E6E21}"/>
    <hyperlink ref="Y172" r:id="rId217" xr:uid="{C76F1594-F6E7-4D02-907B-DCE68D9C9C31}"/>
    <hyperlink ref="X168" r:id="rId218" xr:uid="{4EF7B44E-C455-4EB9-BB66-7E886B75B6DD}"/>
  </hyperlinks>
  <pageMargins left="0.7" right="0.7" top="0.75" bottom="0.75" header="0.3" footer="0.3"/>
  <pageSetup paperSize="9" orientation="portrait" verticalDpi="0" r:id="rId2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B551D-A680-4566-9A73-25F091C77F4C}">
  <dimension ref="A1:AB55"/>
  <sheetViews>
    <sheetView workbookViewId="0">
      <selection activeCell="C11" sqref="C11"/>
    </sheetView>
  </sheetViews>
  <sheetFormatPr defaultRowHeight="14.5" x14ac:dyDescent="0.35"/>
  <cols>
    <col min="1" max="1" width="2.08984375" customWidth="1"/>
    <col min="2" max="2" width="3.1796875" customWidth="1"/>
    <col min="3" max="3" width="82.26953125" customWidth="1"/>
    <col min="4" max="4" width="36.81640625" customWidth="1"/>
    <col min="5" max="5" width="20.7265625" customWidth="1"/>
    <col min="6" max="6" width="15.6328125" customWidth="1"/>
    <col min="7" max="7" width="17.08984375" customWidth="1"/>
    <col min="9" max="9" width="10.54296875" customWidth="1"/>
    <col min="10" max="11" width="11.90625" customWidth="1"/>
    <col min="12" max="12" width="21.6328125" customWidth="1"/>
    <col min="18" max="18" width="3.26953125" customWidth="1"/>
    <col min="19" max="19" width="11.7265625" customWidth="1"/>
    <col min="20" max="20" width="4.54296875" customWidth="1"/>
    <col min="21" max="21" width="27.7265625" customWidth="1"/>
    <col min="22" max="22" width="70.81640625" customWidth="1"/>
    <col min="23" max="23" width="44.6328125" customWidth="1"/>
    <col min="24" max="24" width="14.90625" customWidth="1"/>
    <col min="25" max="25" width="18.1796875" customWidth="1"/>
    <col min="26" max="26" width="78.54296875" customWidth="1"/>
    <col min="27" max="27" width="4" customWidth="1"/>
  </cols>
  <sheetData>
    <row r="1" spans="1:27" ht="28.5" x14ac:dyDescent="0.65">
      <c r="A1" s="9" t="str">
        <f>AI_Models!$A$1</f>
        <v>New AI chips by Nvidia will cause Russia to lose war in Ukraine #72/99</v>
      </c>
    </row>
    <row r="2" spans="1:27" ht="15.5" x14ac:dyDescent="0.35">
      <c r="A2" s="10" t="str">
        <f>KeyChips!A2</f>
        <v>Proprietary. © H. Mathiesen. This material can be used by others free of charge provided that the author H. Mathiesen is attributed and a clickable link is made visible to the location of used material on www.hmexperience.dk</v>
      </c>
    </row>
    <row r="3" spans="1:27" ht="15.5" x14ac:dyDescent="0.35">
      <c r="A3" s="615" t="str">
        <f>AI_Models!A3</f>
        <v>Links to all sources are available in sources table below</v>
      </c>
      <c r="B3" s="616"/>
      <c r="C3" s="616"/>
      <c r="D3" s="616"/>
      <c r="E3" s="616"/>
    </row>
    <row r="5" spans="1:27" ht="24" thickBot="1" x14ac:dyDescent="0.6">
      <c r="C5" s="30" t="s">
        <v>1656</v>
      </c>
      <c r="D5" s="30"/>
      <c r="E5" s="31"/>
    </row>
    <row r="6" spans="1:27" ht="15" thickTop="1" x14ac:dyDescent="0.35">
      <c r="C6" s="18" t="s">
        <v>1552</v>
      </c>
      <c r="D6" s="19" t="s">
        <v>1553</v>
      </c>
      <c r="E6" s="19" t="s">
        <v>1554</v>
      </c>
      <c r="F6" s="19" t="s">
        <v>1556</v>
      </c>
      <c r="G6" s="19"/>
      <c r="H6" s="19"/>
      <c r="I6" s="19"/>
      <c r="J6" s="19"/>
      <c r="K6" s="19"/>
      <c r="L6" s="19"/>
      <c r="M6" s="19"/>
      <c r="N6" s="19"/>
      <c r="O6" s="19"/>
      <c r="P6" s="19"/>
      <c r="Q6" s="20" t="s">
        <v>1247</v>
      </c>
      <c r="S6" s="2"/>
    </row>
    <row r="7" spans="1:27" x14ac:dyDescent="0.35">
      <c r="C7" s="21"/>
      <c r="D7" s="13"/>
      <c r="E7" s="13"/>
      <c r="F7" s="13" t="s">
        <v>1557</v>
      </c>
      <c r="G7" s="13"/>
      <c r="H7" s="13"/>
      <c r="I7" s="13"/>
      <c r="J7" s="13"/>
      <c r="K7" s="13"/>
      <c r="L7" s="13"/>
      <c r="M7" s="13"/>
      <c r="N7" s="13"/>
      <c r="O7" s="13"/>
      <c r="P7" s="13"/>
      <c r="Q7" s="22" t="s">
        <v>97</v>
      </c>
      <c r="S7" s="2"/>
    </row>
    <row r="8" spans="1:27" ht="15" thickBot="1" x14ac:dyDescent="0.4">
      <c r="C8" s="210"/>
      <c r="D8" s="202"/>
      <c r="E8" s="202"/>
      <c r="F8" s="202" t="s">
        <v>1555</v>
      </c>
      <c r="G8" s="202"/>
      <c r="H8" s="202"/>
      <c r="I8" s="202"/>
      <c r="J8" s="202"/>
      <c r="K8" s="202"/>
      <c r="L8" s="202"/>
      <c r="M8" s="202"/>
      <c r="N8" s="202"/>
      <c r="O8" s="202"/>
      <c r="P8" s="202"/>
      <c r="Q8" s="211"/>
      <c r="S8" t="s">
        <v>1454</v>
      </c>
    </row>
    <row r="9" spans="1:27" ht="15" thickTop="1" x14ac:dyDescent="0.35">
      <c r="B9">
        <v>1</v>
      </c>
      <c r="C9" s="236" t="s">
        <v>1549</v>
      </c>
      <c r="D9" s="243"/>
      <c r="E9" s="243"/>
      <c r="F9" s="243"/>
      <c r="G9" s="243"/>
      <c r="H9" s="243"/>
      <c r="I9" s="243"/>
      <c r="J9" s="243"/>
      <c r="K9" s="243"/>
      <c r="L9" s="243"/>
      <c r="M9" s="243"/>
      <c r="N9" s="243"/>
      <c r="O9" s="243"/>
      <c r="P9" s="243"/>
      <c r="Q9" s="244"/>
      <c r="R9">
        <v>1</v>
      </c>
      <c r="AA9" t="s">
        <v>45</v>
      </c>
    </row>
    <row r="10" spans="1:27" x14ac:dyDescent="0.35">
      <c r="B10">
        <f t="shared" ref="B10:B28" si="0">B9+1</f>
        <v>2</v>
      </c>
      <c r="C10" s="23" t="s">
        <v>1551</v>
      </c>
      <c r="D10" s="643" t="s">
        <v>1558</v>
      </c>
      <c r="E10" s="153"/>
      <c r="F10" s="667"/>
      <c r="G10" s="153"/>
      <c r="H10" s="667"/>
      <c r="I10" s="668"/>
      <c r="J10" s="667"/>
      <c r="K10" s="667"/>
      <c r="L10" s="669"/>
      <c r="M10" s="670"/>
      <c r="N10" s="668"/>
      <c r="O10" s="671"/>
      <c r="P10" s="672"/>
      <c r="Q10" s="673"/>
      <c r="R10">
        <f t="shared" ref="R10:R28" si="1">R9+1</f>
        <v>2</v>
      </c>
      <c r="AA10" t="s">
        <v>45</v>
      </c>
    </row>
    <row r="11" spans="1:27" x14ac:dyDescent="0.35">
      <c r="B11">
        <f t="shared" si="0"/>
        <v>3</v>
      </c>
      <c r="C11" s="23" t="s">
        <v>1559</v>
      </c>
      <c r="D11" s="643" t="s">
        <v>1561</v>
      </c>
      <c r="E11" s="153"/>
      <c r="F11" s="667"/>
      <c r="G11" s="153"/>
      <c r="H11" s="667"/>
      <c r="I11" s="668"/>
      <c r="J11" s="667"/>
      <c r="K11" s="667"/>
      <c r="L11" s="669"/>
      <c r="M11" s="670"/>
      <c r="N11" s="668"/>
      <c r="O11" s="671"/>
      <c r="P11" s="672"/>
      <c r="Q11" s="673"/>
      <c r="R11">
        <f t="shared" si="1"/>
        <v>3</v>
      </c>
      <c r="S11" s="14" t="s">
        <v>1455</v>
      </c>
      <c r="T11" t="s">
        <v>45</v>
      </c>
    </row>
    <row r="12" spans="1:27" x14ac:dyDescent="0.35">
      <c r="B12">
        <f t="shared" si="0"/>
        <v>4</v>
      </c>
      <c r="C12" s="23" t="s">
        <v>1560</v>
      </c>
      <c r="D12" s="159" t="s">
        <v>1562</v>
      </c>
      <c r="E12" s="153"/>
      <c r="F12" s="667"/>
      <c r="G12" s="153"/>
      <c r="H12" s="667"/>
      <c r="I12" s="668"/>
      <c r="J12" s="667"/>
      <c r="K12" s="667"/>
      <c r="L12" s="669"/>
      <c r="M12" s="670"/>
      <c r="N12" s="668"/>
      <c r="O12" s="671"/>
      <c r="P12" s="672"/>
      <c r="Q12" s="674"/>
      <c r="R12">
        <f t="shared" si="1"/>
        <v>4</v>
      </c>
      <c r="AA12" t="s">
        <v>45</v>
      </c>
    </row>
    <row r="13" spans="1:27" x14ac:dyDescent="0.35">
      <c r="B13">
        <f t="shared" si="0"/>
        <v>5</v>
      </c>
      <c r="C13" s="23" t="s">
        <v>1614</v>
      </c>
      <c r="D13" s="159" t="s">
        <v>1602</v>
      </c>
      <c r="E13" s="153"/>
      <c r="F13" s="667"/>
      <c r="G13" s="153"/>
      <c r="H13" s="667"/>
      <c r="I13" s="668"/>
      <c r="J13" s="667"/>
      <c r="K13" s="667"/>
      <c r="L13" s="669"/>
      <c r="M13" s="670"/>
      <c r="N13" s="668"/>
      <c r="O13" s="671"/>
      <c r="P13" s="672"/>
      <c r="Q13" s="674"/>
    </row>
    <row r="14" spans="1:27" x14ac:dyDescent="0.35">
      <c r="B14">
        <f t="shared" si="0"/>
        <v>6</v>
      </c>
      <c r="C14" s="23" t="s">
        <v>1613</v>
      </c>
      <c r="D14" s="159" t="s">
        <v>1572</v>
      </c>
      <c r="E14" s="153"/>
      <c r="F14" s="667"/>
      <c r="G14" s="153"/>
      <c r="H14" s="667"/>
      <c r="I14" s="668"/>
      <c r="J14" s="667"/>
      <c r="K14" s="667"/>
      <c r="L14" s="669"/>
      <c r="M14" s="670"/>
      <c r="N14" s="668"/>
      <c r="O14" s="671"/>
      <c r="P14" s="672"/>
      <c r="Q14" s="674"/>
      <c r="R14">
        <f>R12+1</f>
        <v>5</v>
      </c>
      <c r="AA14" t="s">
        <v>45</v>
      </c>
    </row>
    <row r="15" spans="1:27" x14ac:dyDescent="0.35">
      <c r="B15">
        <f t="shared" si="0"/>
        <v>7</v>
      </c>
      <c r="C15" s="23"/>
      <c r="D15" s="159"/>
      <c r="E15" s="153"/>
      <c r="F15" s="667"/>
      <c r="G15" s="153"/>
      <c r="H15" s="667"/>
      <c r="I15" s="668"/>
      <c r="J15" s="667"/>
      <c r="K15" s="667"/>
      <c r="L15" s="669"/>
      <c r="M15" s="670"/>
      <c r="N15" s="668"/>
      <c r="O15" s="671"/>
      <c r="P15" s="672"/>
      <c r="Q15" s="674"/>
      <c r="R15">
        <f t="shared" si="1"/>
        <v>6</v>
      </c>
    </row>
    <row r="16" spans="1:27" x14ac:dyDescent="0.35">
      <c r="B16">
        <f t="shared" si="0"/>
        <v>8</v>
      </c>
      <c r="C16" s="23"/>
      <c r="D16" s="159"/>
      <c r="E16" s="153"/>
      <c r="F16" s="667"/>
      <c r="G16" s="153"/>
      <c r="H16" s="667"/>
      <c r="I16" s="668"/>
      <c r="J16" s="667"/>
      <c r="K16" s="667"/>
      <c r="L16" s="669"/>
      <c r="M16" s="670"/>
      <c r="N16" s="668"/>
      <c r="O16" s="671"/>
      <c r="P16" s="672"/>
      <c r="Q16" s="674"/>
      <c r="R16">
        <f t="shared" si="1"/>
        <v>7</v>
      </c>
    </row>
    <row r="17" spans="2:28" x14ac:dyDescent="0.35">
      <c r="B17">
        <f t="shared" si="0"/>
        <v>9</v>
      </c>
      <c r="C17" s="236" t="s">
        <v>1550</v>
      </c>
      <c r="D17" s="621"/>
      <c r="E17" s="675"/>
      <c r="F17" s="676"/>
      <c r="G17" s="675"/>
      <c r="H17" s="676"/>
      <c r="I17" s="675"/>
      <c r="J17" s="676"/>
      <c r="K17" s="676"/>
      <c r="L17" s="675"/>
      <c r="M17" s="675"/>
      <c r="N17" s="675"/>
      <c r="O17" s="675"/>
      <c r="P17" s="675"/>
      <c r="Q17" s="677"/>
      <c r="R17">
        <f t="shared" si="1"/>
        <v>8</v>
      </c>
      <c r="AA17" s="37"/>
      <c r="AB17" s="37"/>
    </row>
    <row r="18" spans="2:28" x14ac:dyDescent="0.35">
      <c r="B18">
        <f t="shared" si="0"/>
        <v>10</v>
      </c>
      <c r="C18" s="23" t="s">
        <v>1573</v>
      </c>
      <c r="D18" s="159" t="s">
        <v>1575</v>
      </c>
      <c r="E18" s="153"/>
      <c r="F18" s="667"/>
      <c r="G18" s="153"/>
      <c r="H18" s="667"/>
      <c r="I18" s="668"/>
      <c r="J18" s="667"/>
      <c r="K18" s="667"/>
      <c r="L18" s="669"/>
      <c r="M18" s="670"/>
      <c r="N18" s="668"/>
      <c r="O18" s="671"/>
      <c r="P18" s="672"/>
      <c r="Q18" s="674"/>
      <c r="R18">
        <f t="shared" si="1"/>
        <v>9</v>
      </c>
      <c r="AA18" s="629"/>
      <c r="AB18" s="644"/>
    </row>
    <row r="19" spans="2:28" x14ac:dyDescent="0.35">
      <c r="B19">
        <f t="shared" si="0"/>
        <v>11</v>
      </c>
      <c r="C19" s="23"/>
      <c r="D19" s="159"/>
      <c r="E19" s="153"/>
      <c r="F19" s="667"/>
      <c r="G19" s="153"/>
      <c r="H19" s="667"/>
      <c r="I19" s="668"/>
      <c r="J19" s="667"/>
      <c r="K19" s="667"/>
      <c r="L19" s="669"/>
      <c r="M19" s="670"/>
      <c r="N19" s="668"/>
      <c r="O19" s="671"/>
      <c r="P19" s="672"/>
      <c r="Q19" s="674"/>
      <c r="R19">
        <f t="shared" si="1"/>
        <v>10</v>
      </c>
      <c r="AA19" s="629"/>
      <c r="AB19" s="644"/>
    </row>
    <row r="20" spans="2:28" x14ac:dyDescent="0.35">
      <c r="B20">
        <f t="shared" si="0"/>
        <v>12</v>
      </c>
      <c r="C20" s="23"/>
      <c r="D20" s="159"/>
      <c r="E20" s="153"/>
      <c r="F20" s="678"/>
      <c r="G20" s="153"/>
      <c r="H20" s="679"/>
      <c r="I20" s="668"/>
      <c r="J20" s="667"/>
      <c r="K20" s="667"/>
      <c r="L20" s="669"/>
      <c r="M20" s="670"/>
      <c r="N20" s="668"/>
      <c r="O20" s="671"/>
      <c r="P20" s="672"/>
      <c r="Q20" s="673"/>
      <c r="R20">
        <f t="shared" si="1"/>
        <v>11</v>
      </c>
      <c r="W20" s="8"/>
      <c r="X20" s="8"/>
      <c r="Y20" s="8"/>
      <c r="Z20" s="8"/>
      <c r="AA20" s="629"/>
      <c r="AB20" s="644"/>
    </row>
    <row r="21" spans="2:28" x14ac:dyDescent="0.35">
      <c r="B21">
        <f t="shared" si="0"/>
        <v>13</v>
      </c>
      <c r="C21" s="236" t="s">
        <v>1576</v>
      </c>
      <c r="D21" s="621"/>
      <c r="E21" s="675"/>
      <c r="F21" s="676"/>
      <c r="G21" s="675"/>
      <c r="H21" s="676"/>
      <c r="I21" s="675"/>
      <c r="J21" s="676"/>
      <c r="K21" s="676"/>
      <c r="L21" s="675"/>
      <c r="M21" s="675"/>
      <c r="N21" s="675"/>
      <c r="O21" s="675"/>
      <c r="P21" s="675"/>
      <c r="Q21" s="677"/>
      <c r="R21">
        <f t="shared" si="1"/>
        <v>12</v>
      </c>
      <c r="W21" s="8"/>
      <c r="X21" s="8"/>
      <c r="Y21" s="8"/>
      <c r="Z21" s="8"/>
      <c r="AA21" s="37"/>
      <c r="AB21" s="37"/>
    </row>
    <row r="22" spans="2:28" x14ac:dyDescent="0.35">
      <c r="B22">
        <f t="shared" si="0"/>
        <v>14</v>
      </c>
      <c r="C22" s="23" t="s">
        <v>1585</v>
      </c>
      <c r="D22" s="231" t="s">
        <v>1586</v>
      </c>
      <c r="E22" s="153" t="s">
        <v>1587</v>
      </c>
      <c r="F22" s="667"/>
      <c r="G22" s="153"/>
      <c r="H22" s="667"/>
      <c r="I22" s="153"/>
      <c r="J22" s="667"/>
      <c r="K22" s="667"/>
      <c r="L22" s="153"/>
      <c r="M22" s="153"/>
      <c r="N22" s="153"/>
      <c r="O22" s="153"/>
      <c r="P22" s="153"/>
      <c r="Q22" s="648"/>
      <c r="R22">
        <f t="shared" si="1"/>
        <v>13</v>
      </c>
      <c r="W22" s="8"/>
      <c r="X22" s="8"/>
      <c r="Y22" s="8"/>
      <c r="Z22" s="8"/>
      <c r="AA22" s="37"/>
      <c r="AB22" s="37"/>
    </row>
    <row r="23" spans="2:28" x14ac:dyDescent="0.35">
      <c r="B23">
        <f t="shared" si="0"/>
        <v>15</v>
      </c>
      <c r="C23" s="23"/>
      <c r="D23" s="49"/>
      <c r="E23" s="671"/>
      <c r="F23" s="690"/>
      <c r="G23" s="671"/>
      <c r="H23" s="690"/>
      <c r="I23" s="671"/>
      <c r="J23" s="690"/>
      <c r="K23" s="690"/>
      <c r="L23" s="671"/>
      <c r="M23" s="671"/>
      <c r="N23" s="671"/>
      <c r="O23" s="671"/>
      <c r="P23" s="671"/>
      <c r="Q23" s="691"/>
      <c r="R23">
        <f t="shared" si="1"/>
        <v>14</v>
      </c>
      <c r="W23" s="8"/>
      <c r="X23" s="8"/>
      <c r="Y23" s="8"/>
      <c r="Z23" s="8"/>
      <c r="AA23" s="37"/>
      <c r="AB23" s="37"/>
    </row>
    <row r="24" spans="2:28" x14ac:dyDescent="0.35">
      <c r="B24">
        <f t="shared" si="0"/>
        <v>16</v>
      </c>
      <c r="C24" s="23" t="s">
        <v>1577</v>
      </c>
      <c r="D24" s="159" t="s">
        <v>1584</v>
      </c>
      <c r="E24" s="153"/>
      <c r="F24" s="667"/>
      <c r="G24" s="153"/>
      <c r="H24" s="667"/>
      <c r="I24" s="668"/>
      <c r="J24" s="667"/>
      <c r="K24" s="667"/>
      <c r="L24" s="669"/>
      <c r="M24" s="670"/>
      <c r="N24" s="668"/>
      <c r="O24" s="671"/>
      <c r="P24" s="672"/>
      <c r="Q24" s="674"/>
      <c r="R24">
        <f t="shared" si="1"/>
        <v>15</v>
      </c>
      <c r="U24" t="s">
        <v>1583</v>
      </c>
      <c r="W24" s="8"/>
      <c r="X24" s="8"/>
      <c r="Y24" s="8"/>
      <c r="Z24" s="8"/>
      <c r="AA24" s="629"/>
      <c r="AB24" s="644"/>
    </row>
    <row r="25" spans="2:28" x14ac:dyDescent="0.35">
      <c r="B25">
        <f t="shared" si="0"/>
        <v>17</v>
      </c>
      <c r="C25" s="23"/>
      <c r="D25" s="159"/>
      <c r="E25" s="153"/>
      <c r="F25" s="667"/>
      <c r="G25" s="153"/>
      <c r="H25" s="667"/>
      <c r="I25" s="668"/>
      <c r="J25" s="667"/>
      <c r="K25" s="667"/>
      <c r="L25" s="669"/>
      <c r="M25" s="670"/>
      <c r="N25" s="668"/>
      <c r="O25" s="671"/>
      <c r="P25" s="672"/>
      <c r="Q25" s="674"/>
      <c r="R25">
        <f t="shared" si="1"/>
        <v>16</v>
      </c>
      <c r="W25" s="8"/>
      <c r="X25" s="8"/>
      <c r="Y25" s="8"/>
      <c r="Z25" s="8"/>
      <c r="AA25" s="629"/>
      <c r="AB25" s="644"/>
    </row>
    <row r="26" spans="2:28" x14ac:dyDescent="0.35">
      <c r="B26">
        <f t="shared" si="0"/>
        <v>18</v>
      </c>
      <c r="C26" s="23"/>
      <c r="D26" s="49"/>
      <c r="E26" s="153"/>
      <c r="F26" s="667"/>
      <c r="G26" s="153"/>
      <c r="H26" s="667"/>
      <c r="I26" s="668"/>
      <c r="J26" s="667"/>
      <c r="K26" s="667"/>
      <c r="L26" s="669"/>
      <c r="M26" s="670"/>
      <c r="N26" s="668"/>
      <c r="O26" s="671"/>
      <c r="P26" s="672"/>
      <c r="Q26" s="674"/>
      <c r="R26">
        <f t="shared" si="1"/>
        <v>17</v>
      </c>
      <c r="W26" s="8"/>
      <c r="X26" s="8"/>
      <c r="Y26" s="8"/>
      <c r="Z26" s="8"/>
      <c r="AA26" s="629"/>
      <c r="AB26" s="644"/>
    </row>
    <row r="27" spans="2:28" x14ac:dyDescent="0.35">
      <c r="B27">
        <f t="shared" si="0"/>
        <v>19</v>
      </c>
      <c r="C27" s="23"/>
      <c r="D27" s="49"/>
      <c r="E27" s="153"/>
      <c r="F27" s="667"/>
      <c r="G27" s="153"/>
      <c r="H27" s="667"/>
      <c r="I27" s="668"/>
      <c r="J27" s="667"/>
      <c r="K27" s="667"/>
      <c r="L27" s="669"/>
      <c r="M27" s="670"/>
      <c r="N27" s="668"/>
      <c r="O27" s="671"/>
      <c r="P27" s="672"/>
      <c r="Q27" s="674"/>
      <c r="R27">
        <f t="shared" si="1"/>
        <v>18</v>
      </c>
      <c r="W27" s="8"/>
      <c r="X27" s="8"/>
      <c r="Y27" s="8"/>
      <c r="Z27" s="8"/>
      <c r="AA27" s="629"/>
      <c r="AB27" s="644"/>
    </row>
    <row r="28" spans="2:28" ht="15" thickBot="1" x14ac:dyDescent="0.4">
      <c r="B28">
        <f t="shared" si="0"/>
        <v>20</v>
      </c>
      <c r="C28" s="27"/>
      <c r="D28" s="680"/>
      <c r="E28" s="681"/>
      <c r="F28" s="682"/>
      <c r="G28" s="681"/>
      <c r="H28" s="682"/>
      <c r="I28" s="683"/>
      <c r="J28" s="684"/>
      <c r="K28" s="684"/>
      <c r="L28" s="685"/>
      <c r="M28" s="683"/>
      <c r="N28" s="683"/>
      <c r="O28" s="686"/>
      <c r="P28" s="682"/>
      <c r="Q28" s="687"/>
      <c r="R28">
        <f t="shared" si="1"/>
        <v>19</v>
      </c>
      <c r="W28" s="8"/>
      <c r="X28" s="8"/>
      <c r="Y28" s="8"/>
      <c r="Z28" s="8"/>
      <c r="AA28" s="629"/>
      <c r="AB28" s="641"/>
    </row>
    <row r="29" spans="2:28" ht="15" thickTop="1" x14ac:dyDescent="0.35">
      <c r="C29" s="44" t="s">
        <v>198</v>
      </c>
      <c r="D29" s="44"/>
    </row>
    <row r="33" spans="2:20" ht="24" thickBot="1" x14ac:dyDescent="0.6">
      <c r="C33" s="11" t="s">
        <v>38</v>
      </c>
      <c r="D33" s="11"/>
    </row>
    <row r="34" spans="2:20" ht="15" thickTop="1" x14ac:dyDescent="0.35">
      <c r="C34" s="18"/>
      <c r="D34" s="19" t="str">
        <f t="shared" ref="D34:Q34" si="2">D6</f>
        <v>Eleborate explanation</v>
      </c>
      <c r="E34" s="19" t="str">
        <f t="shared" si="2"/>
        <v>Problems</v>
      </c>
      <c r="F34" s="19" t="str">
        <f t="shared" si="2"/>
        <v>Methods</v>
      </c>
      <c r="G34" s="19">
        <f t="shared" si="2"/>
        <v>0</v>
      </c>
      <c r="H34" s="19">
        <f t="shared" si="2"/>
        <v>0</v>
      </c>
      <c r="I34" s="19">
        <f t="shared" si="2"/>
        <v>0</v>
      </c>
      <c r="J34" s="19">
        <f t="shared" si="2"/>
        <v>0</v>
      </c>
      <c r="K34" s="19">
        <f t="shared" si="2"/>
        <v>0</v>
      </c>
      <c r="L34" s="19">
        <f t="shared" si="2"/>
        <v>0</v>
      </c>
      <c r="M34" s="19">
        <f t="shared" si="2"/>
        <v>0</v>
      </c>
      <c r="N34" s="19">
        <f t="shared" si="2"/>
        <v>0</v>
      </c>
      <c r="O34" s="19">
        <f t="shared" si="2"/>
        <v>0</v>
      </c>
      <c r="P34" s="19">
        <f t="shared" si="2"/>
        <v>0</v>
      </c>
      <c r="Q34" s="20" t="str">
        <f t="shared" si="2"/>
        <v>Main</v>
      </c>
    </row>
    <row r="35" spans="2:20" x14ac:dyDescent="0.35">
      <c r="C35" s="21"/>
      <c r="D35" s="13">
        <f t="shared" ref="D35:Q35" si="3">D7</f>
        <v>0</v>
      </c>
      <c r="E35" s="13">
        <f t="shared" si="3"/>
        <v>0</v>
      </c>
      <c r="F35" s="13" t="str">
        <f t="shared" si="3"/>
        <v xml:space="preserve">to solve </v>
      </c>
      <c r="G35" s="13">
        <f t="shared" si="3"/>
        <v>0</v>
      </c>
      <c r="H35" s="13">
        <f t="shared" si="3"/>
        <v>0</v>
      </c>
      <c r="I35" s="13">
        <f t="shared" si="3"/>
        <v>0</v>
      </c>
      <c r="J35" s="13">
        <f t="shared" si="3"/>
        <v>0</v>
      </c>
      <c r="K35" s="13">
        <f t="shared" si="3"/>
        <v>0</v>
      </c>
      <c r="L35" s="13">
        <f t="shared" si="3"/>
        <v>0</v>
      </c>
      <c r="M35" s="13">
        <f t="shared" si="3"/>
        <v>0</v>
      </c>
      <c r="N35" s="13">
        <f t="shared" si="3"/>
        <v>0</v>
      </c>
      <c r="O35" s="13">
        <f t="shared" si="3"/>
        <v>0</v>
      </c>
      <c r="P35" s="13">
        <f t="shared" si="3"/>
        <v>0</v>
      </c>
      <c r="Q35" s="22" t="str">
        <f t="shared" si="3"/>
        <v>source</v>
      </c>
    </row>
    <row r="36" spans="2:20" ht="15" thickBot="1" x14ac:dyDescent="0.4">
      <c r="C36" s="210"/>
      <c r="D36" s="202">
        <f>D8</f>
        <v>0</v>
      </c>
      <c r="E36" s="202">
        <f>E8</f>
        <v>0</v>
      </c>
      <c r="F36" s="202" t="str">
        <f>F8</f>
        <v>problems</v>
      </c>
      <c r="G36" s="202"/>
      <c r="H36" s="202">
        <f t="shared" ref="H36:Q36" si="4">H8</f>
        <v>0</v>
      </c>
      <c r="I36" s="202">
        <f t="shared" si="4"/>
        <v>0</v>
      </c>
      <c r="J36" s="202">
        <f t="shared" si="4"/>
        <v>0</v>
      </c>
      <c r="K36" s="202">
        <f t="shared" si="4"/>
        <v>0</v>
      </c>
      <c r="L36" s="202">
        <f t="shared" si="4"/>
        <v>0</v>
      </c>
      <c r="M36" s="202">
        <f t="shared" si="4"/>
        <v>0</v>
      </c>
      <c r="N36" s="202">
        <f t="shared" si="4"/>
        <v>0</v>
      </c>
      <c r="O36" s="202">
        <f t="shared" si="4"/>
        <v>0</v>
      </c>
      <c r="P36" s="202">
        <f t="shared" si="4"/>
        <v>0</v>
      </c>
      <c r="Q36" s="211">
        <f t="shared" si="4"/>
        <v>0</v>
      </c>
    </row>
    <row r="37" spans="2:20" ht="15" thickTop="1" x14ac:dyDescent="0.35">
      <c r="B37">
        <v>1</v>
      </c>
      <c r="C37" s="236" t="str">
        <f>C9</f>
        <v>Regarding scaling laws</v>
      </c>
      <c r="D37" s="243"/>
      <c r="E37" s="243"/>
      <c r="F37" s="243"/>
      <c r="G37" s="243"/>
      <c r="H37" s="243"/>
      <c r="I37" s="243"/>
      <c r="J37" s="243"/>
      <c r="K37" s="243"/>
      <c r="L37" s="243"/>
      <c r="M37" s="243"/>
      <c r="N37" s="243"/>
      <c r="O37" s="243"/>
      <c r="P37" s="243"/>
      <c r="Q37" s="244"/>
      <c r="R37">
        <v>1</v>
      </c>
    </row>
    <row r="38" spans="2:20" x14ac:dyDescent="0.35">
      <c r="B38">
        <f t="shared" ref="B38:B54" si="5">B37+1</f>
        <v>2</v>
      </c>
      <c r="C38" s="23" t="str">
        <f>C10</f>
        <v>Scaling law 1 - More and higher quality data</v>
      </c>
      <c r="D38" t="s">
        <v>1570</v>
      </c>
      <c r="G38" s="152"/>
      <c r="H38" s="48"/>
      <c r="M38" s="152"/>
      <c r="N38" s="15"/>
      <c r="O38" s="231"/>
      <c r="P38" s="231"/>
      <c r="Q38" s="651"/>
      <c r="R38">
        <f t="shared" ref="R38:R54" si="6">R37+1</f>
        <v>2</v>
      </c>
    </row>
    <row r="39" spans="2:20" x14ac:dyDescent="0.35">
      <c r="B39">
        <f t="shared" si="5"/>
        <v>3</v>
      </c>
      <c r="C39" s="23" t="str">
        <f>C11</f>
        <v>Scaling law 2 - More compute for training</v>
      </c>
      <c r="D39" t="s">
        <v>1570</v>
      </c>
      <c r="G39" s="152"/>
      <c r="H39" s="48"/>
      <c r="M39" s="152"/>
      <c r="N39" s="15"/>
      <c r="O39" s="231"/>
      <c r="P39" s="231"/>
      <c r="Q39" s="651"/>
      <c r="R39">
        <f t="shared" si="6"/>
        <v>3</v>
      </c>
    </row>
    <row r="40" spans="2:20" x14ac:dyDescent="0.35">
      <c r="B40">
        <f t="shared" si="5"/>
        <v>4</v>
      </c>
      <c r="C40" s="23" t="str">
        <f>C12</f>
        <v>Scaling law 3 - More parameters and layers</v>
      </c>
      <c r="D40" t="s">
        <v>1570</v>
      </c>
      <c r="G40" s="152"/>
      <c r="H40" s="48"/>
      <c r="M40" s="152"/>
      <c r="N40" s="15"/>
      <c r="O40" s="231"/>
      <c r="P40" s="231"/>
      <c r="Q40" s="651"/>
      <c r="R40">
        <f t="shared" si="6"/>
        <v>4</v>
      </c>
    </row>
    <row r="41" spans="2:20" x14ac:dyDescent="0.35">
      <c r="C41" s="23" t="str">
        <f t="shared" ref="C41:C42" si="7">C13</f>
        <v>Scaling law 4.1 - More inference compute w. agentic workflow doing one model many shots</v>
      </c>
      <c r="D41" s="14" t="s">
        <v>1603</v>
      </c>
      <c r="G41" s="152"/>
      <c r="H41" s="48"/>
      <c r="M41" s="152"/>
      <c r="N41" s="15"/>
      <c r="O41" s="231"/>
      <c r="P41" s="231"/>
      <c r="Q41" s="651"/>
    </row>
    <row r="42" spans="2:20" x14ac:dyDescent="0.35">
      <c r="B42">
        <f>B40+1</f>
        <v>5</v>
      </c>
      <c r="C42" s="23" t="str">
        <f t="shared" si="7"/>
        <v>Scaling law 4.2 - More inference compute w. agentic workflow one model and Test Time Training</v>
      </c>
      <c r="D42" t="s">
        <v>1571</v>
      </c>
      <c r="G42" s="152"/>
      <c r="H42" s="48"/>
      <c r="M42" s="152"/>
      <c r="N42" s="15"/>
      <c r="O42" s="231"/>
      <c r="P42" s="231"/>
      <c r="Q42" s="651"/>
      <c r="R42">
        <f>R40+1</f>
        <v>5</v>
      </c>
    </row>
    <row r="43" spans="2:20" x14ac:dyDescent="0.35">
      <c r="B43">
        <f t="shared" si="5"/>
        <v>6</v>
      </c>
      <c r="C43" s="23">
        <f t="shared" ref="C43:C49" si="8">C15</f>
        <v>0</v>
      </c>
      <c r="D43" t="s">
        <v>45</v>
      </c>
      <c r="G43" s="152"/>
      <c r="H43" s="48"/>
      <c r="M43" s="152"/>
      <c r="N43" s="15"/>
      <c r="O43" s="231"/>
      <c r="P43" s="231"/>
      <c r="Q43" s="651"/>
      <c r="R43">
        <f t="shared" si="6"/>
        <v>6</v>
      </c>
    </row>
    <row r="44" spans="2:20" x14ac:dyDescent="0.35">
      <c r="B44">
        <f t="shared" si="5"/>
        <v>7</v>
      </c>
      <c r="C44" s="23">
        <f t="shared" si="8"/>
        <v>0</v>
      </c>
      <c r="G44" s="152"/>
      <c r="H44" s="48"/>
      <c r="M44" s="152"/>
      <c r="N44" s="15"/>
      <c r="O44" s="231"/>
      <c r="P44" s="231"/>
      <c r="Q44" s="651"/>
      <c r="R44">
        <f t="shared" si="6"/>
        <v>7</v>
      </c>
    </row>
    <row r="45" spans="2:20" x14ac:dyDescent="0.35">
      <c r="B45">
        <f t="shared" si="5"/>
        <v>8</v>
      </c>
      <c r="C45" s="236" t="str">
        <f t="shared" si="8"/>
        <v>Regarding computing</v>
      </c>
      <c r="D45" s="237"/>
      <c r="E45" s="237"/>
      <c r="F45" s="237"/>
      <c r="G45" s="237"/>
      <c r="H45" s="237"/>
      <c r="I45" s="237"/>
      <c r="J45" s="237"/>
      <c r="K45" s="237"/>
      <c r="L45" s="237"/>
      <c r="M45" s="237"/>
      <c r="N45" s="237"/>
      <c r="O45" s="237"/>
      <c r="P45" s="237"/>
      <c r="Q45" s="688"/>
      <c r="R45">
        <f t="shared" si="6"/>
        <v>8</v>
      </c>
    </row>
    <row r="46" spans="2:20" x14ac:dyDescent="0.35">
      <c r="B46">
        <f t="shared" si="5"/>
        <v>9</v>
      </c>
      <c r="C46" s="23" t="str">
        <f t="shared" si="8"/>
        <v>Destributed training clusters</v>
      </c>
      <c r="D46" t="s">
        <v>1574</v>
      </c>
      <c r="F46" s="14"/>
      <c r="G46" s="152"/>
      <c r="H46" s="48"/>
      <c r="M46" s="152"/>
      <c r="N46" s="15"/>
      <c r="O46" s="231"/>
      <c r="P46" s="231"/>
      <c r="Q46" s="651"/>
      <c r="R46">
        <f t="shared" si="6"/>
        <v>9</v>
      </c>
      <c r="T46" s="14" t="s">
        <v>1330</v>
      </c>
    </row>
    <row r="47" spans="2:20" x14ac:dyDescent="0.35">
      <c r="B47">
        <f t="shared" si="5"/>
        <v>10</v>
      </c>
      <c r="C47" s="23">
        <f t="shared" si="8"/>
        <v>0</v>
      </c>
      <c r="F47" s="14"/>
      <c r="G47" s="152"/>
      <c r="H47" s="48"/>
      <c r="M47" s="152"/>
      <c r="N47" s="15"/>
      <c r="O47" s="231"/>
      <c r="P47" s="231"/>
      <c r="Q47" s="651"/>
      <c r="R47">
        <f t="shared" si="6"/>
        <v>10</v>
      </c>
      <c r="T47" s="14"/>
    </row>
    <row r="48" spans="2:20" x14ac:dyDescent="0.35">
      <c r="B48">
        <f t="shared" si="5"/>
        <v>11</v>
      </c>
      <c r="C48" s="23">
        <f t="shared" si="8"/>
        <v>0</v>
      </c>
      <c r="E48" s="14"/>
      <c r="F48" s="152"/>
      <c r="G48" s="152"/>
      <c r="H48" s="15"/>
      <c r="J48" s="152"/>
      <c r="K48" s="152"/>
      <c r="M48" s="152"/>
      <c r="N48" s="15"/>
      <c r="O48" s="231"/>
      <c r="P48" s="231"/>
      <c r="Q48" s="651"/>
      <c r="R48">
        <f t="shared" si="6"/>
        <v>11</v>
      </c>
    </row>
    <row r="49" spans="2:18" x14ac:dyDescent="0.35">
      <c r="B49">
        <f t="shared" si="5"/>
        <v>12</v>
      </c>
      <c r="C49" s="236" t="str">
        <f t="shared" si="8"/>
        <v>Forthcoming megatrends as expected by HM</v>
      </c>
      <c r="D49" s="237"/>
      <c r="E49" s="237"/>
      <c r="F49" s="237"/>
      <c r="G49" s="237"/>
      <c r="H49" s="237"/>
      <c r="I49" s="237"/>
      <c r="J49" s="237"/>
      <c r="K49" s="237"/>
      <c r="L49" s="237"/>
      <c r="M49" s="237"/>
      <c r="N49" s="237"/>
      <c r="O49" s="237"/>
      <c r="P49" s="237"/>
      <c r="Q49" s="688"/>
      <c r="R49">
        <f t="shared" si="6"/>
        <v>12</v>
      </c>
    </row>
    <row r="50" spans="2:18" x14ac:dyDescent="0.35">
      <c r="B50">
        <f t="shared" si="5"/>
        <v>13</v>
      </c>
      <c r="C50" s="23" t="str">
        <f>C24</f>
        <v>Always on training and inference AI chips for androids</v>
      </c>
      <c r="G50" s="152"/>
      <c r="H50" s="48"/>
      <c r="M50" s="152"/>
      <c r="N50" s="15"/>
      <c r="O50" s="231"/>
      <c r="P50" s="231"/>
      <c r="Q50" s="651"/>
      <c r="R50">
        <f t="shared" si="6"/>
        <v>13</v>
      </c>
    </row>
    <row r="51" spans="2:18" x14ac:dyDescent="0.35">
      <c r="B51">
        <f t="shared" si="5"/>
        <v>14</v>
      </c>
      <c r="C51" s="23">
        <f>C25</f>
        <v>0</v>
      </c>
      <c r="G51" s="152"/>
      <c r="H51" s="48"/>
      <c r="M51" s="152"/>
      <c r="N51" s="15"/>
      <c r="O51" s="231"/>
      <c r="P51" s="231"/>
      <c r="Q51" s="651"/>
      <c r="R51">
        <f t="shared" si="6"/>
        <v>14</v>
      </c>
    </row>
    <row r="52" spans="2:18" x14ac:dyDescent="0.35">
      <c r="B52">
        <f t="shared" si="5"/>
        <v>15</v>
      </c>
      <c r="C52" s="23">
        <f>C26</f>
        <v>0</v>
      </c>
      <c r="G52" s="152"/>
      <c r="H52" s="48"/>
      <c r="M52" s="152"/>
      <c r="N52" s="15"/>
      <c r="O52" s="231"/>
      <c r="P52" s="231"/>
      <c r="Q52" s="651"/>
      <c r="R52">
        <f t="shared" si="6"/>
        <v>15</v>
      </c>
    </row>
    <row r="53" spans="2:18" x14ac:dyDescent="0.35">
      <c r="B53">
        <f t="shared" si="5"/>
        <v>16</v>
      </c>
      <c r="C53" s="23">
        <f>C27</f>
        <v>0</v>
      </c>
      <c r="G53" s="152"/>
      <c r="H53" s="48"/>
      <c r="M53" s="152"/>
      <c r="N53" s="15"/>
      <c r="O53" s="231"/>
      <c r="P53" s="231"/>
      <c r="Q53" s="651"/>
      <c r="R53">
        <f t="shared" si="6"/>
        <v>16</v>
      </c>
    </row>
    <row r="54" spans="2:18" ht="15" thickBot="1" x14ac:dyDescent="0.4">
      <c r="B54">
        <f t="shared" si="5"/>
        <v>17</v>
      </c>
      <c r="C54" s="27">
        <f>C28</f>
        <v>0</v>
      </c>
      <c r="D54" s="92"/>
      <c r="E54" s="92"/>
      <c r="F54" s="618"/>
      <c r="G54" s="618"/>
      <c r="H54" s="619"/>
      <c r="I54" s="92"/>
      <c r="J54" s="92"/>
      <c r="K54" s="92"/>
      <c r="L54" s="92"/>
      <c r="M54" s="618"/>
      <c r="N54" s="618"/>
      <c r="O54" s="689"/>
      <c r="P54" s="689"/>
      <c r="Q54" s="625"/>
      <c r="R54">
        <f t="shared" si="6"/>
        <v>17</v>
      </c>
    </row>
    <row r="55" spans="2:18" ht="15" thickTop="1" x14ac:dyDescent="0.35"/>
  </sheetData>
  <hyperlinks>
    <hyperlink ref="T46" r:id="rId1" xr:uid="{1F60EDBF-61A8-47E3-A83F-9D317626014C}"/>
    <hyperlink ref="S11" r:id="rId2" xr:uid="{520370A4-C236-4069-A224-DEC744AA89DF}"/>
    <hyperlink ref="D41" r:id="rId3" xr:uid="{497A0FAE-0911-452F-8493-3343E9E8F53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65020-7CCC-40D7-B194-15852D32F572}">
  <dimension ref="A1:G16"/>
  <sheetViews>
    <sheetView workbookViewId="0">
      <selection activeCell="E43" sqref="E43"/>
    </sheetView>
  </sheetViews>
  <sheetFormatPr defaultRowHeight="14.5" x14ac:dyDescent="0.35"/>
  <cols>
    <col min="2" max="2" width="27.7265625" customWidth="1"/>
    <col min="3" max="3" width="73.36328125" customWidth="1"/>
    <col min="4" max="4" width="47.81640625" customWidth="1"/>
    <col min="5" max="5" width="15.54296875" customWidth="1"/>
    <col min="6" max="6" width="15.6328125" customWidth="1"/>
  </cols>
  <sheetData>
    <row r="1" spans="1:7" ht="28.5" x14ac:dyDescent="0.65">
      <c r="A1" s="9" t="str">
        <f>AI_Models!$A$1</f>
        <v>New AI chips by Nvidia will cause Russia to lose war in Ukraine #72/99</v>
      </c>
    </row>
    <row r="5" spans="1:7" ht="24" thickBot="1" x14ac:dyDescent="0.6">
      <c r="B5" s="11" t="s">
        <v>1337</v>
      </c>
    </row>
    <row r="6" spans="1:7" ht="15" thickTop="1" x14ac:dyDescent="0.35">
      <c r="B6" s="18" t="s">
        <v>1353</v>
      </c>
      <c r="C6" s="646"/>
      <c r="D6" s="19" t="s">
        <v>1332</v>
      </c>
      <c r="E6" s="19" t="s">
        <v>1357</v>
      </c>
      <c r="F6" s="20" t="s">
        <v>1374</v>
      </c>
      <c r="G6" s="8"/>
    </row>
    <row r="7" spans="1:7" x14ac:dyDescent="0.35">
      <c r="B7" s="21"/>
      <c r="C7" s="13"/>
      <c r="D7" s="13"/>
      <c r="E7" s="13" t="s">
        <v>1358</v>
      </c>
      <c r="F7" s="22" t="s">
        <v>1373</v>
      </c>
      <c r="G7" s="8"/>
    </row>
    <row r="8" spans="1:7" ht="15" thickBot="1" x14ac:dyDescent="0.4">
      <c r="B8" s="645"/>
      <c r="C8" s="202"/>
      <c r="D8" s="202"/>
      <c r="E8" s="202"/>
      <c r="F8" s="22"/>
      <c r="G8" s="8" t="s">
        <v>32</v>
      </c>
    </row>
    <row r="9" spans="1:7" ht="15" thickTop="1" x14ac:dyDescent="0.35">
      <c r="B9" s="23" t="s">
        <v>1345</v>
      </c>
      <c r="C9" t="s">
        <v>1351</v>
      </c>
      <c r="D9" t="s">
        <v>1333</v>
      </c>
      <c r="E9" s="37">
        <v>2018</v>
      </c>
      <c r="F9" s="647" t="s">
        <v>1366</v>
      </c>
    </row>
    <row r="10" spans="1:7" x14ac:dyDescent="0.35">
      <c r="B10" s="23" t="s">
        <v>1346</v>
      </c>
      <c r="C10" s="643" t="s">
        <v>1375</v>
      </c>
      <c r="D10" s="153" t="s">
        <v>1334</v>
      </c>
      <c r="E10" s="153" t="s">
        <v>1355</v>
      </c>
      <c r="F10" s="648" t="str">
        <f>F9</f>
        <v>Datacenter</v>
      </c>
      <c r="G10" s="153"/>
    </row>
    <row r="11" spans="1:7" x14ac:dyDescent="0.35">
      <c r="B11" s="23" t="s">
        <v>1347</v>
      </c>
      <c r="C11" s="231" t="s">
        <v>1376</v>
      </c>
      <c r="D11" s="153" t="s">
        <v>1369</v>
      </c>
      <c r="E11" s="153" t="s">
        <v>1354</v>
      </c>
      <c r="F11" s="648" t="s">
        <v>1368</v>
      </c>
      <c r="G11" s="153" t="s">
        <v>1359</v>
      </c>
    </row>
    <row r="12" spans="1:7" x14ac:dyDescent="0.35">
      <c r="B12" s="23" t="s">
        <v>1348</v>
      </c>
      <c r="C12" s="231" t="s">
        <v>1350</v>
      </c>
      <c r="D12" s="153" t="s">
        <v>1335</v>
      </c>
      <c r="E12" s="153" t="s">
        <v>1370</v>
      </c>
      <c r="F12" s="648" t="s">
        <v>1366</v>
      </c>
      <c r="G12" s="153"/>
    </row>
    <row r="13" spans="1:7" x14ac:dyDescent="0.35">
      <c r="B13" s="23" t="s">
        <v>1349</v>
      </c>
      <c r="C13" s="231" t="s">
        <v>1372</v>
      </c>
      <c r="D13" s="153" t="s">
        <v>1336</v>
      </c>
      <c r="E13" s="153" t="s">
        <v>1362</v>
      </c>
      <c r="F13" s="648" t="str">
        <f>F12</f>
        <v>Datacenter</v>
      </c>
      <c r="G13" s="153" t="s">
        <v>1356</v>
      </c>
    </row>
    <row r="14" spans="1:7" ht="15" thickBot="1" x14ac:dyDescent="0.4">
      <c r="B14" s="27" t="s">
        <v>1360</v>
      </c>
      <c r="C14" s="204" t="s">
        <v>1371</v>
      </c>
      <c r="D14" s="204" t="s">
        <v>1364</v>
      </c>
      <c r="E14" s="650" t="s">
        <v>1363</v>
      </c>
      <c r="F14" s="649" t="s">
        <v>1367</v>
      </c>
      <c r="G14" t="s">
        <v>1361</v>
      </c>
    </row>
    <row r="15" spans="1:7" ht="15" thickTop="1" x14ac:dyDescent="0.35">
      <c r="B15" t="s">
        <v>1352</v>
      </c>
      <c r="C15" s="231"/>
      <c r="D15" s="8"/>
      <c r="E15" s="8"/>
      <c r="F15" s="8"/>
      <c r="G15" s="8"/>
    </row>
    <row r="16" spans="1:7" x14ac:dyDescent="0.35">
      <c r="B16" s="15" t="s">
        <v>1331</v>
      </c>
      <c r="C16" s="231" t="s">
        <v>1377</v>
      </c>
      <c r="D16" s="8"/>
      <c r="E16" s="8"/>
      <c r="F16" s="8"/>
      <c r="G16" s="8"/>
    </row>
  </sheetData>
  <hyperlinks>
    <hyperlink ref="B16" r:id="rId1" xr:uid="{D8D7AD78-9922-4D45-9F9A-3A934EDF721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B1D47-7FD4-4F70-BCE1-F00F1FC8E545}">
  <dimension ref="A1:F27"/>
  <sheetViews>
    <sheetView workbookViewId="0">
      <selection activeCell="B7" sqref="B7"/>
    </sheetView>
  </sheetViews>
  <sheetFormatPr defaultRowHeight="14.5" x14ac:dyDescent="0.35"/>
  <cols>
    <col min="3" max="3" width="23.81640625" customWidth="1"/>
    <col min="4" max="4" width="10.1796875" customWidth="1"/>
  </cols>
  <sheetData>
    <row r="1" spans="1:6" ht="28.5" x14ac:dyDescent="0.65">
      <c r="A1" s="9" t="str">
        <f>AI_Models!A1</f>
        <v>New AI chips by Nvidia will cause Russia to lose war in Ukraine #72/99</v>
      </c>
    </row>
    <row r="2" spans="1:6" ht="15.5" x14ac:dyDescent="0.35">
      <c r="A2" s="10" t="str">
        <f>KeyChips!A2</f>
        <v>Proprietary. © H. Mathiesen. This material can be used by others free of charge provided that the author H. Mathiesen is attributed and a clickable link is made visible to the location of used material on www.hmexperience.dk</v>
      </c>
    </row>
    <row r="3" spans="1:6" ht="15.5" x14ac:dyDescent="0.35">
      <c r="A3" s="615" t="str">
        <f>AI_Models!A3</f>
        <v>Links to all sources are available in sources table below</v>
      </c>
      <c r="B3" s="616"/>
      <c r="C3" s="616"/>
      <c r="D3" s="616"/>
      <c r="E3" s="616"/>
      <c r="F3" s="616"/>
    </row>
    <row r="5" spans="1:6" ht="24" thickBot="1" x14ac:dyDescent="0.6">
      <c r="C5" s="30" t="s">
        <v>524</v>
      </c>
      <c r="D5" s="31"/>
    </row>
    <row r="6" spans="1:6" ht="15" thickTop="1" x14ac:dyDescent="0.35">
      <c r="C6" s="18" t="s">
        <v>137</v>
      </c>
      <c r="D6" s="19" t="s">
        <v>12</v>
      </c>
    </row>
    <row r="7" spans="1:6" x14ac:dyDescent="0.35">
      <c r="C7" s="21" t="s">
        <v>115</v>
      </c>
      <c r="D7" s="13" t="s">
        <v>14</v>
      </c>
    </row>
    <row r="8" spans="1:6" x14ac:dyDescent="0.35">
      <c r="C8" s="21"/>
      <c r="D8" s="13"/>
    </row>
    <row r="9" spans="1:6" x14ac:dyDescent="0.35">
      <c r="B9">
        <v>1</v>
      </c>
      <c r="C9" s="23"/>
    </row>
    <row r="10" spans="1:6" x14ac:dyDescent="0.35">
      <c r="B10">
        <f t="shared" ref="B10:B26" si="0">B9+1</f>
        <v>2</v>
      </c>
      <c r="C10" s="23"/>
    </row>
    <row r="11" spans="1:6" x14ac:dyDescent="0.35">
      <c r="B11">
        <f t="shared" si="0"/>
        <v>3</v>
      </c>
      <c r="C11" s="23"/>
    </row>
    <row r="12" spans="1:6" x14ac:dyDescent="0.35">
      <c r="B12">
        <f t="shared" si="0"/>
        <v>4</v>
      </c>
      <c r="C12" s="23"/>
    </row>
    <row r="13" spans="1:6" x14ac:dyDescent="0.35">
      <c r="B13">
        <f t="shared" si="0"/>
        <v>5</v>
      </c>
      <c r="C13" s="23"/>
    </row>
    <row r="14" spans="1:6" x14ac:dyDescent="0.35">
      <c r="B14">
        <f t="shared" si="0"/>
        <v>6</v>
      </c>
      <c r="C14" s="23"/>
    </row>
    <row r="15" spans="1:6" x14ac:dyDescent="0.35">
      <c r="B15">
        <f t="shared" si="0"/>
        <v>7</v>
      </c>
      <c r="C15" s="23"/>
    </row>
    <row r="16" spans="1:6" x14ac:dyDescent="0.35">
      <c r="B16">
        <f t="shared" si="0"/>
        <v>8</v>
      </c>
      <c r="C16" s="23"/>
    </row>
    <row r="17" spans="2:4" x14ac:dyDescent="0.35">
      <c r="B17">
        <f t="shared" si="0"/>
        <v>9</v>
      </c>
      <c r="C17" s="23"/>
    </row>
    <row r="18" spans="2:4" x14ac:dyDescent="0.35">
      <c r="B18">
        <f t="shared" si="0"/>
        <v>10</v>
      </c>
      <c r="C18" s="23"/>
      <c r="D18" s="60"/>
    </row>
    <row r="19" spans="2:4" x14ac:dyDescent="0.35">
      <c r="B19">
        <f t="shared" si="0"/>
        <v>11</v>
      </c>
      <c r="C19" s="23"/>
    </row>
    <row r="20" spans="2:4" x14ac:dyDescent="0.35">
      <c r="B20">
        <f t="shared" si="0"/>
        <v>12</v>
      </c>
      <c r="C20" s="23"/>
      <c r="D20" s="126"/>
    </row>
    <row r="21" spans="2:4" x14ac:dyDescent="0.35">
      <c r="B21">
        <f t="shared" si="0"/>
        <v>13</v>
      </c>
      <c r="C21" s="23"/>
      <c r="D21" s="126"/>
    </row>
    <row r="22" spans="2:4" x14ac:dyDescent="0.35">
      <c r="B22">
        <f t="shared" si="0"/>
        <v>14</v>
      </c>
      <c r="C22" s="23"/>
      <c r="D22" s="126"/>
    </row>
    <row r="23" spans="2:4" x14ac:dyDescent="0.35">
      <c r="B23">
        <f t="shared" si="0"/>
        <v>15</v>
      </c>
      <c r="C23" s="23"/>
      <c r="D23" s="1"/>
    </row>
    <row r="24" spans="2:4" x14ac:dyDescent="0.35">
      <c r="B24">
        <f t="shared" si="0"/>
        <v>16</v>
      </c>
      <c r="C24" s="23"/>
      <c r="D24" s="114"/>
    </row>
    <row r="25" spans="2:4" x14ac:dyDescent="0.35">
      <c r="B25">
        <f t="shared" si="0"/>
        <v>17</v>
      </c>
      <c r="C25" s="23"/>
      <c r="D25" s="114"/>
    </row>
    <row r="26" spans="2:4" ht="15" thickBot="1" x14ac:dyDescent="0.4">
      <c r="B26">
        <f t="shared" si="0"/>
        <v>18</v>
      </c>
      <c r="C26" s="27"/>
      <c r="D26" s="47"/>
    </row>
    <row r="27" spans="2:4" ht="15" thickTop="1" x14ac:dyDescent="0.35">
      <c r="C27" s="44"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0432D-02C7-438F-8555-B72EABE81633}">
  <dimension ref="A1:AD206"/>
  <sheetViews>
    <sheetView tabSelected="1" zoomScale="110" zoomScaleNormal="110" workbookViewId="0">
      <pane xSplit="3" ySplit="16" topLeftCell="D29" activePane="bottomRight" state="frozen"/>
      <selection pane="topRight" activeCell="D1" sqref="D1"/>
      <selection pane="bottomLeft" activeCell="A17" sqref="A17"/>
      <selection pane="bottomRight" activeCell="G44" sqref="G44"/>
    </sheetView>
  </sheetViews>
  <sheetFormatPr defaultRowHeight="14.5" x14ac:dyDescent="0.35"/>
  <cols>
    <col min="1" max="1" width="4.81640625" customWidth="1"/>
    <col min="2" max="2" width="3.26953125" customWidth="1"/>
    <col min="3" max="3" width="37.08984375" customWidth="1"/>
    <col min="4" max="4" width="13.1796875" customWidth="1"/>
    <col min="5" max="5" width="25.81640625" customWidth="1"/>
    <col min="6" max="6" width="8.453125" customWidth="1"/>
    <col min="7" max="7" width="8.36328125" customWidth="1"/>
    <col min="8" max="8" width="8.1796875" customWidth="1"/>
    <col min="9" max="9" width="10.6328125" customWidth="1"/>
    <col min="10" max="10" width="11.1796875" customWidth="1"/>
    <col min="11" max="11" width="11.36328125" customWidth="1"/>
    <col min="12" max="12" width="9.90625" customWidth="1"/>
    <col min="13" max="13" width="10.453125" customWidth="1"/>
    <col min="14" max="14" width="10.08984375" customWidth="1"/>
    <col min="15" max="15" width="8" customWidth="1"/>
    <col min="16" max="16" width="7.1796875" customWidth="1"/>
    <col min="17" max="17" width="13" customWidth="1"/>
    <col min="18" max="18" width="8.08984375" customWidth="1"/>
    <col min="19" max="19" width="7.90625" customWidth="1"/>
    <col min="20" max="20" width="7.54296875" customWidth="1"/>
    <col min="21" max="22" width="9.90625" customWidth="1"/>
    <col min="23" max="23" width="8.7265625" customWidth="1"/>
    <col min="24" max="24" width="9.08984375" customWidth="1"/>
    <col min="25" max="25" width="6" customWidth="1"/>
    <col min="26" max="26" width="23.36328125" customWidth="1"/>
    <col min="27" max="27" width="6.36328125" customWidth="1"/>
    <col min="28" max="28" width="6.26953125" customWidth="1"/>
    <col min="29" max="29" width="4.453125" customWidth="1"/>
    <col min="30" max="30" width="4.81640625" customWidth="1"/>
    <col min="31" max="31" width="32.54296875" customWidth="1"/>
    <col min="32" max="32" width="11.6328125" customWidth="1"/>
    <col min="33" max="33" width="26.81640625" customWidth="1"/>
    <col min="34" max="34" width="10.453125" customWidth="1"/>
    <col min="35" max="35" width="10.1796875" customWidth="1"/>
    <col min="36" max="36" width="11.26953125" customWidth="1"/>
    <col min="37" max="37" width="8.90625" customWidth="1"/>
    <col min="38" max="39" width="10.08984375" customWidth="1"/>
    <col min="40" max="40" width="7.54296875" customWidth="1"/>
    <col min="41" max="41" width="6.81640625" customWidth="1"/>
    <col min="42" max="42" width="7.453125" customWidth="1"/>
    <col min="43" max="43" width="8.26953125" customWidth="1"/>
    <col min="44" max="44" width="8.6328125" customWidth="1"/>
    <col min="45" max="45" width="8.7265625" customWidth="1"/>
  </cols>
  <sheetData>
    <row r="1" spans="1:30" ht="28.5" x14ac:dyDescent="0.65">
      <c r="A1" s="9" t="str">
        <f>AI_Models!A1</f>
        <v>New AI chips by Nvidia will cause Russia to lose war in Ukraine #72/99</v>
      </c>
      <c r="AD1" t="s">
        <v>45</v>
      </c>
    </row>
    <row r="2" spans="1:30" ht="15.5" x14ac:dyDescent="0.35">
      <c r="A2" s="10" t="str">
        <f>AI_Models!$A$2</f>
        <v>Proprietary. © H. Mathiesen. This material can be used by others free of charge provided that the author H. Mathiesen is attributed and a clickable link is made visible to the location of used material on www.hmexperience.dk</v>
      </c>
      <c r="Z2" s="2">
        <v>1000</v>
      </c>
      <c r="AA2" t="s">
        <v>408</v>
      </c>
      <c r="AB2" t="s">
        <v>407</v>
      </c>
      <c r="AC2" s="14" t="s">
        <v>129</v>
      </c>
    </row>
    <row r="3" spans="1:30" ht="15.5" x14ac:dyDescent="0.35">
      <c r="A3" s="615" t="str">
        <f>AI_Models!A3</f>
        <v>Links to all sources are available in sources table below</v>
      </c>
      <c r="B3" s="616"/>
      <c r="C3" s="616"/>
      <c r="D3" s="616"/>
      <c r="I3">
        <v>2</v>
      </c>
      <c r="K3" t="str">
        <f>AI_Models!I3</f>
        <v>GB of RAM needed for every 1 billion parameters in AI model. To keep it simple and transparent I use 2 and I do not distinguish between VRAM and other slower RAM also used in AI chips and do not take into effect various algebraic tricks that can be used to compress models to run on less RAM. However, do I distinguish between different types of AI models that may require different amount of RAM per billion of parameters like vision models normally require 12X more ram than LLMs per billion parameters in AI model.</v>
      </c>
      <c r="L3" t="s">
        <v>107</v>
      </c>
      <c r="M3" s="14" t="s">
        <v>868</v>
      </c>
      <c r="N3" t="s">
        <v>45</v>
      </c>
      <c r="Z3" s="2">
        <v>1000000</v>
      </c>
      <c r="AA3" t="s">
        <v>331</v>
      </c>
      <c r="AB3" t="s">
        <v>385</v>
      </c>
    </row>
    <row r="4" spans="1:30" x14ac:dyDescent="0.35">
      <c r="Z4" s="2">
        <v>1000000000</v>
      </c>
      <c r="AA4" t="s">
        <v>242</v>
      </c>
      <c r="AB4" t="s">
        <v>241</v>
      </c>
    </row>
    <row r="5" spans="1:30" ht="24" thickBot="1" x14ac:dyDescent="0.6">
      <c r="C5" s="30" t="s">
        <v>1500</v>
      </c>
      <c r="D5" s="31"/>
      <c r="E5" s="31"/>
      <c r="F5" s="31"/>
      <c r="G5" s="31"/>
      <c r="H5" s="31"/>
      <c r="I5" s="31"/>
      <c r="J5" s="31"/>
      <c r="K5" s="31"/>
      <c r="L5" s="31"/>
      <c r="M5" s="31"/>
      <c r="N5" s="31"/>
      <c r="O5" s="31"/>
      <c r="P5" s="31"/>
      <c r="Q5" s="31"/>
      <c r="R5" s="31"/>
      <c r="S5" s="31"/>
      <c r="T5" s="31"/>
      <c r="U5" s="31"/>
      <c r="V5" s="31"/>
      <c r="W5" s="31"/>
      <c r="X5" s="31"/>
      <c r="Z5" s="2">
        <v>1000000000000</v>
      </c>
      <c r="AA5" t="s">
        <v>130</v>
      </c>
      <c r="AB5" t="s">
        <v>127</v>
      </c>
    </row>
    <row r="6" spans="1:30" ht="15" thickTop="1" x14ac:dyDescent="0.35">
      <c r="C6" s="18" t="s">
        <v>13</v>
      </c>
      <c r="D6" s="19" t="s">
        <v>12</v>
      </c>
      <c r="E6" s="19" t="s">
        <v>35</v>
      </c>
      <c r="F6" s="19" t="s">
        <v>22</v>
      </c>
      <c r="G6" s="19" t="s">
        <v>19</v>
      </c>
      <c r="H6" s="19" t="s">
        <v>1475</v>
      </c>
      <c r="I6" s="19" t="s">
        <v>96</v>
      </c>
      <c r="J6" s="19" t="s">
        <v>41</v>
      </c>
      <c r="K6" s="19" t="s">
        <v>510</v>
      </c>
      <c r="L6" s="19" t="s">
        <v>15</v>
      </c>
      <c r="M6" s="19" t="s">
        <v>15</v>
      </c>
      <c r="N6" s="19" t="s">
        <v>144</v>
      </c>
      <c r="O6" s="19" t="s">
        <v>112</v>
      </c>
      <c r="P6" s="19" t="s">
        <v>31</v>
      </c>
      <c r="Q6" s="19" t="s">
        <v>59</v>
      </c>
      <c r="R6" s="19" t="s">
        <v>25</v>
      </c>
      <c r="S6" s="19" t="s">
        <v>16</v>
      </c>
      <c r="T6" s="19" t="s">
        <v>16</v>
      </c>
      <c r="U6" s="19" t="s">
        <v>16</v>
      </c>
      <c r="V6" s="19" t="s">
        <v>16</v>
      </c>
      <c r="W6" s="19" t="s">
        <v>16</v>
      </c>
      <c r="X6" s="20" t="s">
        <v>16</v>
      </c>
      <c r="Y6" s="8"/>
      <c r="Z6" s="2">
        <v>1000000000000000</v>
      </c>
      <c r="AA6" t="s">
        <v>150</v>
      </c>
      <c r="AB6" t="s">
        <v>149</v>
      </c>
    </row>
    <row r="7" spans="1:30" x14ac:dyDescent="0.35">
      <c r="C7" s="21"/>
      <c r="D7" s="13" t="s">
        <v>61</v>
      </c>
      <c r="E7" s="13" t="s">
        <v>486</v>
      </c>
      <c r="F7" s="13" t="s">
        <v>23</v>
      </c>
      <c r="G7" s="13" t="s">
        <v>20</v>
      </c>
      <c r="H7" s="13" t="s">
        <v>1468</v>
      </c>
      <c r="I7" s="13" t="s">
        <v>106</v>
      </c>
      <c r="J7" s="13" t="s">
        <v>1262</v>
      </c>
      <c r="K7" s="13" t="s">
        <v>511</v>
      </c>
      <c r="L7" s="13" t="s">
        <v>24</v>
      </c>
      <c r="M7" s="13" t="s">
        <v>24</v>
      </c>
      <c r="N7" s="13" t="s">
        <v>351</v>
      </c>
      <c r="O7" s="13" t="s">
        <v>350</v>
      </c>
      <c r="P7" s="13" t="s">
        <v>33</v>
      </c>
      <c r="Q7" s="13" t="s">
        <v>60</v>
      </c>
      <c r="R7" s="13" t="s">
        <v>17</v>
      </c>
      <c r="S7" s="13" t="s">
        <v>26</v>
      </c>
      <c r="T7" s="13" t="s">
        <v>27</v>
      </c>
      <c r="U7" s="13" t="s">
        <v>276</v>
      </c>
      <c r="V7" s="13" t="s">
        <v>752</v>
      </c>
      <c r="W7" s="13" t="s">
        <v>28</v>
      </c>
      <c r="X7" s="22" t="s">
        <v>28</v>
      </c>
      <c r="Y7" s="8"/>
      <c r="Z7" s="2">
        <v>1E+18</v>
      </c>
      <c r="AA7" t="s">
        <v>131</v>
      </c>
      <c r="AB7" t="s">
        <v>128</v>
      </c>
    </row>
    <row r="8" spans="1:30" ht="15" thickBot="1" x14ac:dyDescent="0.4">
      <c r="C8" s="210"/>
      <c r="D8" s="202"/>
      <c r="E8" s="202"/>
      <c r="F8" s="202"/>
      <c r="G8" s="202"/>
      <c r="H8" s="202" t="s">
        <v>1469</v>
      </c>
      <c r="I8" s="202" t="s">
        <v>99</v>
      </c>
      <c r="J8" s="202" t="s">
        <v>77</v>
      </c>
      <c r="K8" s="202" t="s">
        <v>512</v>
      </c>
      <c r="L8" s="202" t="s">
        <v>348</v>
      </c>
      <c r="M8" s="202" t="s">
        <v>347</v>
      </c>
      <c r="N8" s="202" t="s">
        <v>349</v>
      </c>
      <c r="O8" s="202" t="s">
        <v>62</v>
      </c>
      <c r="P8" s="202"/>
      <c r="Q8" s="202" t="s">
        <v>58</v>
      </c>
      <c r="R8" s="202"/>
      <c r="S8" s="202" t="s">
        <v>42</v>
      </c>
      <c r="T8" s="202" t="s">
        <v>285</v>
      </c>
      <c r="U8" s="202" t="s">
        <v>88</v>
      </c>
      <c r="V8" s="202" t="s">
        <v>753</v>
      </c>
      <c r="W8" s="202" t="s">
        <v>820</v>
      </c>
      <c r="X8" s="211" t="s">
        <v>925</v>
      </c>
      <c r="Y8" s="8"/>
      <c r="Z8" s="8" t="s">
        <v>32</v>
      </c>
    </row>
    <row r="9" spans="1:30" ht="15" thickTop="1" x14ac:dyDescent="0.35">
      <c r="B9">
        <v>1</v>
      </c>
      <c r="C9" s="236" t="s">
        <v>809</v>
      </c>
      <c r="D9" s="237"/>
      <c r="E9" s="237"/>
      <c r="F9" s="237"/>
      <c r="G9" s="238"/>
      <c r="H9" s="238"/>
      <c r="I9" s="199"/>
      <c r="J9" s="239"/>
      <c r="K9" s="240"/>
      <c r="L9" s="239"/>
      <c r="M9" s="201"/>
      <c r="N9" s="585"/>
      <c r="O9" s="239"/>
      <c r="P9" s="239"/>
      <c r="Q9" s="238"/>
      <c r="R9" s="201"/>
      <c r="S9" s="241"/>
      <c r="T9" s="201"/>
      <c r="U9" s="201"/>
      <c r="V9" s="201"/>
      <c r="W9" s="241"/>
      <c r="X9" s="242"/>
      <c r="Y9">
        <v>1</v>
      </c>
    </row>
    <row r="10" spans="1:30" x14ac:dyDescent="0.35">
      <c r="B10">
        <f t="shared" ref="B10:B60" si="0">B9+1</f>
        <v>2</v>
      </c>
      <c r="C10" s="23" t="s">
        <v>521</v>
      </c>
      <c r="D10">
        <v>2018</v>
      </c>
      <c r="E10" t="s">
        <v>415</v>
      </c>
      <c r="F10">
        <v>1</v>
      </c>
      <c r="G10">
        <v>12</v>
      </c>
      <c r="H10" t="s">
        <v>1484</v>
      </c>
      <c r="I10" s="148">
        <f t="shared" ref="I10:I26" si="1">J10*(1/I$3)</f>
        <v>16</v>
      </c>
      <c r="J10" s="2">
        <v>32</v>
      </c>
      <c r="K10" s="148">
        <v>870</v>
      </c>
      <c r="L10" s="2">
        <f>(J10*Calc_Moores_Law!R$42)/Z$4</f>
        <v>274.87790694400002</v>
      </c>
      <c r="M10">
        <v>21.1</v>
      </c>
      <c r="N10" s="583">
        <f>N11</f>
        <v>6000</v>
      </c>
      <c r="O10">
        <v>815</v>
      </c>
      <c r="P10">
        <v>1</v>
      </c>
      <c r="Q10" s="24">
        <f t="shared" ref="Q10:Q32" si="2">(M10*1000/O10)/P10</f>
        <v>25.889570552147241</v>
      </c>
      <c r="R10" s="2">
        <v>300</v>
      </c>
      <c r="S10" s="6">
        <v>7.8</v>
      </c>
      <c r="T10">
        <v>15.7</v>
      </c>
      <c r="U10" s="148">
        <v>125</v>
      </c>
      <c r="V10" s="118" t="s">
        <v>45</v>
      </c>
      <c r="W10" s="12">
        <f t="shared" ref="W10:W32" si="3">S10/R10</f>
        <v>2.5999999999999999E-2</v>
      </c>
      <c r="X10" s="25">
        <f>U10/R10</f>
        <v>0.41666666666666669</v>
      </c>
      <c r="Y10">
        <f t="shared" ref="Y10:Y60" si="4">Y9+1</f>
        <v>2</v>
      </c>
    </row>
    <row r="11" spans="1:30" x14ac:dyDescent="0.35">
      <c r="B11">
        <f t="shared" si="0"/>
        <v>3</v>
      </c>
      <c r="C11" s="23" t="s">
        <v>1525</v>
      </c>
      <c r="D11">
        <v>2020</v>
      </c>
      <c r="E11" t="s">
        <v>415</v>
      </c>
      <c r="F11">
        <v>1</v>
      </c>
      <c r="G11">
        <v>7</v>
      </c>
      <c r="H11" t="s">
        <v>1484</v>
      </c>
      <c r="I11" s="148">
        <f t="shared" si="1"/>
        <v>20</v>
      </c>
      <c r="J11" s="2">
        <v>40</v>
      </c>
      <c r="K11" s="148">
        <v>1555</v>
      </c>
      <c r="L11" s="2">
        <f>(J11*Calc_Moores_Law!R$42)/Z$4</f>
        <v>343.59738368000001</v>
      </c>
      <c r="M11" s="24">
        <v>54.2</v>
      </c>
      <c r="N11" s="214">
        <v>6000</v>
      </c>
      <c r="O11">
        <v>826</v>
      </c>
      <c r="P11">
        <v>1</v>
      </c>
      <c r="Q11" s="24">
        <f t="shared" si="2"/>
        <v>65.617433414043589</v>
      </c>
      <c r="R11" s="2">
        <v>240</v>
      </c>
      <c r="S11" s="6">
        <v>20</v>
      </c>
      <c r="T11" s="2">
        <v>80</v>
      </c>
      <c r="U11" s="148">
        <v>312</v>
      </c>
      <c r="V11" s="118" t="s">
        <v>45</v>
      </c>
      <c r="W11" s="12">
        <f t="shared" si="3"/>
        <v>8.3333333333333329E-2</v>
      </c>
      <c r="X11" s="25">
        <f t="shared" ref="X11:X21" si="5">U11/R11</f>
        <v>1.3</v>
      </c>
      <c r="Y11">
        <f t="shared" si="4"/>
        <v>3</v>
      </c>
    </row>
    <row r="12" spans="1:30" x14ac:dyDescent="0.35">
      <c r="B12">
        <f t="shared" si="0"/>
        <v>4</v>
      </c>
      <c r="C12" s="23" t="s">
        <v>49</v>
      </c>
      <c r="D12">
        <v>2022</v>
      </c>
      <c r="E12" t="s">
        <v>415</v>
      </c>
      <c r="F12">
        <v>1</v>
      </c>
      <c r="G12">
        <v>4</v>
      </c>
      <c r="H12" t="s">
        <v>1484</v>
      </c>
      <c r="I12" s="148">
        <f t="shared" si="1"/>
        <v>40</v>
      </c>
      <c r="J12" s="2">
        <v>80</v>
      </c>
      <c r="K12" s="148">
        <v>3350</v>
      </c>
      <c r="L12" s="2">
        <f>(J12*Calc_Moores_Law!R$42)/Z$4</f>
        <v>687.19476736000001</v>
      </c>
      <c r="M12">
        <v>80</v>
      </c>
      <c r="N12" s="214">
        <v>33000</v>
      </c>
      <c r="O12">
        <v>814</v>
      </c>
      <c r="P12">
        <v>1</v>
      </c>
      <c r="Q12" s="24">
        <f t="shared" si="2"/>
        <v>98.280098280098287</v>
      </c>
      <c r="R12" s="2">
        <v>700</v>
      </c>
      <c r="S12" s="6">
        <v>67</v>
      </c>
      <c r="T12" s="2">
        <v>1979</v>
      </c>
      <c r="U12" s="148">
        <v>3958</v>
      </c>
      <c r="V12" s="118" t="s">
        <v>45</v>
      </c>
      <c r="W12" s="12">
        <f>S12/R12</f>
        <v>9.571428571428571E-2</v>
      </c>
      <c r="X12" s="25">
        <f>U12/R12</f>
        <v>5.6542857142857139</v>
      </c>
      <c r="Y12">
        <f t="shared" si="4"/>
        <v>4</v>
      </c>
    </row>
    <row r="13" spans="1:30" x14ac:dyDescent="0.35">
      <c r="B13">
        <f t="shared" si="0"/>
        <v>5</v>
      </c>
      <c r="C13" s="23" t="s">
        <v>763</v>
      </c>
      <c r="D13">
        <v>2024</v>
      </c>
      <c r="E13" t="s">
        <v>415</v>
      </c>
      <c r="F13">
        <v>1</v>
      </c>
      <c r="G13">
        <v>4</v>
      </c>
      <c r="H13" t="s">
        <v>1484</v>
      </c>
      <c r="I13" s="148">
        <f t="shared" si="1"/>
        <v>96</v>
      </c>
      <c r="J13" s="2">
        <v>192</v>
      </c>
      <c r="K13" s="148">
        <v>8000</v>
      </c>
      <c r="L13" s="2">
        <f>(J13*Calc_Moores_Law!R$42)/Z$4</f>
        <v>1649.267441664</v>
      </c>
      <c r="M13">
        <v>208</v>
      </c>
      <c r="N13" s="583">
        <v>32500</v>
      </c>
      <c r="O13" s="7" t="s">
        <v>45</v>
      </c>
      <c r="P13">
        <v>1</v>
      </c>
      <c r="Q13" s="7" t="s">
        <v>45</v>
      </c>
      <c r="R13" s="2">
        <v>700</v>
      </c>
      <c r="S13" s="26" t="s">
        <v>45</v>
      </c>
      <c r="T13" s="2">
        <v>3500</v>
      </c>
      <c r="U13" s="148">
        <v>7000</v>
      </c>
      <c r="V13" s="148">
        <v>14000</v>
      </c>
      <c r="W13" s="101" t="s">
        <v>45</v>
      </c>
      <c r="X13" s="25">
        <f>V13/R13</f>
        <v>20</v>
      </c>
      <c r="Y13">
        <f t="shared" si="4"/>
        <v>5</v>
      </c>
    </row>
    <row r="14" spans="1:30" x14ac:dyDescent="0.35">
      <c r="B14">
        <f t="shared" si="0"/>
        <v>6</v>
      </c>
      <c r="C14" s="23" t="s">
        <v>983</v>
      </c>
      <c r="D14">
        <v>2024</v>
      </c>
      <c r="E14" t="s">
        <v>415</v>
      </c>
      <c r="F14">
        <v>1</v>
      </c>
      <c r="G14">
        <v>4</v>
      </c>
      <c r="H14" t="s">
        <v>1484</v>
      </c>
      <c r="I14" s="148">
        <f t="shared" si="1"/>
        <v>96</v>
      </c>
      <c r="J14" s="2">
        <v>192</v>
      </c>
      <c r="K14" s="148">
        <v>8000</v>
      </c>
      <c r="L14" s="2">
        <f>(J14*Calc_Moores_Law!R$42)/Z$4</f>
        <v>1649.267441664</v>
      </c>
      <c r="M14" s="7" t="s">
        <v>45</v>
      </c>
      <c r="N14" s="583">
        <f>N13</f>
        <v>32500</v>
      </c>
      <c r="O14" s="7" t="s">
        <v>45</v>
      </c>
      <c r="P14" s="7" t="s">
        <v>45</v>
      </c>
      <c r="Q14" s="7" t="s">
        <v>45</v>
      </c>
      <c r="R14" s="2">
        <v>1000</v>
      </c>
      <c r="S14" s="26" t="s">
        <v>45</v>
      </c>
      <c r="T14" s="2">
        <v>4500</v>
      </c>
      <c r="U14" s="148">
        <v>9000</v>
      </c>
      <c r="V14" s="148">
        <v>18000</v>
      </c>
      <c r="W14" s="101" t="s">
        <v>45</v>
      </c>
      <c r="X14" s="25">
        <f>V14/R14</f>
        <v>18</v>
      </c>
      <c r="Y14">
        <f t="shared" si="4"/>
        <v>6</v>
      </c>
    </row>
    <row r="15" spans="1:30" x14ac:dyDescent="0.35">
      <c r="B15">
        <f t="shared" si="0"/>
        <v>7</v>
      </c>
      <c r="C15" s="23" t="s">
        <v>822</v>
      </c>
      <c r="D15">
        <v>2023</v>
      </c>
      <c r="E15" t="s">
        <v>484</v>
      </c>
      <c r="F15">
        <v>2</v>
      </c>
      <c r="G15">
        <v>4</v>
      </c>
      <c r="H15" t="s">
        <v>1484</v>
      </c>
      <c r="I15" s="148">
        <f t="shared" si="1"/>
        <v>312</v>
      </c>
      <c r="J15" s="2">
        <f>480+144</f>
        <v>624</v>
      </c>
      <c r="K15" s="118">
        <v>4000</v>
      </c>
      <c r="L15" s="2">
        <f>(J15*Calc_Moores_Law!R$42)/Z$4</f>
        <v>5360.1191854079998</v>
      </c>
      <c r="M15">
        <v>200</v>
      </c>
      <c r="N15" s="214">
        <v>51000</v>
      </c>
      <c r="O15" s="7">
        <f>O12*2</f>
        <v>1628</v>
      </c>
      <c r="P15" s="7">
        <v>1</v>
      </c>
      <c r="Q15" s="24">
        <f t="shared" si="2"/>
        <v>122.85012285012284</v>
      </c>
      <c r="R15" s="2">
        <v>1000</v>
      </c>
      <c r="S15" s="6">
        <v>67</v>
      </c>
      <c r="T15" s="2">
        <v>1979</v>
      </c>
      <c r="U15" s="148">
        <v>3958</v>
      </c>
      <c r="V15" s="118" t="s">
        <v>45</v>
      </c>
      <c r="W15" s="12">
        <f t="shared" si="3"/>
        <v>6.7000000000000004E-2</v>
      </c>
      <c r="X15" s="25">
        <f>U15/R15</f>
        <v>3.9580000000000002</v>
      </c>
      <c r="Y15">
        <f t="shared" si="4"/>
        <v>7</v>
      </c>
    </row>
    <row r="16" spans="1:30" x14ac:dyDescent="0.35">
      <c r="A16">
        <f>2*J13+480</f>
        <v>864</v>
      </c>
      <c r="B16">
        <f t="shared" si="0"/>
        <v>8</v>
      </c>
      <c r="C16" s="23" t="s">
        <v>821</v>
      </c>
      <c r="D16">
        <v>2024</v>
      </c>
      <c r="E16" t="s">
        <v>484</v>
      </c>
      <c r="F16">
        <v>3</v>
      </c>
      <c r="G16">
        <v>4</v>
      </c>
      <c r="H16" t="s">
        <v>1484</v>
      </c>
      <c r="I16" s="148">
        <f t="shared" si="1"/>
        <v>432</v>
      </c>
      <c r="J16" s="2">
        <f>480+2*J13</f>
        <v>864</v>
      </c>
      <c r="K16" s="118">
        <v>16000</v>
      </c>
      <c r="L16" s="2">
        <f>(J16*Calc_Moores_Law!R$42)/Z$4</f>
        <v>7421.7034874880001</v>
      </c>
      <c r="M16">
        <f>2*M13+(M15-M12)</f>
        <v>536</v>
      </c>
      <c r="N16" s="214">
        <v>65000</v>
      </c>
      <c r="O16" s="7"/>
      <c r="P16" s="7">
        <v>1</v>
      </c>
      <c r="Q16" s="24"/>
      <c r="R16" s="2">
        <v>2700</v>
      </c>
      <c r="S16" s="26">
        <v>180</v>
      </c>
      <c r="T16" s="2">
        <v>10000</v>
      </c>
      <c r="U16" s="148">
        <v>20000</v>
      </c>
      <c r="V16" s="148">
        <v>40000</v>
      </c>
      <c r="W16" s="101" t="s">
        <v>45</v>
      </c>
      <c r="X16" s="25">
        <f>V16/R16</f>
        <v>14.814814814814815</v>
      </c>
      <c r="Y16">
        <f t="shared" si="4"/>
        <v>8</v>
      </c>
    </row>
    <row r="17" spans="2:26" x14ac:dyDescent="0.35">
      <c r="B17">
        <f t="shared" si="0"/>
        <v>9</v>
      </c>
      <c r="C17" s="23" t="s">
        <v>158</v>
      </c>
      <c r="D17">
        <v>2023</v>
      </c>
      <c r="E17" t="s">
        <v>484</v>
      </c>
      <c r="F17">
        <v>13</v>
      </c>
      <c r="G17" s="7" t="s">
        <v>159</v>
      </c>
      <c r="H17" t="s">
        <v>1484</v>
      </c>
      <c r="I17" s="148">
        <f t="shared" si="1"/>
        <v>64</v>
      </c>
      <c r="J17" s="2">
        <v>128</v>
      </c>
      <c r="K17" s="118">
        <v>5200</v>
      </c>
      <c r="L17" s="2">
        <f>(J17*Calc_Moores_Law!R$42)/Z$4</f>
        <v>1099.5116277760001</v>
      </c>
      <c r="M17">
        <v>146</v>
      </c>
      <c r="N17" s="583" t="s">
        <v>45</v>
      </c>
      <c r="O17">
        <v>1017</v>
      </c>
      <c r="P17">
        <v>2</v>
      </c>
      <c r="Q17" s="24">
        <f t="shared" si="2"/>
        <v>71.779744346116033</v>
      </c>
      <c r="R17" s="2">
        <v>600</v>
      </c>
      <c r="S17" s="6">
        <v>48</v>
      </c>
      <c r="T17" s="2">
        <v>383</v>
      </c>
      <c r="U17" s="118">
        <f>T17</f>
        <v>383</v>
      </c>
      <c r="V17" s="118" t="s">
        <v>45</v>
      </c>
      <c r="W17" s="12">
        <f t="shared" si="3"/>
        <v>0.08</v>
      </c>
      <c r="X17" s="25">
        <f>U17/R17</f>
        <v>0.63833333333333331</v>
      </c>
      <c r="Y17">
        <f t="shared" si="4"/>
        <v>9</v>
      </c>
    </row>
    <row r="18" spans="2:26" x14ac:dyDescent="0.35">
      <c r="B18">
        <f t="shared" si="0"/>
        <v>10</v>
      </c>
      <c r="C18" s="23" t="s">
        <v>635</v>
      </c>
      <c r="D18">
        <v>2022</v>
      </c>
      <c r="E18" t="s">
        <v>806</v>
      </c>
      <c r="F18">
        <v>1</v>
      </c>
      <c r="G18" s="7">
        <v>7</v>
      </c>
      <c r="H18" t="s">
        <v>1484</v>
      </c>
      <c r="I18" s="148">
        <f t="shared" si="1"/>
        <v>48</v>
      </c>
      <c r="J18" s="2">
        <v>96</v>
      </c>
      <c r="K18" s="118">
        <v>2450</v>
      </c>
      <c r="L18" s="2">
        <f>(J18*Calc_Moores_Law!R$42)/Z$4</f>
        <v>824.63372083199999</v>
      </c>
      <c r="M18" s="7" t="s">
        <v>45</v>
      </c>
      <c r="N18" s="583" t="s">
        <v>45</v>
      </c>
      <c r="O18" s="7" t="s">
        <v>45</v>
      </c>
      <c r="P18" s="7" t="s">
        <v>45</v>
      </c>
      <c r="Q18" s="100" t="s">
        <v>45</v>
      </c>
      <c r="R18" s="2">
        <v>600</v>
      </c>
      <c r="S18" s="7" t="s">
        <v>45</v>
      </c>
      <c r="T18" s="7" t="s">
        <v>45</v>
      </c>
      <c r="U18" s="118">
        <f>U11*2</f>
        <v>624</v>
      </c>
      <c r="V18" s="118" t="s">
        <v>45</v>
      </c>
      <c r="W18" s="101" t="s">
        <v>45</v>
      </c>
      <c r="X18" s="25">
        <f>U18/R18</f>
        <v>1.04</v>
      </c>
      <c r="Y18">
        <f t="shared" si="4"/>
        <v>10</v>
      </c>
    </row>
    <row r="19" spans="2:26" x14ac:dyDescent="0.35">
      <c r="B19">
        <f t="shared" si="0"/>
        <v>11</v>
      </c>
      <c r="C19" s="23" t="s">
        <v>804</v>
      </c>
      <c r="D19">
        <v>2024</v>
      </c>
      <c r="E19" t="s">
        <v>806</v>
      </c>
      <c r="F19">
        <v>1</v>
      </c>
      <c r="G19" s="7">
        <v>5</v>
      </c>
      <c r="H19" t="s">
        <v>1484</v>
      </c>
      <c r="I19" s="148">
        <f t="shared" si="1"/>
        <v>64</v>
      </c>
      <c r="J19" s="2">
        <v>128</v>
      </c>
      <c r="K19" s="118">
        <v>3700</v>
      </c>
      <c r="L19" s="2">
        <f>(J19*Calc_Moores_Law!R$42)/Z$4</f>
        <v>1099.5116277760001</v>
      </c>
      <c r="M19" s="7" t="s">
        <v>45</v>
      </c>
      <c r="N19" s="583" t="s">
        <v>45</v>
      </c>
      <c r="O19" s="7" t="s">
        <v>45</v>
      </c>
      <c r="P19" s="7" t="s">
        <v>45</v>
      </c>
      <c r="Q19" s="100" t="s">
        <v>45</v>
      </c>
      <c r="R19" s="34">
        <v>900</v>
      </c>
      <c r="S19" s="7" t="s">
        <v>45</v>
      </c>
      <c r="T19" s="7" t="s">
        <v>45</v>
      </c>
      <c r="U19" s="118">
        <v>1835</v>
      </c>
      <c r="V19" s="118" t="s">
        <v>45</v>
      </c>
      <c r="W19" s="101" t="s">
        <v>45</v>
      </c>
      <c r="X19" s="25">
        <f>U19/R19</f>
        <v>2.0388888888888888</v>
      </c>
      <c r="Y19">
        <f t="shared" si="4"/>
        <v>11</v>
      </c>
    </row>
    <row r="20" spans="2:26" x14ac:dyDescent="0.35">
      <c r="B20">
        <f t="shared" si="0"/>
        <v>12</v>
      </c>
      <c r="C20" s="23" t="s">
        <v>616</v>
      </c>
      <c r="D20">
        <v>2021</v>
      </c>
      <c r="E20" t="s">
        <v>415</v>
      </c>
      <c r="F20">
        <v>1</v>
      </c>
      <c r="G20" s="7">
        <v>7</v>
      </c>
      <c r="H20" t="s">
        <v>1484</v>
      </c>
      <c r="I20" s="148">
        <f t="shared" si="1"/>
        <v>16</v>
      </c>
      <c r="J20" s="2">
        <v>32</v>
      </c>
      <c r="K20" s="118">
        <v>1200</v>
      </c>
      <c r="L20" s="2">
        <f>(J20*Calc_Moores_Law!R$42)/Z$4</f>
        <v>274.87790694400002</v>
      </c>
      <c r="M20">
        <v>31</v>
      </c>
      <c r="N20" s="583">
        <f>N11*(2/3)</f>
        <v>4000</v>
      </c>
      <c r="O20">
        <v>780</v>
      </c>
      <c r="P20">
        <v>1</v>
      </c>
      <c r="Q20" s="24">
        <f>(M20*1000/O20)/P20</f>
        <v>39.743589743589745</v>
      </c>
      <c r="R20" s="2">
        <v>192</v>
      </c>
      <c r="S20" s="7" t="s">
        <v>45</v>
      </c>
      <c r="T20" s="7" t="s">
        <v>45</v>
      </c>
      <c r="U20" s="118">
        <v>275</v>
      </c>
      <c r="V20" s="118" t="s">
        <v>45</v>
      </c>
      <c r="W20" s="101" t="s">
        <v>45</v>
      </c>
      <c r="X20" s="25">
        <f t="shared" si="5"/>
        <v>1.4322916666666667</v>
      </c>
      <c r="Y20">
        <f t="shared" si="4"/>
        <v>12</v>
      </c>
    </row>
    <row r="21" spans="2:26" x14ac:dyDescent="0.35">
      <c r="B21">
        <f t="shared" si="0"/>
        <v>13</v>
      </c>
      <c r="C21" s="23" t="s">
        <v>620</v>
      </c>
      <c r="D21">
        <v>2020</v>
      </c>
      <c r="E21" t="s">
        <v>1109</v>
      </c>
      <c r="F21">
        <v>1</v>
      </c>
      <c r="G21" s="7">
        <v>7</v>
      </c>
      <c r="H21" t="s">
        <v>1484</v>
      </c>
      <c r="I21" s="148">
        <f t="shared" si="1"/>
        <v>4</v>
      </c>
      <c r="J21" s="2">
        <v>8</v>
      </c>
      <c r="K21" s="118">
        <v>614</v>
      </c>
      <c r="L21" s="2">
        <f>(J21*Calc_Moores_Law!R$42)/Z$4</f>
        <v>68.719476736000004</v>
      </c>
      <c r="M21">
        <v>16</v>
      </c>
      <c r="N21" s="583" t="s">
        <v>45</v>
      </c>
      <c r="O21">
        <v>400</v>
      </c>
      <c r="P21">
        <v>1</v>
      </c>
      <c r="Q21" s="24">
        <f>(M21*1000/O21)/P21</f>
        <v>40</v>
      </c>
      <c r="R21" s="2">
        <v>175</v>
      </c>
      <c r="S21" s="7" t="s">
        <v>45</v>
      </c>
      <c r="T21" s="7" t="s">
        <v>45</v>
      </c>
      <c r="U21" s="118">
        <v>138</v>
      </c>
      <c r="V21" s="118" t="s">
        <v>45</v>
      </c>
      <c r="W21" s="101" t="s">
        <v>45</v>
      </c>
      <c r="X21" s="25">
        <f t="shared" si="5"/>
        <v>0.78857142857142859</v>
      </c>
      <c r="Y21">
        <f t="shared" si="4"/>
        <v>13</v>
      </c>
    </row>
    <row r="22" spans="2:26" x14ac:dyDescent="0.35">
      <c r="B22">
        <f t="shared" si="0"/>
        <v>14</v>
      </c>
      <c r="C22" s="23" t="s">
        <v>610</v>
      </c>
      <c r="D22">
        <v>2023</v>
      </c>
      <c r="E22" t="s">
        <v>415</v>
      </c>
      <c r="F22" s="7" t="s">
        <v>45</v>
      </c>
      <c r="G22" s="7">
        <v>5</v>
      </c>
      <c r="H22" t="s">
        <v>1484</v>
      </c>
      <c r="I22" s="148">
        <f t="shared" si="1"/>
        <v>8</v>
      </c>
      <c r="J22" s="2">
        <v>16</v>
      </c>
      <c r="K22" s="118">
        <v>819</v>
      </c>
      <c r="L22" s="2">
        <f>(J22*Calc_Moores_Law!R$42)/Z$4</f>
        <v>137.43895347200001</v>
      </c>
      <c r="M22" s="7" t="s">
        <v>45</v>
      </c>
      <c r="N22" s="583" t="s">
        <v>45</v>
      </c>
      <c r="O22" s="7">
        <v>350</v>
      </c>
      <c r="P22">
        <v>1</v>
      </c>
      <c r="Q22" s="7" t="s">
        <v>45</v>
      </c>
      <c r="R22" s="7" t="s">
        <v>45</v>
      </c>
      <c r="S22" s="7" t="s">
        <v>45</v>
      </c>
      <c r="T22" s="7" t="s">
        <v>45</v>
      </c>
      <c r="U22" s="118">
        <v>393</v>
      </c>
      <c r="V22" s="118" t="s">
        <v>45</v>
      </c>
      <c r="W22" s="101" t="s">
        <v>45</v>
      </c>
      <c r="X22" s="94" t="s">
        <v>45</v>
      </c>
      <c r="Y22">
        <f t="shared" si="4"/>
        <v>14</v>
      </c>
    </row>
    <row r="23" spans="2:26" x14ac:dyDescent="0.35">
      <c r="B23">
        <f t="shared" si="0"/>
        <v>15</v>
      </c>
      <c r="C23" s="23" t="s">
        <v>1380</v>
      </c>
      <c r="D23" s="7" t="s">
        <v>830</v>
      </c>
      <c r="E23" t="s">
        <v>415</v>
      </c>
      <c r="F23" s="7">
        <v>1</v>
      </c>
      <c r="G23" s="7">
        <v>4</v>
      </c>
      <c r="H23" t="s">
        <v>1484</v>
      </c>
      <c r="I23" s="148">
        <f t="shared" si="1"/>
        <v>16</v>
      </c>
      <c r="J23" s="2">
        <v>32</v>
      </c>
      <c r="K23" s="118">
        <v>1640</v>
      </c>
      <c r="L23" s="2">
        <f>(J23*Calc_Moores_Law!R$42)/Z$4</f>
        <v>274.87790694400002</v>
      </c>
      <c r="M23" s="7" t="s">
        <v>45</v>
      </c>
      <c r="N23" s="583" t="s">
        <v>45</v>
      </c>
      <c r="O23" s="7">
        <v>790</v>
      </c>
      <c r="P23">
        <v>1</v>
      </c>
      <c r="Q23" s="7" t="s">
        <v>45</v>
      </c>
      <c r="R23" s="7" t="s">
        <v>45</v>
      </c>
      <c r="S23" s="7" t="s">
        <v>45</v>
      </c>
      <c r="T23" s="7">
        <v>926</v>
      </c>
      <c r="U23" s="118">
        <v>1852</v>
      </c>
      <c r="V23" s="118" t="s">
        <v>45</v>
      </c>
      <c r="W23" s="101" t="s">
        <v>45</v>
      </c>
      <c r="X23" s="94" t="s">
        <v>45</v>
      </c>
      <c r="Y23">
        <f t="shared" si="4"/>
        <v>15</v>
      </c>
    </row>
    <row r="24" spans="2:26" x14ac:dyDescent="0.35">
      <c r="B24">
        <f t="shared" si="0"/>
        <v>16</v>
      </c>
      <c r="C24" s="23" t="s">
        <v>613</v>
      </c>
      <c r="D24">
        <v>2022</v>
      </c>
      <c r="E24" t="s">
        <v>619</v>
      </c>
      <c r="F24" s="7" t="s">
        <v>45</v>
      </c>
      <c r="G24" s="7" t="s">
        <v>45</v>
      </c>
      <c r="H24" s="7" t="s">
        <v>45</v>
      </c>
      <c r="I24" s="148">
        <f t="shared" si="1"/>
        <v>16</v>
      </c>
      <c r="J24" s="2">
        <v>32</v>
      </c>
      <c r="K24" s="118">
        <v>820</v>
      </c>
      <c r="L24" s="2">
        <f>(J24*Calc_Moores_Law!R$42)/Z$4</f>
        <v>274.87790694400002</v>
      </c>
      <c r="M24" s="7" t="s">
        <v>45</v>
      </c>
      <c r="N24" s="583" t="s">
        <v>45</v>
      </c>
      <c r="O24" s="7" t="s">
        <v>45</v>
      </c>
      <c r="P24" s="7" t="s">
        <v>45</v>
      </c>
      <c r="Q24" s="7" t="s">
        <v>45</v>
      </c>
      <c r="R24" s="7" t="s">
        <v>45</v>
      </c>
      <c r="S24" s="7">
        <v>47.5</v>
      </c>
      <c r="T24" s="2">
        <v>190</v>
      </c>
      <c r="U24" s="118">
        <v>380</v>
      </c>
      <c r="V24" s="118" t="s">
        <v>45</v>
      </c>
      <c r="W24" s="101" t="s">
        <v>45</v>
      </c>
      <c r="X24" s="94" t="s">
        <v>45</v>
      </c>
      <c r="Y24">
        <f t="shared" si="4"/>
        <v>16</v>
      </c>
    </row>
    <row r="25" spans="2:26" x14ac:dyDescent="0.35">
      <c r="B25">
        <f t="shared" si="0"/>
        <v>17</v>
      </c>
      <c r="C25" s="23" t="s">
        <v>1503</v>
      </c>
      <c r="D25" s="7" t="s">
        <v>1504</v>
      </c>
      <c r="E25" t="s">
        <v>619</v>
      </c>
      <c r="F25" s="7" t="s">
        <v>45</v>
      </c>
      <c r="G25" s="7" t="s">
        <v>45</v>
      </c>
      <c r="H25" s="7" t="s">
        <v>45</v>
      </c>
      <c r="I25" s="148">
        <f t="shared" si="1"/>
        <v>48</v>
      </c>
      <c r="J25" s="2">
        <v>96</v>
      </c>
      <c r="K25" s="118" t="s">
        <v>45</v>
      </c>
      <c r="L25" s="7" t="s">
        <v>45</v>
      </c>
      <c r="M25" s="7" t="s">
        <v>45</v>
      </c>
      <c r="N25" s="583" t="s">
        <v>45</v>
      </c>
      <c r="O25" s="7" t="s">
        <v>45</v>
      </c>
      <c r="P25" s="7" t="s">
        <v>45</v>
      </c>
      <c r="Q25" s="7" t="s">
        <v>45</v>
      </c>
      <c r="R25" s="7" t="s">
        <v>45</v>
      </c>
      <c r="S25" s="7" t="s">
        <v>45</v>
      </c>
      <c r="T25" s="7" t="s">
        <v>45</v>
      </c>
      <c r="U25" s="118">
        <v>650</v>
      </c>
      <c r="V25" s="118" t="s">
        <v>45</v>
      </c>
      <c r="W25" s="101" t="s">
        <v>45</v>
      </c>
      <c r="X25" s="94" t="s">
        <v>45</v>
      </c>
      <c r="Y25">
        <f t="shared" si="4"/>
        <v>17</v>
      </c>
    </row>
    <row r="26" spans="2:26" x14ac:dyDescent="0.35">
      <c r="B26">
        <f t="shared" si="0"/>
        <v>18</v>
      </c>
      <c r="C26" s="23" t="s">
        <v>627</v>
      </c>
      <c r="D26">
        <v>2021</v>
      </c>
      <c r="E26" t="s">
        <v>415</v>
      </c>
      <c r="F26" s="7">
        <v>1</v>
      </c>
      <c r="G26" s="7">
        <v>7</v>
      </c>
      <c r="H26" s="7" t="s">
        <v>45</v>
      </c>
      <c r="I26" s="148">
        <f t="shared" si="1"/>
        <v>32</v>
      </c>
      <c r="J26" s="2">
        <v>64</v>
      </c>
      <c r="K26" s="118">
        <v>176</v>
      </c>
      <c r="L26" s="2">
        <f>(J26*Calc_Moores_Law!R$42)/Z$4</f>
        <v>549.75581388800003</v>
      </c>
      <c r="M26" s="7" t="s">
        <v>45</v>
      </c>
      <c r="N26" s="583" t="s">
        <v>45</v>
      </c>
      <c r="O26" s="7">
        <v>373</v>
      </c>
      <c r="P26" s="7">
        <v>1</v>
      </c>
      <c r="Q26" s="7" t="s">
        <v>45</v>
      </c>
      <c r="R26" s="7">
        <v>25</v>
      </c>
      <c r="S26" s="7"/>
      <c r="T26" s="2">
        <v>51.2</v>
      </c>
      <c r="U26" s="118">
        <v>102.4</v>
      </c>
      <c r="V26" s="118" t="s">
        <v>45</v>
      </c>
      <c r="W26" s="101"/>
      <c r="X26" s="25">
        <f>U26/R26</f>
        <v>4.0960000000000001</v>
      </c>
      <c r="Y26">
        <f t="shared" si="4"/>
        <v>18</v>
      </c>
    </row>
    <row r="27" spans="2:26" x14ac:dyDescent="0.35">
      <c r="B27">
        <f t="shared" si="0"/>
        <v>19</v>
      </c>
      <c r="C27" s="23" t="s">
        <v>1110</v>
      </c>
      <c r="D27">
        <v>2024</v>
      </c>
      <c r="E27" t="s">
        <v>415</v>
      </c>
      <c r="F27" s="7" t="s">
        <v>45</v>
      </c>
      <c r="G27" s="7">
        <v>5</v>
      </c>
      <c r="H27" s="7" t="s">
        <v>45</v>
      </c>
      <c r="I27" s="118" t="s">
        <v>45</v>
      </c>
      <c r="J27" s="34" t="s">
        <v>45</v>
      </c>
      <c r="K27" s="118" t="s">
        <v>45</v>
      </c>
      <c r="L27" s="34" t="s">
        <v>45</v>
      </c>
      <c r="M27" s="7" t="s">
        <v>45</v>
      </c>
      <c r="N27" s="583" t="s">
        <v>45</v>
      </c>
      <c r="O27" s="7" t="s">
        <v>45</v>
      </c>
      <c r="P27" s="7" t="s">
        <v>45</v>
      </c>
      <c r="Q27" s="7" t="s">
        <v>45</v>
      </c>
      <c r="R27" s="7" t="s">
        <v>45</v>
      </c>
      <c r="S27" s="7" t="s">
        <v>45</v>
      </c>
      <c r="T27" s="34" t="s">
        <v>45</v>
      </c>
      <c r="U27" s="118" t="s">
        <v>45</v>
      </c>
      <c r="V27" s="118" t="s">
        <v>45</v>
      </c>
      <c r="W27" s="101" t="s">
        <v>45</v>
      </c>
      <c r="X27" s="94" t="s">
        <v>45</v>
      </c>
      <c r="Y27">
        <f t="shared" si="4"/>
        <v>19</v>
      </c>
    </row>
    <row r="28" spans="2:26" x14ac:dyDescent="0.35">
      <c r="B28">
        <f t="shared" si="0"/>
        <v>20</v>
      </c>
      <c r="C28" s="23" t="s">
        <v>30</v>
      </c>
      <c r="D28">
        <v>2022</v>
      </c>
      <c r="E28" t="s">
        <v>36</v>
      </c>
      <c r="F28">
        <v>1</v>
      </c>
      <c r="G28">
        <v>7</v>
      </c>
      <c r="H28" t="s">
        <v>1484</v>
      </c>
      <c r="I28" s="148">
        <f>J28*(1/I$3)</f>
        <v>2.3866666666666667</v>
      </c>
      <c r="J28" s="34">
        <f>AI_Supercomputers!M17/AI_Supercomputers!I17</f>
        <v>4.7733333333333334</v>
      </c>
      <c r="K28" s="118">
        <v>4000</v>
      </c>
      <c r="L28" s="34" t="s">
        <v>45</v>
      </c>
      <c r="M28">
        <v>50</v>
      </c>
      <c r="N28" s="583" t="s">
        <v>45</v>
      </c>
      <c r="O28">
        <v>645</v>
      </c>
      <c r="P28">
        <v>1</v>
      </c>
      <c r="Q28" s="24">
        <f t="shared" si="2"/>
        <v>77.519379844961236</v>
      </c>
      <c r="R28" s="2">
        <v>400</v>
      </c>
      <c r="S28" s="6">
        <v>22.6</v>
      </c>
      <c r="T28" s="7" t="s">
        <v>45</v>
      </c>
      <c r="U28" s="148">
        <v>362</v>
      </c>
      <c r="V28" s="118" t="s">
        <v>45</v>
      </c>
      <c r="W28" s="12">
        <f>S28/R28</f>
        <v>5.6500000000000002E-2</v>
      </c>
      <c r="X28" s="25">
        <f>U28/R28</f>
        <v>0.90500000000000003</v>
      </c>
      <c r="Y28">
        <f t="shared" si="4"/>
        <v>20</v>
      </c>
    </row>
    <row r="29" spans="2:26" x14ac:dyDescent="0.35">
      <c r="B29">
        <f t="shared" si="0"/>
        <v>21</v>
      </c>
      <c r="C29" s="23" t="s">
        <v>53</v>
      </c>
      <c r="D29">
        <v>2021</v>
      </c>
      <c r="E29" t="s">
        <v>36</v>
      </c>
      <c r="F29">
        <v>1</v>
      </c>
      <c r="G29">
        <v>7</v>
      </c>
      <c r="H29" t="s">
        <v>1484</v>
      </c>
      <c r="I29" s="148">
        <f>J29*(1/I$3)</f>
        <v>640.625</v>
      </c>
      <c r="J29" s="34">
        <f>AI_Supercomputers!M31/AI_Supercomputers!I31</f>
        <v>1281.25</v>
      </c>
      <c r="K29" s="118" t="s">
        <v>45</v>
      </c>
      <c r="L29" s="2">
        <f>(J29*Calc_Moores_Law!R$42)/Z$4</f>
        <v>11005.853696</v>
      </c>
      <c r="M29" s="2">
        <v>2600</v>
      </c>
      <c r="N29" s="214">
        <v>1500000</v>
      </c>
      <c r="O29" s="2">
        <v>46225</v>
      </c>
      <c r="P29" s="2">
        <v>1</v>
      </c>
      <c r="Q29" s="24">
        <f>(M29*1000/O29)/P29</f>
        <v>56.246619794483507</v>
      </c>
      <c r="R29" s="2">
        <v>23000</v>
      </c>
      <c r="S29" s="26" t="s">
        <v>45</v>
      </c>
      <c r="T29" s="34">
        <f>AI_Supercomputers!Q31/AI_Supercomputers!I31</f>
        <v>62500</v>
      </c>
      <c r="U29" s="118" t="s">
        <v>45</v>
      </c>
      <c r="V29" s="118" t="s">
        <v>45</v>
      </c>
      <c r="W29" s="101" t="s">
        <v>45</v>
      </c>
      <c r="X29" s="25">
        <f>T29/R29</f>
        <v>2.7173913043478262</v>
      </c>
      <c r="Y29">
        <f t="shared" si="4"/>
        <v>21</v>
      </c>
    </row>
    <row r="30" spans="2:26" ht="15" thickBot="1" x14ac:dyDescent="0.4">
      <c r="B30">
        <f t="shared" si="0"/>
        <v>22</v>
      </c>
      <c r="C30" s="23" t="s">
        <v>726</v>
      </c>
      <c r="D30">
        <v>2024</v>
      </c>
      <c r="E30" t="s">
        <v>36</v>
      </c>
      <c r="F30">
        <v>1</v>
      </c>
      <c r="G30">
        <v>5</v>
      </c>
      <c r="H30" t="s">
        <v>1484</v>
      </c>
      <c r="I30" s="148">
        <f>J30*(1/I$3)</f>
        <v>9375</v>
      </c>
      <c r="J30" s="34">
        <f>AI_Supercomputers!M32/AI_Supercomputers!I32</f>
        <v>18750</v>
      </c>
      <c r="K30" s="118" t="s">
        <v>45</v>
      </c>
      <c r="L30" s="2"/>
      <c r="M30" s="2">
        <v>4000</v>
      </c>
      <c r="N30" s="214">
        <f>N29</f>
        <v>1500000</v>
      </c>
      <c r="O30" s="2">
        <v>46225</v>
      </c>
      <c r="P30" s="2">
        <v>1</v>
      </c>
      <c r="Q30" s="24">
        <f>(M30*1000/O30)/P30</f>
        <v>86.53326122228232</v>
      </c>
      <c r="R30" s="2">
        <f>R29</f>
        <v>23000</v>
      </c>
      <c r="S30" s="26" t="s">
        <v>45</v>
      </c>
      <c r="T30" s="34">
        <v>125000</v>
      </c>
      <c r="U30" s="118" t="s">
        <v>45</v>
      </c>
      <c r="V30" s="118" t="s">
        <v>45</v>
      </c>
      <c r="W30" s="101" t="s">
        <v>45</v>
      </c>
      <c r="X30" s="25">
        <f>T30/R30</f>
        <v>5.4347826086956523</v>
      </c>
      <c r="Y30">
        <f t="shared" si="4"/>
        <v>22</v>
      </c>
    </row>
    <row r="31" spans="2:26" ht="15" thickTop="1" x14ac:dyDescent="0.35">
      <c r="B31">
        <f t="shared" si="0"/>
        <v>23</v>
      </c>
      <c r="C31" s="702" t="s">
        <v>1544</v>
      </c>
      <c r="D31" s="713"/>
      <c r="E31" s="713"/>
      <c r="F31" s="713"/>
      <c r="G31" s="713"/>
      <c r="H31" s="713"/>
      <c r="I31" s="714"/>
      <c r="J31" s="715"/>
      <c r="K31" s="715"/>
      <c r="L31" s="714"/>
      <c r="M31" s="714"/>
      <c r="N31" s="716"/>
      <c r="O31" s="714"/>
      <c r="P31" s="714"/>
      <c r="Q31" s="717"/>
      <c r="R31" s="714"/>
      <c r="S31" s="718"/>
      <c r="T31" s="715"/>
      <c r="U31" s="715"/>
      <c r="V31" s="715"/>
      <c r="W31" s="719"/>
      <c r="X31" s="720"/>
      <c r="Y31">
        <f t="shared" si="4"/>
        <v>23</v>
      </c>
    </row>
    <row r="32" spans="2:26" x14ac:dyDescent="0.35">
      <c r="B32">
        <f t="shared" si="0"/>
        <v>24</v>
      </c>
      <c r="C32" s="23" t="s">
        <v>1493</v>
      </c>
      <c r="D32" s="124">
        <v>2019</v>
      </c>
      <c r="E32" t="s">
        <v>284</v>
      </c>
      <c r="F32">
        <v>1</v>
      </c>
      <c r="G32">
        <v>14</v>
      </c>
      <c r="H32" s="37" t="s">
        <v>1485</v>
      </c>
      <c r="I32" s="184">
        <f t="shared" ref="I32:I39" si="6">J32*(1/Q$88)</f>
        <v>1.3106666666666666</v>
      </c>
      <c r="J32" s="34">
        <v>32</v>
      </c>
      <c r="K32" s="148">
        <v>63.58</v>
      </c>
      <c r="L32" s="2">
        <f>(J32*Calc_Moores_Law!R$42)/Z$4</f>
        <v>274.87790694400002</v>
      </c>
      <c r="M32">
        <v>6</v>
      </c>
      <c r="N32" s="214">
        <v>1200</v>
      </c>
      <c r="O32">
        <v>260</v>
      </c>
      <c r="P32">
        <v>1</v>
      </c>
      <c r="Q32" s="24">
        <f t="shared" si="2"/>
        <v>23.076923076923077</v>
      </c>
      <c r="R32" s="2">
        <v>36</v>
      </c>
      <c r="S32" s="90">
        <v>0.6</v>
      </c>
      <c r="T32" s="7" t="s">
        <v>45</v>
      </c>
      <c r="U32" s="148">
        <v>37</v>
      </c>
      <c r="V32" s="118" t="s">
        <v>45</v>
      </c>
      <c r="W32" s="12">
        <f t="shared" si="3"/>
        <v>1.6666666666666666E-2</v>
      </c>
      <c r="X32" s="25">
        <f>U32/R32</f>
        <v>1.0277777777777777</v>
      </c>
      <c r="Y32">
        <f t="shared" si="4"/>
        <v>24</v>
      </c>
      <c r="Z32" t="s">
        <v>1679</v>
      </c>
    </row>
    <row r="33" spans="2:27" x14ac:dyDescent="0.35">
      <c r="B33">
        <f t="shared" si="0"/>
        <v>25</v>
      </c>
      <c r="C33" s="23" t="s">
        <v>1494</v>
      </c>
      <c r="D33" s="124">
        <v>2023</v>
      </c>
      <c r="E33" t="str">
        <f>E32</f>
        <v>SoC / AI inference, vision</v>
      </c>
      <c r="F33" s="7" t="s">
        <v>45</v>
      </c>
      <c r="G33" s="7" t="s">
        <v>45</v>
      </c>
      <c r="H33" s="37" t="s">
        <v>1485</v>
      </c>
      <c r="I33" s="184">
        <f t="shared" si="6"/>
        <v>5.2426666666666666</v>
      </c>
      <c r="J33" s="34">
        <v>128</v>
      </c>
      <c r="K33" s="118">
        <f>K39</f>
        <v>204.8</v>
      </c>
      <c r="L33" s="2">
        <f>(J33*Calc_Moores_Law!R$42)/Z$4</f>
        <v>1099.5116277760001</v>
      </c>
      <c r="M33">
        <f>M32*(U33/U32)</f>
        <v>30</v>
      </c>
      <c r="N33" s="214">
        <v>1800</v>
      </c>
      <c r="O33" s="7" t="s">
        <v>45</v>
      </c>
      <c r="P33" s="7" t="s">
        <v>45</v>
      </c>
      <c r="Q33" s="100" t="s">
        <v>45</v>
      </c>
      <c r="R33" s="34">
        <v>100</v>
      </c>
      <c r="S33" s="26" t="s">
        <v>45</v>
      </c>
      <c r="T33" s="34" t="s">
        <v>45</v>
      </c>
      <c r="U33" s="148">
        <f>U32*5</f>
        <v>185</v>
      </c>
      <c r="V33" s="118" t="s">
        <v>45</v>
      </c>
      <c r="W33" s="101" t="s">
        <v>45</v>
      </c>
      <c r="X33" s="25">
        <f>U33/R33</f>
        <v>1.85</v>
      </c>
      <c r="Y33">
        <f t="shared" si="4"/>
        <v>25</v>
      </c>
      <c r="Z33" t="s">
        <v>1680</v>
      </c>
    </row>
    <row r="34" spans="2:27" x14ac:dyDescent="0.35">
      <c r="B34">
        <f t="shared" si="0"/>
        <v>26</v>
      </c>
      <c r="C34" s="23" t="s">
        <v>1495</v>
      </c>
      <c r="D34" s="314">
        <v>2026</v>
      </c>
      <c r="E34" t="str">
        <f>E32</f>
        <v>SoC / AI inference, vision</v>
      </c>
      <c r="F34" s="7" t="s">
        <v>45</v>
      </c>
      <c r="G34" s="7" t="s">
        <v>45</v>
      </c>
      <c r="H34" s="37" t="s">
        <v>1483</v>
      </c>
      <c r="I34" s="184">
        <f t="shared" si="6"/>
        <v>20.970666666666666</v>
      </c>
      <c r="J34" s="34">
        <v>512</v>
      </c>
      <c r="K34" s="118" t="s">
        <v>45</v>
      </c>
      <c r="L34" s="2">
        <f>(J34*Calc_Moores_Law!R$42)/Z$4</f>
        <v>4398.0465111040003</v>
      </c>
      <c r="M34">
        <f>M32*(U34/U32)</f>
        <v>150</v>
      </c>
      <c r="N34" s="214">
        <f>(J34/1000)*J67+N32</f>
        <v>2224</v>
      </c>
      <c r="O34" s="7" t="s">
        <v>45</v>
      </c>
      <c r="P34" s="7" t="s">
        <v>45</v>
      </c>
      <c r="Q34" s="100" t="s">
        <v>45</v>
      </c>
      <c r="R34" s="34">
        <v>750</v>
      </c>
      <c r="S34" s="26" t="s">
        <v>45</v>
      </c>
      <c r="T34" s="34" t="s">
        <v>45</v>
      </c>
      <c r="U34" s="148">
        <f>V34/2</f>
        <v>925</v>
      </c>
      <c r="V34" s="118">
        <f>U33*10</f>
        <v>1850</v>
      </c>
      <c r="W34" s="101" t="s">
        <v>45</v>
      </c>
      <c r="X34" s="25">
        <f>V34/R34</f>
        <v>2.4666666666666668</v>
      </c>
      <c r="Y34">
        <f t="shared" si="4"/>
        <v>26</v>
      </c>
      <c r="Z34" t="s">
        <v>95</v>
      </c>
    </row>
    <row r="35" spans="2:27" x14ac:dyDescent="0.35">
      <c r="B35">
        <f t="shared" si="0"/>
        <v>27</v>
      </c>
      <c r="C35" s="23" t="s">
        <v>1684</v>
      </c>
      <c r="D35" s="314">
        <v>2022</v>
      </c>
      <c r="E35" t="str">
        <f>E33</f>
        <v>SoC / AI inference, vision</v>
      </c>
      <c r="F35" s="7" t="s">
        <v>45</v>
      </c>
      <c r="G35" s="7">
        <v>8</v>
      </c>
      <c r="H35" t="s">
        <v>1484</v>
      </c>
      <c r="I35" s="184">
        <f t="shared" si="6"/>
        <v>0.32766666666666666</v>
      </c>
      <c r="J35" s="34">
        <v>8</v>
      </c>
      <c r="K35" s="118">
        <v>68</v>
      </c>
      <c r="L35" s="2">
        <f>(J35*Calc_Moores_Law!R$42)/Z$4</f>
        <v>68.719476736000004</v>
      </c>
      <c r="M35">
        <v>17</v>
      </c>
      <c r="N35" s="583">
        <v>399</v>
      </c>
      <c r="O35" s="7" t="s">
        <v>45</v>
      </c>
      <c r="P35" s="7" t="s">
        <v>45</v>
      </c>
      <c r="Q35" s="100" t="s">
        <v>45</v>
      </c>
      <c r="R35" s="100">
        <v>15</v>
      </c>
      <c r="S35" s="100" t="s">
        <v>45</v>
      </c>
      <c r="T35" s="100" t="s">
        <v>45</v>
      </c>
      <c r="U35" s="148">
        <v>40</v>
      </c>
      <c r="V35" s="118" t="s">
        <v>45</v>
      </c>
      <c r="W35" s="101" t="s">
        <v>45</v>
      </c>
      <c r="X35" s="25">
        <f>U35/R35</f>
        <v>2.6666666666666665</v>
      </c>
      <c r="Y35">
        <f t="shared" si="4"/>
        <v>27</v>
      </c>
      <c r="Z35" s="14" t="s">
        <v>1531</v>
      </c>
      <c r="AA35" t="s">
        <v>45</v>
      </c>
    </row>
    <row r="36" spans="2:27" x14ac:dyDescent="0.35">
      <c r="B36">
        <f t="shared" si="0"/>
        <v>28</v>
      </c>
      <c r="C36" s="23" t="s">
        <v>1683</v>
      </c>
      <c r="D36" s="314" t="s">
        <v>1674</v>
      </c>
      <c r="E36" t="str">
        <f>E34</f>
        <v>SoC / AI inference, vision</v>
      </c>
      <c r="F36" s="7" t="s">
        <v>45</v>
      </c>
      <c r="G36" s="7">
        <v>8</v>
      </c>
      <c r="H36" t="s">
        <v>1484</v>
      </c>
      <c r="I36" s="184">
        <f t="shared" si="6"/>
        <v>0.32766666666666666</v>
      </c>
      <c r="J36" s="34">
        <v>8</v>
      </c>
      <c r="K36" s="118">
        <v>102</v>
      </c>
      <c r="L36" s="2">
        <f>(J36*Calc_Moores_Law!R$42)/Z$4</f>
        <v>68.719476736000004</v>
      </c>
      <c r="M36" s="7" t="s">
        <v>45</v>
      </c>
      <c r="N36" s="583">
        <v>249</v>
      </c>
      <c r="O36" s="7" t="s">
        <v>45</v>
      </c>
      <c r="P36" s="7" t="s">
        <v>45</v>
      </c>
      <c r="Q36" s="100" t="s">
        <v>45</v>
      </c>
      <c r="R36" s="100">
        <v>25</v>
      </c>
      <c r="S36" s="100" t="s">
        <v>45</v>
      </c>
      <c r="T36" s="100" t="s">
        <v>45</v>
      </c>
      <c r="U36" s="148">
        <v>67</v>
      </c>
      <c r="V36" s="118" t="s">
        <v>45</v>
      </c>
      <c r="W36" s="101" t="s">
        <v>45</v>
      </c>
      <c r="X36" s="25">
        <f>U36/R36</f>
        <v>2.68</v>
      </c>
      <c r="Y36">
        <f t="shared" si="4"/>
        <v>28</v>
      </c>
      <c r="Z36" s="14"/>
    </row>
    <row r="37" spans="2:27" x14ac:dyDescent="0.35">
      <c r="B37">
        <f t="shared" si="0"/>
        <v>29</v>
      </c>
      <c r="C37" s="23" t="s">
        <v>1685</v>
      </c>
      <c r="D37" s="314" t="s">
        <v>1674</v>
      </c>
      <c r="E37" t="str">
        <f>E35</f>
        <v>SoC / AI inference, vision</v>
      </c>
      <c r="F37" s="7" t="s">
        <v>45</v>
      </c>
      <c r="G37" s="7" t="s">
        <v>45</v>
      </c>
      <c r="H37" t="s">
        <v>1484</v>
      </c>
      <c r="I37" s="184">
        <f t="shared" si="6"/>
        <v>0.65533333333333332</v>
      </c>
      <c r="J37" s="34">
        <v>16</v>
      </c>
      <c r="K37" s="118">
        <v>102</v>
      </c>
      <c r="L37" s="2">
        <f>(J37*Calc_Moores_Law!R$42)/Z$4</f>
        <v>137.43895347200001</v>
      </c>
      <c r="M37" s="7" t="s">
        <v>45</v>
      </c>
      <c r="N37" s="583">
        <v>599</v>
      </c>
      <c r="O37" s="7" t="s">
        <v>45</v>
      </c>
      <c r="P37" s="7" t="s">
        <v>45</v>
      </c>
      <c r="Q37" s="100" t="s">
        <v>45</v>
      </c>
      <c r="R37" s="100">
        <v>40</v>
      </c>
      <c r="S37" s="100" t="s">
        <v>45</v>
      </c>
      <c r="T37" s="100" t="s">
        <v>45</v>
      </c>
      <c r="U37" s="148">
        <v>157</v>
      </c>
      <c r="V37" s="118" t="s">
        <v>45</v>
      </c>
      <c r="W37" s="101" t="s">
        <v>45</v>
      </c>
      <c r="X37" s="25">
        <f>U37/R37</f>
        <v>3.9249999999999998</v>
      </c>
      <c r="Y37">
        <f t="shared" si="4"/>
        <v>29</v>
      </c>
      <c r="Z37" s="14"/>
    </row>
    <row r="38" spans="2:27" x14ac:dyDescent="0.35">
      <c r="B38">
        <f t="shared" si="0"/>
        <v>30</v>
      </c>
      <c r="C38" s="23" t="s">
        <v>1688</v>
      </c>
      <c r="D38" s="314">
        <v>2022</v>
      </c>
      <c r="E38" t="str">
        <f>E36</f>
        <v>SoC / AI inference, vision</v>
      </c>
      <c r="F38" s="7" t="s">
        <v>45</v>
      </c>
      <c r="G38" s="7" t="s">
        <v>45</v>
      </c>
      <c r="H38" t="s">
        <v>1484</v>
      </c>
      <c r="I38" s="184">
        <f t="shared" si="6"/>
        <v>1.3106666666666666</v>
      </c>
      <c r="J38" s="34">
        <v>32</v>
      </c>
      <c r="K38" s="118">
        <v>205</v>
      </c>
      <c r="L38" s="2">
        <f>(J38*Calc_Moores_Law!R$42)/Z$4</f>
        <v>274.87790694400002</v>
      </c>
      <c r="M38" s="7" t="s">
        <v>45</v>
      </c>
      <c r="N38" s="583">
        <v>899</v>
      </c>
      <c r="O38" s="7" t="s">
        <v>45</v>
      </c>
      <c r="P38" s="7" t="s">
        <v>45</v>
      </c>
      <c r="Q38" s="100" t="s">
        <v>45</v>
      </c>
      <c r="R38" s="100">
        <v>40</v>
      </c>
      <c r="S38" s="100" t="s">
        <v>45</v>
      </c>
      <c r="T38" s="100" t="s">
        <v>45</v>
      </c>
      <c r="U38" s="148">
        <v>200</v>
      </c>
      <c r="V38" s="118" t="s">
        <v>45</v>
      </c>
      <c r="W38" s="101" t="s">
        <v>45</v>
      </c>
      <c r="X38" s="25">
        <f>U38/R38</f>
        <v>5</v>
      </c>
      <c r="Y38">
        <f t="shared" si="4"/>
        <v>30</v>
      </c>
      <c r="Z38" s="14"/>
    </row>
    <row r="39" spans="2:27" x14ac:dyDescent="0.35">
      <c r="B39">
        <f t="shared" si="0"/>
        <v>31</v>
      </c>
      <c r="C39" s="23" t="s">
        <v>1517</v>
      </c>
      <c r="D39" s="124">
        <v>2022</v>
      </c>
      <c r="E39" t="s">
        <v>284</v>
      </c>
      <c r="F39" s="7">
        <v>1</v>
      </c>
      <c r="G39" s="7" t="s">
        <v>45</v>
      </c>
      <c r="H39" t="s">
        <v>1484</v>
      </c>
      <c r="I39" s="184">
        <f t="shared" si="6"/>
        <v>2.6213333333333333</v>
      </c>
      <c r="J39" s="34">
        <v>64</v>
      </c>
      <c r="K39" s="118">
        <v>204.8</v>
      </c>
      <c r="L39" s="2">
        <f>(J39*Calc_Moores_Law!R$42)/Z$4</f>
        <v>549.75581388800003</v>
      </c>
      <c r="M39" s="7" t="s">
        <v>45</v>
      </c>
      <c r="N39" s="583">
        <v>1599</v>
      </c>
      <c r="O39" s="7" t="s">
        <v>45</v>
      </c>
      <c r="P39" s="7" t="s">
        <v>45</v>
      </c>
      <c r="Q39" s="100" t="s">
        <v>45</v>
      </c>
      <c r="R39" s="2">
        <v>60</v>
      </c>
      <c r="S39" s="26" t="s">
        <v>45</v>
      </c>
      <c r="T39" s="34" t="s">
        <v>45</v>
      </c>
      <c r="U39" s="148">
        <v>275</v>
      </c>
      <c r="V39" s="118" t="s">
        <v>45</v>
      </c>
      <c r="W39" s="101" t="s">
        <v>45</v>
      </c>
      <c r="X39" s="25">
        <f>U39/R39</f>
        <v>4.583333333333333</v>
      </c>
      <c r="Y39">
        <f t="shared" si="4"/>
        <v>31</v>
      </c>
      <c r="Z39" s="14" t="s">
        <v>1531</v>
      </c>
      <c r="AA39" t="s">
        <v>45</v>
      </c>
    </row>
    <row r="40" spans="2:27" x14ac:dyDescent="0.35">
      <c r="B40">
        <f t="shared" si="0"/>
        <v>32</v>
      </c>
      <c r="C40" s="23" t="s">
        <v>1496</v>
      </c>
      <c r="D40" s="124">
        <v>2025</v>
      </c>
      <c r="E40" t="s">
        <v>284</v>
      </c>
      <c r="F40" s="7" t="s">
        <v>45</v>
      </c>
      <c r="G40" s="7" t="s">
        <v>45</v>
      </c>
      <c r="H40" t="s">
        <v>1484</v>
      </c>
      <c r="I40" s="162" t="s">
        <v>45</v>
      </c>
      <c r="J40" s="34" t="s">
        <v>45</v>
      </c>
      <c r="K40" s="118" t="s">
        <v>45</v>
      </c>
      <c r="L40" s="34" t="s">
        <v>45</v>
      </c>
      <c r="M40" s="7" t="s">
        <v>45</v>
      </c>
      <c r="N40" s="583" t="s">
        <v>45</v>
      </c>
      <c r="O40" s="7" t="s">
        <v>45</v>
      </c>
      <c r="P40" s="7" t="s">
        <v>45</v>
      </c>
      <c r="Q40" s="100" t="s">
        <v>45</v>
      </c>
      <c r="R40" s="34">
        <f>R16*(V40/V16)</f>
        <v>135</v>
      </c>
      <c r="S40" s="26" t="s">
        <v>45</v>
      </c>
      <c r="T40" s="34" t="s">
        <v>45</v>
      </c>
      <c r="U40" s="148">
        <v>1000</v>
      </c>
      <c r="V40" s="118">
        <f>2*U40</f>
        <v>2000</v>
      </c>
      <c r="W40" s="101" t="s">
        <v>45</v>
      </c>
      <c r="X40" s="25">
        <f>V40/R40</f>
        <v>14.814814814814815</v>
      </c>
      <c r="Y40">
        <f t="shared" si="4"/>
        <v>32</v>
      </c>
    </row>
    <row r="41" spans="2:27" x14ac:dyDescent="0.35">
      <c r="B41">
        <f t="shared" si="0"/>
        <v>33</v>
      </c>
      <c r="C41" s="23" t="s">
        <v>1497</v>
      </c>
      <c r="D41" s="124">
        <v>2025</v>
      </c>
      <c r="E41" t="s">
        <v>284</v>
      </c>
      <c r="F41" s="7" t="s">
        <v>45</v>
      </c>
      <c r="G41" s="7">
        <v>5</v>
      </c>
      <c r="H41" t="s">
        <v>1484</v>
      </c>
      <c r="I41" s="162" t="s">
        <v>45</v>
      </c>
      <c r="J41" s="34" t="s">
        <v>45</v>
      </c>
      <c r="K41" s="118" t="s">
        <v>45</v>
      </c>
      <c r="L41" s="34" t="s">
        <v>45</v>
      </c>
      <c r="M41" s="7" t="s">
        <v>45</v>
      </c>
      <c r="N41" s="583">
        <v>900</v>
      </c>
      <c r="O41" s="659" t="s">
        <v>45</v>
      </c>
      <c r="P41" s="7" t="s">
        <v>45</v>
      </c>
      <c r="Q41" s="100" t="s">
        <v>45</v>
      </c>
      <c r="R41" s="34">
        <v>90</v>
      </c>
      <c r="S41" s="26">
        <v>4.2</v>
      </c>
      <c r="T41" s="34" t="s">
        <v>45</v>
      </c>
      <c r="U41" s="148">
        <v>176</v>
      </c>
      <c r="V41" s="118" t="s">
        <v>45</v>
      </c>
      <c r="W41" s="12">
        <f t="shared" ref="W41" si="7">S41/R41</f>
        <v>4.6666666666666669E-2</v>
      </c>
      <c r="X41" s="25">
        <f>U41/R41</f>
        <v>1.9555555555555555</v>
      </c>
      <c r="Y41">
        <f t="shared" si="4"/>
        <v>33</v>
      </c>
    </row>
    <row r="42" spans="2:27" x14ac:dyDescent="0.35">
      <c r="B42">
        <f t="shared" si="0"/>
        <v>34</v>
      </c>
      <c r="C42" s="23" t="s">
        <v>1498</v>
      </c>
      <c r="D42" s="124">
        <v>2024</v>
      </c>
      <c r="E42" t="s">
        <v>284</v>
      </c>
      <c r="F42" s="7" t="s">
        <v>45</v>
      </c>
      <c r="G42" s="7">
        <v>4</v>
      </c>
      <c r="H42" t="s">
        <v>1484</v>
      </c>
      <c r="I42" s="162" t="s">
        <v>45</v>
      </c>
      <c r="J42" s="34" t="s">
        <v>45</v>
      </c>
      <c r="K42" s="118" t="s">
        <v>45</v>
      </c>
      <c r="L42" s="34" t="s">
        <v>45</v>
      </c>
      <c r="M42" s="7" t="s">
        <v>45</v>
      </c>
      <c r="N42" s="7" t="s">
        <v>45</v>
      </c>
      <c r="O42" s="7" t="s">
        <v>45</v>
      </c>
      <c r="P42" s="7" t="s">
        <v>45</v>
      </c>
      <c r="Q42" s="7" t="s">
        <v>45</v>
      </c>
      <c r="R42" s="7" t="s">
        <v>45</v>
      </c>
      <c r="S42" s="7" t="s">
        <v>45</v>
      </c>
      <c r="T42" s="7" t="s">
        <v>45</v>
      </c>
      <c r="U42" s="148">
        <v>100</v>
      </c>
      <c r="V42" s="118" t="s">
        <v>45</v>
      </c>
      <c r="W42" s="101" t="s">
        <v>45</v>
      </c>
      <c r="X42" s="94" t="s">
        <v>45</v>
      </c>
      <c r="Y42">
        <f t="shared" si="4"/>
        <v>34</v>
      </c>
    </row>
    <row r="43" spans="2:27" x14ac:dyDescent="0.35">
      <c r="B43">
        <f t="shared" si="0"/>
        <v>35</v>
      </c>
      <c r="C43" s="23" t="s">
        <v>1477</v>
      </c>
      <c r="D43" s="124">
        <v>2024</v>
      </c>
      <c r="E43" t="s">
        <v>284</v>
      </c>
      <c r="F43" s="7" t="s">
        <v>45</v>
      </c>
      <c r="G43" s="7">
        <v>7</v>
      </c>
      <c r="H43" s="7" t="s">
        <v>1476</v>
      </c>
      <c r="I43" s="162" t="s">
        <v>45</v>
      </c>
      <c r="J43" s="34" t="s">
        <v>45</v>
      </c>
      <c r="K43" s="118" t="s">
        <v>45</v>
      </c>
      <c r="L43" s="34" t="s">
        <v>45</v>
      </c>
      <c r="M43" s="7" t="s">
        <v>45</v>
      </c>
      <c r="N43" s="7" t="s">
        <v>45</v>
      </c>
      <c r="O43" s="7" t="s">
        <v>45</v>
      </c>
      <c r="P43" s="7" t="s">
        <v>45</v>
      </c>
      <c r="Q43" s="7" t="s">
        <v>45</v>
      </c>
      <c r="R43" s="7" t="s">
        <v>45</v>
      </c>
      <c r="S43" s="7" t="s">
        <v>45</v>
      </c>
      <c r="T43" s="7" t="s">
        <v>45</v>
      </c>
      <c r="U43" s="148">
        <v>128</v>
      </c>
      <c r="V43" s="118" t="s">
        <v>45</v>
      </c>
      <c r="W43" s="101" t="s">
        <v>45</v>
      </c>
      <c r="X43" s="94" t="s">
        <v>45</v>
      </c>
      <c r="Y43">
        <f t="shared" si="4"/>
        <v>35</v>
      </c>
    </row>
    <row r="44" spans="2:27" ht="15" thickBot="1" x14ac:dyDescent="0.4">
      <c r="B44">
        <f t="shared" si="0"/>
        <v>36</v>
      </c>
      <c r="C44" s="23" t="s">
        <v>1478</v>
      </c>
      <c r="D44" s="124">
        <v>2023</v>
      </c>
      <c r="E44" t="s">
        <v>284</v>
      </c>
      <c r="F44" s="7" t="s">
        <v>45</v>
      </c>
      <c r="G44" s="7">
        <v>16</v>
      </c>
      <c r="H44" s="7" t="s">
        <v>1476</v>
      </c>
      <c r="I44" s="162" t="s">
        <v>45</v>
      </c>
      <c r="J44" s="34" t="s">
        <v>45</v>
      </c>
      <c r="K44" s="118" t="s">
        <v>45</v>
      </c>
      <c r="L44" s="34" t="s">
        <v>45</v>
      </c>
      <c r="M44" s="7" t="s">
        <v>45</v>
      </c>
      <c r="N44" s="7" t="s">
        <v>45</v>
      </c>
      <c r="O44" s="7" t="s">
        <v>45</v>
      </c>
      <c r="P44" s="7" t="s">
        <v>45</v>
      </c>
      <c r="Q44" s="7" t="s">
        <v>45</v>
      </c>
      <c r="R44" s="7" t="s">
        <v>45</v>
      </c>
      <c r="S44" s="7" t="s">
        <v>45</v>
      </c>
      <c r="T44" s="7" t="s">
        <v>45</v>
      </c>
      <c r="U44" s="148">
        <v>106</v>
      </c>
      <c r="V44" s="118" t="s">
        <v>45</v>
      </c>
      <c r="W44" s="101" t="s">
        <v>45</v>
      </c>
      <c r="X44" s="94" t="s">
        <v>45</v>
      </c>
      <c r="Y44">
        <f t="shared" si="4"/>
        <v>36</v>
      </c>
    </row>
    <row r="45" spans="2:27" ht="15" thickTop="1" x14ac:dyDescent="0.35">
      <c r="B45">
        <f t="shared" si="0"/>
        <v>37</v>
      </c>
      <c r="C45" s="702" t="s">
        <v>810</v>
      </c>
      <c r="D45" s="703"/>
      <c r="E45" s="703"/>
      <c r="F45" s="703"/>
      <c r="G45" s="703"/>
      <c r="H45" s="703"/>
      <c r="I45" s="703"/>
      <c r="J45" s="703"/>
      <c r="K45" s="703"/>
      <c r="L45" s="703"/>
      <c r="M45" s="703"/>
      <c r="N45" s="703"/>
      <c r="O45" s="703"/>
      <c r="P45" s="703"/>
      <c r="Q45" s="703"/>
      <c r="R45" s="703"/>
      <c r="S45" s="703"/>
      <c r="T45" s="703"/>
      <c r="U45" s="703"/>
      <c r="V45" s="703"/>
      <c r="W45" s="703"/>
      <c r="X45" s="721"/>
      <c r="Y45">
        <f t="shared" si="4"/>
        <v>37</v>
      </c>
    </row>
    <row r="46" spans="2:27" x14ac:dyDescent="0.35">
      <c r="B46">
        <f t="shared" si="0"/>
        <v>38</v>
      </c>
      <c r="C46" s="23" t="s">
        <v>21</v>
      </c>
      <c r="D46">
        <v>2021</v>
      </c>
      <c r="E46" t="s">
        <v>869</v>
      </c>
      <c r="F46">
        <v>1</v>
      </c>
      <c r="G46">
        <v>5</v>
      </c>
      <c r="H46" t="s">
        <v>1484</v>
      </c>
      <c r="I46" s="148">
        <f>J46*(1/I$3)</f>
        <v>3</v>
      </c>
      <c r="J46" s="2">
        <v>6</v>
      </c>
      <c r="K46" s="148">
        <v>34.1</v>
      </c>
      <c r="L46" s="2">
        <f>(J46*Calc_Moores_Law!R$42)/Z$4</f>
        <v>51.539607552</v>
      </c>
      <c r="M46">
        <v>15</v>
      </c>
      <c r="N46" s="214">
        <v>700</v>
      </c>
      <c r="O46">
        <v>108</v>
      </c>
      <c r="P46">
        <v>1</v>
      </c>
      <c r="Q46" s="24">
        <f>(M46*1000/O46)/P46</f>
        <v>138.88888888888889</v>
      </c>
      <c r="R46" s="2">
        <v>8.5</v>
      </c>
      <c r="S46" s="6">
        <v>1.5</v>
      </c>
      <c r="T46" s="2">
        <v>15.8</v>
      </c>
      <c r="U46" s="148">
        <v>16</v>
      </c>
      <c r="V46" s="118" t="s">
        <v>45</v>
      </c>
      <c r="W46" s="12">
        <f>S46/R46</f>
        <v>0.17647058823529413</v>
      </c>
      <c r="X46" s="25">
        <f>U46/R46</f>
        <v>1.8823529411764706</v>
      </c>
      <c r="Y46">
        <f t="shared" si="4"/>
        <v>38</v>
      </c>
    </row>
    <row r="47" spans="2:27" x14ac:dyDescent="0.35">
      <c r="B47">
        <f t="shared" si="0"/>
        <v>39</v>
      </c>
      <c r="C47" s="23" t="s">
        <v>673</v>
      </c>
      <c r="D47">
        <v>2023</v>
      </c>
      <c r="E47" t="s">
        <v>869</v>
      </c>
      <c r="F47">
        <v>1</v>
      </c>
      <c r="G47">
        <v>3</v>
      </c>
      <c r="H47" t="s">
        <v>1484</v>
      </c>
      <c r="I47" s="148">
        <f>J47*(1/I$3)</f>
        <v>4</v>
      </c>
      <c r="J47" s="2">
        <v>8</v>
      </c>
      <c r="K47" s="148">
        <v>51.2</v>
      </c>
      <c r="L47" s="2">
        <f>(J47*Calc_Moores_Law!R$42)/Z$4</f>
        <v>68.719476736000004</v>
      </c>
      <c r="M47">
        <v>19</v>
      </c>
      <c r="N47" s="214">
        <v>1000</v>
      </c>
      <c r="O47">
        <f>O46</f>
        <v>108</v>
      </c>
      <c r="P47">
        <v>1</v>
      </c>
      <c r="Q47" s="24">
        <f>(M47*1000/O47)/P47</f>
        <v>175.92592592592592</v>
      </c>
      <c r="R47" s="90">
        <v>7.5</v>
      </c>
      <c r="S47" s="6">
        <v>2.1469999999999998</v>
      </c>
      <c r="T47" s="34" t="s">
        <v>45</v>
      </c>
      <c r="U47" s="148">
        <v>35</v>
      </c>
      <c r="V47" s="118" t="s">
        <v>45</v>
      </c>
      <c r="W47" s="12">
        <f>S47/R47</f>
        <v>0.28626666666666661</v>
      </c>
      <c r="X47" s="25">
        <f>U47/R47</f>
        <v>4.666666666666667</v>
      </c>
      <c r="Y47">
        <f t="shared" si="4"/>
        <v>39</v>
      </c>
    </row>
    <row r="48" spans="2:27" x14ac:dyDescent="0.35">
      <c r="B48">
        <f t="shared" si="0"/>
        <v>40</v>
      </c>
      <c r="C48" s="23" t="s">
        <v>29</v>
      </c>
      <c r="D48">
        <v>2022</v>
      </c>
      <c r="E48" t="s">
        <v>37</v>
      </c>
      <c r="F48">
        <v>4</v>
      </c>
      <c r="G48">
        <v>5</v>
      </c>
      <c r="H48" t="s">
        <v>1484</v>
      </c>
      <c r="I48" s="148">
        <f>J48*(1/I$3)</f>
        <v>64</v>
      </c>
      <c r="J48" s="2">
        <v>128</v>
      </c>
      <c r="K48" s="148">
        <v>819.2</v>
      </c>
      <c r="L48" s="2">
        <f>(J48*Calc_Moores_Law!R$42)/Z$4</f>
        <v>1099.5116277760001</v>
      </c>
      <c r="M48">
        <v>114</v>
      </c>
      <c r="N48" s="214">
        <v>5000</v>
      </c>
      <c r="O48">
        <v>864</v>
      </c>
      <c r="P48">
        <v>1</v>
      </c>
      <c r="Q48" s="24">
        <f t="shared" ref="Q48:Q49" si="8">(M48*1000/O48)/P48</f>
        <v>131.94444444444446</v>
      </c>
      <c r="R48" s="2">
        <v>60</v>
      </c>
      <c r="S48" s="6">
        <v>21.2</v>
      </c>
      <c r="T48" s="2">
        <v>42.4</v>
      </c>
      <c r="U48" s="118" t="s">
        <v>45</v>
      </c>
      <c r="V48" s="118" t="s">
        <v>45</v>
      </c>
      <c r="W48" s="12">
        <f t="shared" ref="W48:W49" si="9">S48/R48</f>
        <v>0.35333333333333333</v>
      </c>
      <c r="X48" s="25">
        <f>T48/R48</f>
        <v>0.70666666666666667</v>
      </c>
      <c r="Y48">
        <f t="shared" si="4"/>
        <v>40</v>
      </c>
    </row>
    <row r="49" spans="1:27" x14ac:dyDescent="0.35">
      <c r="B49">
        <f t="shared" si="0"/>
        <v>41</v>
      </c>
      <c r="C49" s="23" t="s">
        <v>65</v>
      </c>
      <c r="D49">
        <v>2023</v>
      </c>
      <c r="E49" t="s">
        <v>37</v>
      </c>
      <c r="F49">
        <v>4</v>
      </c>
      <c r="G49">
        <v>5</v>
      </c>
      <c r="H49" t="s">
        <v>1484</v>
      </c>
      <c r="I49" s="148">
        <f>J49*(1/I$3)</f>
        <v>96</v>
      </c>
      <c r="J49" s="2">
        <v>192</v>
      </c>
      <c r="K49" s="148">
        <v>800</v>
      </c>
      <c r="L49" s="2">
        <f>(J49*Calc_Moores_Law!R$42)/Z$4</f>
        <v>1649.267441664</v>
      </c>
      <c r="M49">
        <v>134</v>
      </c>
      <c r="N49" s="214">
        <v>7500</v>
      </c>
      <c r="O49" s="7">
        <v>864</v>
      </c>
      <c r="P49">
        <v>1</v>
      </c>
      <c r="Q49" s="24">
        <f t="shared" si="8"/>
        <v>155.09259259259258</v>
      </c>
      <c r="R49" s="2">
        <v>90</v>
      </c>
      <c r="S49" s="6">
        <v>27.2</v>
      </c>
      <c r="T49" s="34" t="s">
        <v>45</v>
      </c>
      <c r="U49" s="118">
        <v>31.6</v>
      </c>
      <c r="V49" s="118" t="s">
        <v>45</v>
      </c>
      <c r="W49" s="12">
        <f t="shared" si="9"/>
        <v>0.30222222222222223</v>
      </c>
      <c r="X49" s="25">
        <f>U49/R49</f>
        <v>0.35111111111111115</v>
      </c>
      <c r="Y49">
        <f t="shared" si="4"/>
        <v>41</v>
      </c>
    </row>
    <row r="50" spans="1:27" x14ac:dyDescent="0.35">
      <c r="B50">
        <f t="shared" si="0"/>
        <v>42</v>
      </c>
      <c r="C50" s="23" t="s">
        <v>68</v>
      </c>
      <c r="D50">
        <v>2023</v>
      </c>
      <c r="E50" t="s">
        <v>69</v>
      </c>
      <c r="F50">
        <v>1</v>
      </c>
      <c r="G50">
        <v>10</v>
      </c>
      <c r="H50" s="7" t="s">
        <v>1474</v>
      </c>
      <c r="I50" s="162" t="s">
        <v>18</v>
      </c>
      <c r="J50" s="34" t="s">
        <v>18</v>
      </c>
      <c r="K50" s="118">
        <v>51.2</v>
      </c>
      <c r="L50" s="34" t="s">
        <v>45</v>
      </c>
      <c r="M50" s="7" t="s">
        <v>45</v>
      </c>
      <c r="N50" s="583" t="s">
        <v>45</v>
      </c>
      <c r="O50">
        <v>257</v>
      </c>
      <c r="P50">
        <v>1</v>
      </c>
      <c r="Q50" s="100" t="s">
        <v>45</v>
      </c>
      <c r="R50" s="2">
        <v>55</v>
      </c>
      <c r="S50" s="26" t="s">
        <v>45</v>
      </c>
      <c r="T50" s="34" t="s">
        <v>45</v>
      </c>
      <c r="U50" s="118" t="s">
        <v>45</v>
      </c>
      <c r="V50" s="118" t="s">
        <v>45</v>
      </c>
      <c r="W50" s="101" t="s">
        <v>45</v>
      </c>
      <c r="X50" s="94" t="s">
        <v>45</v>
      </c>
      <c r="Y50">
        <f t="shared" si="4"/>
        <v>42</v>
      </c>
    </row>
    <row r="51" spans="1:27" x14ac:dyDescent="0.35">
      <c r="B51">
        <f t="shared" si="0"/>
        <v>43</v>
      </c>
      <c r="C51" s="23" t="s">
        <v>70</v>
      </c>
      <c r="D51">
        <v>2023</v>
      </c>
      <c r="E51" t="s">
        <v>116</v>
      </c>
      <c r="F51">
        <v>1</v>
      </c>
      <c r="G51">
        <v>5</v>
      </c>
      <c r="H51" t="s">
        <v>1484</v>
      </c>
      <c r="I51" s="148">
        <f>J51*(1/I$3)</f>
        <v>4</v>
      </c>
      <c r="J51" s="34">
        <v>8</v>
      </c>
      <c r="K51" s="148">
        <v>256</v>
      </c>
      <c r="L51" s="2">
        <f>(J51*Calc_Moores_Law!R$42)/Z$4</f>
        <v>68.719476736000004</v>
      </c>
      <c r="M51">
        <v>23</v>
      </c>
      <c r="N51" s="583" t="s">
        <v>45</v>
      </c>
      <c r="O51">
        <v>188</v>
      </c>
      <c r="P51">
        <v>1</v>
      </c>
      <c r="Q51" s="24">
        <f>(M51*1000/O51)/P51</f>
        <v>122.34042553191489</v>
      </c>
      <c r="R51" s="2">
        <v>115</v>
      </c>
      <c r="S51" s="6">
        <v>15.6</v>
      </c>
      <c r="T51" s="90">
        <v>15.6</v>
      </c>
      <c r="U51" s="118" t="s">
        <v>45</v>
      </c>
      <c r="V51" s="118" t="s">
        <v>45</v>
      </c>
      <c r="W51" s="12">
        <f>S51/R51</f>
        <v>0.13565217391304349</v>
      </c>
      <c r="X51" s="25">
        <f>T51/R51</f>
        <v>0.13565217391304349</v>
      </c>
      <c r="Y51">
        <f t="shared" si="4"/>
        <v>43</v>
      </c>
    </row>
    <row r="52" spans="1:27" ht="15" thickBot="1" x14ac:dyDescent="0.4">
      <c r="A52" t="s">
        <v>900</v>
      </c>
      <c r="B52">
        <f t="shared" si="0"/>
        <v>44</v>
      </c>
      <c r="C52" s="23" t="s">
        <v>67</v>
      </c>
      <c r="D52">
        <v>2023</v>
      </c>
      <c r="E52" t="s">
        <v>416</v>
      </c>
      <c r="F52">
        <v>16</v>
      </c>
      <c r="G52" s="24">
        <f>Calc_nm_Law!K24</f>
        <v>4.1106508732833182</v>
      </c>
      <c r="H52" t="s">
        <v>1484</v>
      </c>
      <c r="I52" s="162" t="s">
        <v>18</v>
      </c>
      <c r="J52" s="2">
        <v>2000</v>
      </c>
      <c r="K52" s="149">
        <v>2.4</v>
      </c>
      <c r="L52" s="2">
        <f>(J52*Calc_Moores_Law!R$42)/Z$4</f>
        <v>17179.869183999999</v>
      </c>
      <c r="M52" s="34" t="s">
        <v>45</v>
      </c>
      <c r="N52" s="214">
        <v>250</v>
      </c>
      <c r="O52" s="2">
        <v>70.099999999999994</v>
      </c>
      <c r="P52" s="2">
        <f>232*F52</f>
        <v>3712</v>
      </c>
      <c r="Q52" s="24">
        <f>(L52*1000/O52)/P52</f>
        <v>66.022789118992577</v>
      </c>
      <c r="R52" s="34">
        <v>1</v>
      </c>
      <c r="S52" s="26" t="s">
        <v>18</v>
      </c>
      <c r="T52" s="34" t="s">
        <v>18</v>
      </c>
      <c r="U52" s="118" t="s">
        <v>18</v>
      </c>
      <c r="V52" s="118" t="s">
        <v>45</v>
      </c>
      <c r="W52" s="26" t="s">
        <v>18</v>
      </c>
      <c r="X52" s="43" t="s">
        <v>18</v>
      </c>
      <c r="Y52">
        <f t="shared" si="4"/>
        <v>44</v>
      </c>
    </row>
    <row r="53" spans="1:27" ht="15" thickTop="1" x14ac:dyDescent="0.35">
      <c r="B53">
        <f t="shared" si="0"/>
        <v>45</v>
      </c>
      <c r="C53" s="702" t="s">
        <v>1524</v>
      </c>
      <c r="D53" s="713"/>
      <c r="E53" s="713"/>
      <c r="F53" s="722"/>
      <c r="G53" s="722"/>
      <c r="H53" s="722"/>
      <c r="I53" s="722"/>
      <c r="J53" s="715"/>
      <c r="K53" s="715"/>
      <c r="L53" s="715"/>
      <c r="M53" s="722"/>
      <c r="N53" s="723"/>
      <c r="O53" s="722"/>
      <c r="P53" s="722"/>
      <c r="Q53" s="708"/>
      <c r="R53" s="715"/>
      <c r="S53" s="724"/>
      <c r="T53" s="715"/>
      <c r="U53" s="714"/>
      <c r="V53" s="715"/>
      <c r="W53" s="725"/>
      <c r="X53" s="720"/>
      <c r="Y53">
        <f t="shared" si="4"/>
        <v>45</v>
      </c>
      <c r="AA53" t="s">
        <v>1111</v>
      </c>
    </row>
    <row r="54" spans="1:27" x14ac:dyDescent="0.35">
      <c r="B54">
        <f t="shared" si="0"/>
        <v>46</v>
      </c>
      <c r="C54" s="636" t="str">
        <f>AI_Models!C58</f>
        <v>Human brain 100% functional simulation</v>
      </c>
      <c r="D54" s="313" t="s">
        <v>919</v>
      </c>
      <c r="E54" s="124" t="str">
        <f>AI_Models!E58</f>
        <v>Motion, sensing, thought, etc.</v>
      </c>
      <c r="F54" s="314" t="s">
        <v>18</v>
      </c>
      <c r="G54" s="314" t="s">
        <v>18</v>
      </c>
      <c r="H54" s="314" t="s">
        <v>18</v>
      </c>
      <c r="I54" s="148">
        <f>AI_Models!H58</f>
        <v>258000</v>
      </c>
      <c r="J54" s="315">
        <f>AI_Models!I58</f>
        <v>151575</v>
      </c>
      <c r="K54" s="635">
        <f>AI_Models!J58</f>
        <v>0.04</v>
      </c>
      <c r="L54" s="316" t="s">
        <v>18</v>
      </c>
      <c r="M54" s="313" t="s">
        <v>18</v>
      </c>
      <c r="N54" s="586">
        <f>AI_Models!O58</f>
        <v>200000</v>
      </c>
      <c r="O54" s="315" t="s">
        <v>606</v>
      </c>
      <c r="P54" s="315">
        <f>(AI_Models!D93*Z4)^(1/3)</f>
        <v>4414.0049624421017</v>
      </c>
      <c r="Q54" s="316" t="s">
        <v>18</v>
      </c>
      <c r="R54" s="572">
        <v>20</v>
      </c>
      <c r="S54" s="317" t="s">
        <v>45</v>
      </c>
      <c r="T54" s="313" t="s">
        <v>45</v>
      </c>
      <c r="U54" s="118" t="s">
        <v>45</v>
      </c>
      <c r="V54" s="118">
        <f>AI_Models!L58</f>
        <v>12900</v>
      </c>
      <c r="W54" s="317" t="s">
        <v>45</v>
      </c>
      <c r="X54" s="318">
        <f>V54/R54</f>
        <v>645</v>
      </c>
      <c r="Y54">
        <f t="shared" si="4"/>
        <v>46</v>
      </c>
      <c r="AA54">
        <f>X54/X57</f>
        <v>366.03750000000002</v>
      </c>
    </row>
    <row r="55" spans="1:27" x14ac:dyDescent="0.35">
      <c r="B55">
        <f t="shared" si="0"/>
        <v>47</v>
      </c>
      <c r="C55" s="636" t="str">
        <f>AI_Models!C61</f>
        <v>Dog/wolf brain 4.1% of human brain</v>
      </c>
      <c r="D55" s="313" t="str">
        <f>AI_Models!D61</f>
        <v xml:space="preserve"> -2,500,000BC</v>
      </c>
      <c r="E55" s="124" t="str">
        <f>AI_Models!E61</f>
        <v>Motion, sensing, thought, etc.</v>
      </c>
      <c r="F55" s="314" t="s">
        <v>18</v>
      </c>
      <c r="G55" s="314" t="s">
        <v>18</v>
      </c>
      <c r="H55" s="314" t="s">
        <v>18</v>
      </c>
      <c r="I55" s="148">
        <f>AI_Models!H61</f>
        <v>10590</v>
      </c>
      <c r="J55" s="315">
        <f>AI_Models!I61</f>
        <v>6221.625</v>
      </c>
      <c r="K55" s="635">
        <f>AI_Models!J61</f>
        <v>0.04</v>
      </c>
      <c r="L55" s="313" t="s">
        <v>18</v>
      </c>
      <c r="M55" s="313" t="s">
        <v>18</v>
      </c>
      <c r="N55" s="581" t="s">
        <v>18</v>
      </c>
      <c r="O55" s="313" t="s">
        <v>45</v>
      </c>
      <c r="P55" s="315">
        <f>(AI_Models!D96*Z4)^(1/3)</f>
        <v>1522.620134627708</v>
      </c>
      <c r="Q55" s="316" t="s">
        <v>18</v>
      </c>
      <c r="R55" s="572">
        <f>AI_Models!M61</f>
        <v>0.82093023255813957</v>
      </c>
      <c r="S55" s="317" t="s">
        <v>45</v>
      </c>
      <c r="T55" s="313" t="s">
        <v>45</v>
      </c>
      <c r="U55" s="118" t="s">
        <v>45</v>
      </c>
      <c r="V55" s="118">
        <f>AI_Models!L61</f>
        <v>529.5</v>
      </c>
      <c r="W55" s="317" t="s">
        <v>45</v>
      </c>
      <c r="X55" s="318">
        <f>V55/R55</f>
        <v>645</v>
      </c>
      <c r="Y55">
        <f t="shared" si="4"/>
        <v>47</v>
      </c>
    </row>
    <row r="56" spans="1:27" x14ac:dyDescent="0.35">
      <c r="B56">
        <f t="shared" si="0"/>
        <v>48</v>
      </c>
      <c r="C56" s="23" t="str">
        <f>AI_Supercomputers!$C$11</f>
        <v>Nvidia GB200 NVL72 training cluster</v>
      </c>
      <c r="D56" s="1" t="str">
        <f>AI_Supercomputers!E11</f>
        <v>Volume 2025</v>
      </c>
      <c r="E56" s="1" t="str">
        <f>E16</f>
        <v>CPU/GPU AI training &amp; inf.</v>
      </c>
      <c r="F56" s="295" t="s">
        <v>876</v>
      </c>
      <c r="G56" s="295">
        <f>G16</f>
        <v>4</v>
      </c>
      <c r="H56" s="295" t="s">
        <v>1470</v>
      </c>
      <c r="I56" s="148">
        <f>J56*(1/I$3)</f>
        <v>15552</v>
      </c>
      <c r="J56" s="294">
        <f>36*KeyChips!J16</f>
        <v>31104</v>
      </c>
      <c r="K56" s="118">
        <f>K16</f>
        <v>16000</v>
      </c>
      <c r="L56" s="99">
        <f>(J56*Calc_Moores_Law!R$42)/Z$4</f>
        <v>267181.32554956799</v>
      </c>
      <c r="M56" s="294">
        <f>36*M16</f>
        <v>19296</v>
      </c>
      <c r="N56" s="582">
        <f>AI_Supercomputers!O42*Z3</f>
        <v>2340000</v>
      </c>
      <c r="O56" s="295" t="s">
        <v>45</v>
      </c>
      <c r="P56" s="295">
        <f>P16</f>
        <v>1</v>
      </c>
      <c r="Q56" s="296" t="s">
        <v>45</v>
      </c>
      <c r="R56" s="99">
        <f>AI_Supercomputers!K42</f>
        <v>195662.33766233767</v>
      </c>
      <c r="S56" s="99">
        <f>AI_Supercomputers!P42</f>
        <v>6480</v>
      </c>
      <c r="T56" s="294">
        <f>AI_Supercomputers!Q42</f>
        <v>360000</v>
      </c>
      <c r="U56" s="118">
        <f>AI_Supercomputers!R42</f>
        <v>720000</v>
      </c>
      <c r="V56" s="118">
        <f>AI_Supercomputers!S42</f>
        <v>1440000</v>
      </c>
      <c r="W56" s="297">
        <f>S56/R56</f>
        <v>3.3118279569892474E-2</v>
      </c>
      <c r="X56" s="298">
        <f>V56/R56</f>
        <v>7.3596176821983272</v>
      </c>
      <c r="Y56">
        <f t="shared" si="4"/>
        <v>48</v>
      </c>
    </row>
    <row r="57" spans="1:27" x14ac:dyDescent="0.35">
      <c r="B57">
        <f t="shared" si="0"/>
        <v>49</v>
      </c>
      <c r="C57" s="23" t="s">
        <v>1301</v>
      </c>
      <c r="D57" s="292" t="s">
        <v>1112</v>
      </c>
      <c r="E57" s="1" t="s">
        <v>1093</v>
      </c>
      <c r="F57" s="312" t="s">
        <v>1302</v>
      </c>
      <c r="G57" s="292">
        <v>4</v>
      </c>
      <c r="H57" s="295" t="s">
        <v>1470</v>
      </c>
      <c r="I57" s="148">
        <f>J57*(1/I$3)</f>
        <v>20432</v>
      </c>
      <c r="J57" s="293">
        <f>40000+J16</f>
        <v>40864</v>
      </c>
      <c r="K57" s="118">
        <f>K16</f>
        <v>16000</v>
      </c>
      <c r="L57" s="99">
        <f>(J57*Calc_Moores_Law!R$42)/Z$4</f>
        <v>351019.087167488</v>
      </c>
      <c r="M57" s="294">
        <f>M16</f>
        <v>536</v>
      </c>
      <c r="N57" s="582">
        <f>N16+((J57-J16)*(J71))/Z2</f>
        <v>465000</v>
      </c>
      <c r="O57" s="295" t="s">
        <v>45</v>
      </c>
      <c r="P57" s="295">
        <v>1</v>
      </c>
      <c r="Q57" s="296" t="s">
        <v>45</v>
      </c>
      <c r="R57" s="99">
        <f>R16+40000*Q69</f>
        <v>22700</v>
      </c>
      <c r="S57" s="99">
        <f>S16</f>
        <v>180</v>
      </c>
      <c r="T57" s="294">
        <f>T16</f>
        <v>10000</v>
      </c>
      <c r="U57" s="118">
        <f>U16</f>
        <v>20000</v>
      </c>
      <c r="V57" s="118">
        <f>V16</f>
        <v>40000</v>
      </c>
      <c r="W57" s="297">
        <f>S57/R57</f>
        <v>7.9295154185022032E-3</v>
      </c>
      <c r="X57" s="298">
        <f>V57/R57</f>
        <v>1.7621145374449338</v>
      </c>
      <c r="Y57">
        <f t="shared" si="4"/>
        <v>49</v>
      </c>
    </row>
    <row r="58" spans="1:27" x14ac:dyDescent="0.35">
      <c r="B58">
        <f t="shared" si="0"/>
        <v>50</v>
      </c>
      <c r="C58" s="23" t="s">
        <v>1218</v>
      </c>
      <c r="D58" s="295" t="s">
        <v>1213</v>
      </c>
      <c r="E58" s="1" t="s">
        <v>1329</v>
      </c>
      <c r="F58" s="312"/>
      <c r="G58" s="292" t="s">
        <v>45</v>
      </c>
      <c r="H58" s="295" t="s">
        <v>1470</v>
      </c>
      <c r="I58" s="118" t="s">
        <v>45</v>
      </c>
      <c r="J58" s="293">
        <f>15*4*Z2</f>
        <v>60000</v>
      </c>
      <c r="K58" s="118">
        <f>7.4*15</f>
        <v>111</v>
      </c>
      <c r="L58" s="294" t="s">
        <v>45</v>
      </c>
      <c r="M58" s="294" t="s">
        <v>45</v>
      </c>
      <c r="N58" s="582">
        <f>15*269</f>
        <v>4035</v>
      </c>
      <c r="O58" s="295" t="s">
        <v>45</v>
      </c>
      <c r="P58" s="295" t="s">
        <v>45</v>
      </c>
      <c r="Q58" s="296" t="s">
        <v>45</v>
      </c>
      <c r="R58" s="294" t="s">
        <v>1217</v>
      </c>
      <c r="S58" s="294" t="s">
        <v>45</v>
      </c>
      <c r="T58" s="294" t="s">
        <v>45</v>
      </c>
      <c r="U58" s="118" t="s">
        <v>45</v>
      </c>
      <c r="V58" s="118" t="s">
        <v>45</v>
      </c>
      <c r="W58" s="607" t="s">
        <v>45</v>
      </c>
      <c r="X58" s="608" t="s">
        <v>45</v>
      </c>
      <c r="Y58">
        <f t="shared" si="4"/>
        <v>50</v>
      </c>
    </row>
    <row r="59" spans="1:27" ht="15" thickBot="1" x14ac:dyDescent="0.4">
      <c r="B59">
        <f t="shared" si="0"/>
        <v>51</v>
      </c>
      <c r="C59" s="27" t="s">
        <v>1365</v>
      </c>
      <c r="D59" s="204" t="s">
        <v>1327</v>
      </c>
      <c r="E59" s="1" t="s">
        <v>1328</v>
      </c>
      <c r="F59" s="204" t="s">
        <v>75</v>
      </c>
      <c r="G59" s="258" t="s">
        <v>265</v>
      </c>
      <c r="H59" s="259" t="s">
        <v>663</v>
      </c>
      <c r="I59" s="150">
        <f>J59*(1/I$3)</f>
        <v>20432</v>
      </c>
      <c r="J59" s="155">
        <f>J57</f>
        <v>40864</v>
      </c>
      <c r="K59" s="161" t="s">
        <v>875</v>
      </c>
      <c r="L59" s="155">
        <f>(J59*Calc_Moores_Law!R$42)/Z$4</f>
        <v>351019.087167488</v>
      </c>
      <c r="M59" s="157" t="s">
        <v>18</v>
      </c>
      <c r="N59" s="587">
        <v>20000</v>
      </c>
      <c r="O59" s="155" t="str">
        <f>O54</f>
        <v>1260cm4</v>
      </c>
      <c r="P59" s="155">
        <f>(L59*Z4)^(1/3)</f>
        <v>70541.319250013243</v>
      </c>
      <c r="Q59" s="259" t="s">
        <v>45</v>
      </c>
      <c r="R59" s="157">
        <f>AI_Supercomputers!J45</f>
        <v>100</v>
      </c>
      <c r="S59" s="260" t="s">
        <v>45</v>
      </c>
      <c r="T59" s="157" t="s">
        <v>45</v>
      </c>
      <c r="U59" s="161" t="s">
        <v>45</v>
      </c>
      <c r="V59" s="161">
        <f>V54</f>
        <v>12900</v>
      </c>
      <c r="W59" s="278" t="s">
        <v>45</v>
      </c>
      <c r="X59" s="261">
        <f>V59/R59</f>
        <v>129</v>
      </c>
      <c r="Y59">
        <f t="shared" si="4"/>
        <v>51</v>
      </c>
    </row>
    <row r="60" spans="1:27" ht="15.5" thickTop="1" thickBot="1" x14ac:dyDescent="0.4">
      <c r="B60">
        <f t="shared" si="0"/>
        <v>52</v>
      </c>
      <c r="C60" s="552" t="str">
        <f>AI_Models!C72</f>
        <v>Video file size for FHD1080p, 0.1fps for 16 years non-stop, H264 or 50 million FHD images &gt;Max size human memory?&lt;</v>
      </c>
      <c r="D60" s="553"/>
      <c r="E60" s="553"/>
      <c r="F60" s="553"/>
      <c r="G60" s="556"/>
      <c r="H60" s="556"/>
      <c r="I60" s="555"/>
      <c r="J60" s="555">
        <f>AI_Models!I72</f>
        <v>13175.04</v>
      </c>
      <c r="K60" s="579">
        <f>AI_Models!J72</f>
        <v>2.611111111111111E-5</v>
      </c>
      <c r="L60" s="555" t="s">
        <v>45</v>
      </c>
      <c r="M60" s="555" t="s">
        <v>45</v>
      </c>
      <c r="N60" s="555" t="s">
        <v>45</v>
      </c>
      <c r="O60" s="555" t="s">
        <v>45</v>
      </c>
      <c r="P60" s="555" t="s">
        <v>45</v>
      </c>
      <c r="Q60" s="556" t="s">
        <v>45</v>
      </c>
      <c r="R60" s="555" t="s">
        <v>45</v>
      </c>
      <c r="S60" s="557" t="s">
        <v>45</v>
      </c>
      <c r="T60" s="555" t="s">
        <v>45</v>
      </c>
      <c r="U60" s="555" t="s">
        <v>45</v>
      </c>
      <c r="V60" s="555" t="s">
        <v>45</v>
      </c>
      <c r="W60" s="558" t="s">
        <v>45</v>
      </c>
      <c r="X60" s="559" t="s">
        <v>45</v>
      </c>
      <c r="Y60">
        <f t="shared" si="4"/>
        <v>52</v>
      </c>
    </row>
    <row r="61" spans="1:27" ht="15" thickTop="1" x14ac:dyDescent="0.35">
      <c r="C61" s="44" t="s">
        <v>198</v>
      </c>
      <c r="D61" s="31"/>
      <c r="E61" s="31"/>
      <c r="F61" s="31"/>
      <c r="G61" s="31"/>
      <c r="H61" s="31"/>
      <c r="I61" s="31"/>
      <c r="J61" s="31"/>
      <c r="K61" s="31"/>
      <c r="L61" s="31"/>
      <c r="M61" s="31"/>
      <c r="N61" s="31"/>
      <c r="O61" s="31"/>
      <c r="P61" s="31"/>
      <c r="Q61" s="31"/>
      <c r="R61" s="32"/>
      <c r="S61" s="32"/>
      <c r="T61" s="32"/>
      <c r="U61" s="32"/>
      <c r="V61" s="32"/>
      <c r="W61" s="33"/>
      <c r="X61" s="33"/>
    </row>
    <row r="62" spans="1:27" x14ac:dyDescent="0.35">
      <c r="I62" s="8" t="s">
        <v>1219</v>
      </c>
      <c r="J62" s="131">
        <f>(J57/K58)/60</f>
        <v>6.1357357357357358</v>
      </c>
      <c r="K62" s="8" t="s">
        <v>1220</v>
      </c>
      <c r="O62">
        <f>1260*4.1%</f>
        <v>51.66</v>
      </c>
      <c r="R62" s="6"/>
      <c r="S62" s="6"/>
      <c r="T62" s="6"/>
      <c r="U62" s="6"/>
      <c r="V62" s="6"/>
      <c r="W62" s="12"/>
      <c r="X62" s="12"/>
      <c r="Y62" s="12"/>
    </row>
    <row r="63" spans="1:27" x14ac:dyDescent="0.35">
      <c r="C63" t="s">
        <v>393</v>
      </c>
      <c r="L63" s="8" t="s">
        <v>1308</v>
      </c>
    </row>
    <row r="64" spans="1:27" x14ac:dyDescent="0.35">
      <c r="C64" t="s">
        <v>97</v>
      </c>
      <c r="D64" s="14" t="s">
        <v>114</v>
      </c>
      <c r="E64" t="s">
        <v>45</v>
      </c>
      <c r="L64" t="s">
        <v>1106</v>
      </c>
    </row>
    <row r="65" spans="3:20" x14ac:dyDescent="0.35">
      <c r="C65" t="s">
        <v>879</v>
      </c>
      <c r="L65" t="s">
        <v>916</v>
      </c>
      <c r="S65" s="159" t="s">
        <v>38</v>
      </c>
    </row>
    <row r="66" spans="3:20" x14ac:dyDescent="0.35">
      <c r="C66" t="s">
        <v>107</v>
      </c>
      <c r="D66" s="14" t="s">
        <v>326</v>
      </c>
      <c r="S66" s="159"/>
    </row>
    <row r="67" spans="3:20" x14ac:dyDescent="0.35">
      <c r="C67" s="113" t="s">
        <v>902</v>
      </c>
      <c r="D67" s="113"/>
      <c r="E67" s="113"/>
      <c r="F67" s="113"/>
      <c r="G67" s="113"/>
      <c r="H67" s="113"/>
      <c r="I67" s="113" t="s">
        <v>141</v>
      </c>
      <c r="J67" s="112">
        <v>2000</v>
      </c>
      <c r="L67" t="s">
        <v>450</v>
      </c>
      <c r="S67" s="14" t="s">
        <v>446</v>
      </c>
    </row>
    <row r="68" spans="3:20" x14ac:dyDescent="0.35">
      <c r="C68" s="1"/>
      <c r="D68" s="1"/>
      <c r="E68" s="1"/>
      <c r="F68" s="1"/>
      <c r="G68" s="1"/>
      <c r="H68" s="1"/>
      <c r="I68" s="1"/>
      <c r="J68" s="1"/>
      <c r="L68" t="s">
        <v>471</v>
      </c>
      <c r="O68">
        <v>8</v>
      </c>
      <c r="Q68" s="12">
        <v>3</v>
      </c>
      <c r="R68" t="s">
        <v>215</v>
      </c>
      <c r="S68" s="14" t="s">
        <v>451</v>
      </c>
      <c r="T68" t="s">
        <v>917</v>
      </c>
    </row>
    <row r="69" spans="3:20" x14ac:dyDescent="0.35">
      <c r="C69" t="s">
        <v>896</v>
      </c>
      <c r="L69" t="s">
        <v>918</v>
      </c>
      <c r="O69">
        <v>1</v>
      </c>
      <c r="Q69">
        <v>0.5</v>
      </c>
      <c r="R69" t="s">
        <v>215</v>
      </c>
      <c r="T69" t="s">
        <v>1107</v>
      </c>
    </row>
    <row r="70" spans="3:20" x14ac:dyDescent="0.35">
      <c r="C70" t="s">
        <v>897</v>
      </c>
    </row>
    <row r="71" spans="3:20" x14ac:dyDescent="0.35">
      <c r="D71" s="113">
        <v>5</v>
      </c>
      <c r="E71" s="113" t="s">
        <v>1299</v>
      </c>
      <c r="F71" s="113"/>
      <c r="G71" s="113"/>
      <c r="H71" s="113"/>
      <c r="I71" s="113" t="s">
        <v>901</v>
      </c>
      <c r="J71" s="112">
        <f>D71*J67</f>
        <v>10000</v>
      </c>
    </row>
    <row r="72" spans="3:20" x14ac:dyDescent="0.35">
      <c r="D72" s="113" t="s">
        <v>898</v>
      </c>
      <c r="E72" s="115" t="s">
        <v>899</v>
      </c>
      <c r="F72" s="1" t="s">
        <v>45</v>
      </c>
      <c r="G72" s="1"/>
      <c r="H72" s="1"/>
      <c r="I72" s="1"/>
      <c r="J72" s="1"/>
    </row>
    <row r="74" spans="3:20" x14ac:dyDescent="0.35">
      <c r="C74" s="8" t="s">
        <v>858</v>
      </c>
    </row>
    <row r="75" spans="3:20" x14ac:dyDescent="0.35">
      <c r="C75" s="8" t="s">
        <v>107</v>
      </c>
      <c r="D75" s="14" t="s">
        <v>98</v>
      </c>
      <c r="E75" t="s">
        <v>45</v>
      </c>
      <c r="K75" t="s">
        <v>109</v>
      </c>
    </row>
    <row r="76" spans="3:20" x14ac:dyDescent="0.35">
      <c r="D76" t="s">
        <v>99</v>
      </c>
      <c r="E76" s="8" t="s">
        <v>102</v>
      </c>
      <c r="F76" s="8" t="s">
        <v>104</v>
      </c>
      <c r="G76" t="s">
        <v>104</v>
      </c>
      <c r="I76" s="14" t="s">
        <v>108</v>
      </c>
      <c r="J76" t="s">
        <v>107</v>
      </c>
      <c r="M76" t="s">
        <v>45</v>
      </c>
    </row>
    <row r="77" spans="3:20" x14ac:dyDescent="0.35">
      <c r="D77" t="s">
        <v>101</v>
      </c>
      <c r="E77" t="s">
        <v>103</v>
      </c>
      <c r="F77" s="8" t="s">
        <v>176</v>
      </c>
      <c r="G77" t="s">
        <v>178</v>
      </c>
      <c r="J77" t="s">
        <v>197</v>
      </c>
    </row>
    <row r="78" spans="3:20" x14ac:dyDescent="0.35">
      <c r="F78" s="8"/>
    </row>
    <row r="79" spans="3:20" x14ac:dyDescent="0.35">
      <c r="C79" t="s">
        <v>100</v>
      </c>
      <c r="D79">
        <v>7</v>
      </c>
      <c r="E79">
        <v>6</v>
      </c>
      <c r="F79" s="12">
        <f>D79/E79</f>
        <v>1.1666666666666667</v>
      </c>
      <c r="G79" s="12">
        <f>E79/D79</f>
        <v>0.8571428571428571</v>
      </c>
      <c r="H79" s="12"/>
      <c r="J79">
        <v>3</v>
      </c>
      <c r="K79" t="s">
        <v>423</v>
      </c>
    </row>
    <row r="80" spans="3:20" x14ac:dyDescent="0.35">
      <c r="C80" t="s">
        <v>100</v>
      </c>
      <c r="D80">
        <v>13</v>
      </c>
      <c r="E80">
        <v>10</v>
      </c>
      <c r="F80" s="12">
        <f>D80/E80</f>
        <v>1.3</v>
      </c>
      <c r="G80" s="12">
        <f>E80/D80</f>
        <v>0.76923076923076927</v>
      </c>
      <c r="H80" s="12"/>
      <c r="J80" s="8" t="s">
        <v>394</v>
      </c>
      <c r="K80" s="113" t="s">
        <v>482</v>
      </c>
      <c r="L80" s="113"/>
      <c r="M80" s="113"/>
      <c r="N80" s="113"/>
      <c r="O80" s="113">
        <v>2</v>
      </c>
      <c r="P80" s="113" t="s">
        <v>481</v>
      </c>
      <c r="Q80" s="113"/>
    </row>
    <row r="81" spans="3:26" x14ac:dyDescent="0.35">
      <c r="C81" t="s">
        <v>100</v>
      </c>
      <c r="D81">
        <v>30</v>
      </c>
      <c r="E81">
        <v>20</v>
      </c>
      <c r="F81" s="12">
        <f>D81/E81</f>
        <v>1.5</v>
      </c>
      <c r="G81" s="12">
        <f>E81/D81</f>
        <v>0.66666666666666663</v>
      </c>
      <c r="H81" s="12"/>
      <c r="J81" s="131">
        <f>F83/J79</f>
        <v>0.46597222222222223</v>
      </c>
      <c r="K81" t="s">
        <v>107</v>
      </c>
      <c r="L81" s="14" t="s">
        <v>418</v>
      </c>
    </row>
    <row r="82" spans="3:26" x14ac:dyDescent="0.35">
      <c r="C82" t="s">
        <v>100</v>
      </c>
      <c r="D82">
        <v>65</v>
      </c>
      <c r="E82">
        <v>40</v>
      </c>
      <c r="F82" s="12">
        <f>D82/E82</f>
        <v>1.625</v>
      </c>
      <c r="G82" s="12">
        <f>E82/D82</f>
        <v>0.61538461538461542</v>
      </c>
      <c r="H82" s="12"/>
    </row>
    <row r="83" spans="3:26" x14ac:dyDescent="0.35">
      <c r="C83" t="s">
        <v>105</v>
      </c>
      <c r="F83" s="131">
        <f>AVERAGE(F79:F82)</f>
        <v>1.3979166666666667</v>
      </c>
      <c r="G83" s="12">
        <f>AVERAGE(G79:G82)</f>
        <v>0.72710622710622708</v>
      </c>
      <c r="H83" s="12"/>
    </row>
    <row r="84" spans="3:26" x14ac:dyDescent="0.35">
      <c r="F84" s="131"/>
      <c r="G84" s="12"/>
      <c r="H84" s="12"/>
    </row>
    <row r="85" spans="3:26" x14ac:dyDescent="0.35">
      <c r="C85" s="8" t="s">
        <v>279</v>
      </c>
    </row>
    <row r="86" spans="3:26" x14ac:dyDescent="0.35">
      <c r="C86" t="s">
        <v>107</v>
      </c>
      <c r="D86" s="14" t="s">
        <v>259</v>
      </c>
      <c r="E86" t="s">
        <v>45</v>
      </c>
    </row>
    <row r="87" spans="3:26" x14ac:dyDescent="0.35">
      <c r="E87" s="8" t="s">
        <v>184</v>
      </c>
      <c r="F87" s="8" t="s">
        <v>282</v>
      </c>
      <c r="I87" s="8" t="s">
        <v>0</v>
      </c>
      <c r="J87" s="8" t="s">
        <v>104</v>
      </c>
    </row>
    <row r="88" spans="3:26" x14ac:dyDescent="0.35">
      <c r="E88" s="8"/>
      <c r="F88" s="8"/>
      <c r="I88" s="8"/>
      <c r="J88" s="8"/>
      <c r="K88" s="113" t="s">
        <v>1043</v>
      </c>
      <c r="L88" s="113"/>
      <c r="M88" s="113"/>
      <c r="N88" s="113"/>
      <c r="O88" s="113"/>
      <c r="P88" s="113"/>
      <c r="Q88" s="574">
        <f>F90/E90</f>
        <v>24.41505595116989</v>
      </c>
      <c r="R88" s="113" t="s">
        <v>1044</v>
      </c>
      <c r="S88" s="113"/>
      <c r="T88" s="113"/>
      <c r="U88" s="113"/>
      <c r="V88" s="113"/>
    </row>
    <row r="89" spans="3:26" x14ac:dyDescent="0.35">
      <c r="E89" s="8" t="s">
        <v>101</v>
      </c>
      <c r="F89" s="8" t="s">
        <v>283</v>
      </c>
      <c r="J89" s="8" t="s">
        <v>1116</v>
      </c>
    </row>
    <row r="90" spans="3:26" x14ac:dyDescent="0.35">
      <c r="D90" t="s">
        <v>280</v>
      </c>
      <c r="E90">
        <f>0.86+0.123</f>
        <v>0.98299999999999998</v>
      </c>
      <c r="F90">
        <f>16+8</f>
        <v>24</v>
      </c>
      <c r="I90">
        <f>F90*J90</f>
        <v>0.98299999999999998</v>
      </c>
      <c r="J90" s="131">
        <f>E90/F90</f>
        <v>4.0958333333333333E-2</v>
      </c>
    </row>
    <row r="91" spans="3:26" x14ac:dyDescent="0.35">
      <c r="D91" t="s">
        <v>281</v>
      </c>
    </row>
    <row r="92" spans="3:26" x14ac:dyDescent="0.35">
      <c r="D92" t="s">
        <v>107</v>
      </c>
      <c r="E92" s="14" t="s">
        <v>255</v>
      </c>
      <c r="F92" s="14" t="s">
        <v>259</v>
      </c>
      <c r="G92" t="s">
        <v>45</v>
      </c>
    </row>
    <row r="93" spans="3:26" x14ac:dyDescent="0.35">
      <c r="C93" t="s">
        <v>1108</v>
      </c>
    </row>
    <row r="94" spans="3:26" x14ac:dyDescent="0.35">
      <c r="C94" t="s">
        <v>107</v>
      </c>
      <c r="D94" s="14" t="s">
        <v>286</v>
      </c>
    </row>
    <row r="95" spans="3:26" x14ac:dyDescent="0.35">
      <c r="R95" s="6"/>
      <c r="S95" s="6"/>
      <c r="T95" s="6"/>
      <c r="U95" s="6"/>
      <c r="V95" s="6"/>
      <c r="W95" s="12"/>
      <c r="X95" s="12"/>
      <c r="Y95" s="12"/>
    </row>
    <row r="96" spans="3:26" ht="24" thickBot="1" x14ac:dyDescent="0.6">
      <c r="C96" s="11" t="s">
        <v>38</v>
      </c>
      <c r="X96" s="12"/>
      <c r="Y96" s="8"/>
      <c r="Z96" s="8" t="s">
        <v>32</v>
      </c>
    </row>
    <row r="97" spans="2:27" ht="15" thickTop="1" x14ac:dyDescent="0.35">
      <c r="C97" s="18" t="str">
        <f t="shared" ref="C97:X97" si="10">C6</f>
        <v>Chip name</v>
      </c>
      <c r="D97" s="19" t="str">
        <f t="shared" si="10"/>
        <v xml:space="preserve">Year </v>
      </c>
      <c r="E97" s="19" t="str">
        <f t="shared" si="10"/>
        <v>Chip type</v>
      </c>
      <c r="F97" s="19" t="str">
        <f t="shared" si="10"/>
        <v># of</v>
      </c>
      <c r="G97" s="19" t="str">
        <f t="shared" si="10"/>
        <v>Process</v>
      </c>
      <c r="H97" s="19" t="str">
        <f t="shared" ref="H97" si="11">H6</f>
        <v>Made</v>
      </c>
      <c r="I97" s="19" t="str">
        <f t="shared" si="10"/>
        <v>AI model</v>
      </c>
      <c r="J97" s="19" t="str">
        <f t="shared" si="10"/>
        <v>Associated</v>
      </c>
      <c r="K97" s="19" t="str">
        <f t="shared" si="10"/>
        <v>Memory</v>
      </c>
      <c r="L97" s="19" t="str">
        <f t="shared" si="10"/>
        <v>Transistors</v>
      </c>
      <c r="M97" s="19" t="str">
        <f t="shared" si="10"/>
        <v>Transistors</v>
      </c>
      <c r="N97" s="19" t="str">
        <f t="shared" si="10"/>
        <v>Cost USD</v>
      </c>
      <c r="O97" s="19" t="str">
        <f t="shared" si="10"/>
        <v>Die size</v>
      </c>
      <c r="P97" s="19" t="str">
        <f t="shared" si="10"/>
        <v>Layers</v>
      </c>
      <c r="Q97" s="19" t="str">
        <f t="shared" si="10"/>
        <v xml:space="preserve">Transistors </v>
      </c>
      <c r="R97" s="19" t="str">
        <f t="shared" si="10"/>
        <v xml:space="preserve">Watt </v>
      </c>
      <c r="S97" s="19" t="str">
        <f t="shared" si="10"/>
        <v>TFLOPS</v>
      </c>
      <c r="T97" s="19" t="str">
        <f t="shared" si="10"/>
        <v>TFLOPS</v>
      </c>
      <c r="U97" s="19" t="str">
        <f t="shared" si="10"/>
        <v>TFLOPS</v>
      </c>
      <c r="V97" s="19" t="str">
        <f t="shared" si="10"/>
        <v>TFLOPS</v>
      </c>
      <c r="W97" s="19" t="str">
        <f t="shared" si="10"/>
        <v>TFLOPS</v>
      </c>
      <c r="X97" s="20" t="str">
        <f t="shared" si="10"/>
        <v>TFLOPS</v>
      </c>
      <c r="Y97" s="8"/>
    </row>
    <row r="98" spans="2:27" x14ac:dyDescent="0.35">
      <c r="C98" s="21"/>
      <c r="D98" s="13" t="str">
        <f t="shared" ref="D98:X98" si="12">D7</f>
        <v>made</v>
      </c>
      <c r="E98" s="13" t="str">
        <f t="shared" si="12"/>
        <v>description</v>
      </c>
      <c r="F98" s="13" t="str">
        <f t="shared" si="12"/>
        <v>dies</v>
      </c>
      <c r="G98" s="13" t="str">
        <f t="shared" si="12"/>
        <v>node nm</v>
      </c>
      <c r="H98" s="13" t="str">
        <f t="shared" ref="H98" si="13">H7</f>
        <v xml:space="preserve">in </v>
      </c>
      <c r="I98" s="13" t="str">
        <f t="shared" si="12"/>
        <v>in billion</v>
      </c>
      <c r="J98" s="13" t="str">
        <f t="shared" si="12"/>
        <v>chip memory</v>
      </c>
      <c r="K98" s="13" t="str">
        <f t="shared" si="12"/>
        <v>bandwidth</v>
      </c>
      <c r="L98" s="13" t="str">
        <f t="shared" si="12"/>
        <v>in billions</v>
      </c>
      <c r="M98" s="13" t="str">
        <f t="shared" si="12"/>
        <v>in billions</v>
      </c>
      <c r="N98" s="13" t="str">
        <f t="shared" si="12"/>
        <v>system in</v>
      </c>
      <c r="O98" s="13" t="str">
        <f t="shared" si="12"/>
        <v xml:space="preserve">m </v>
      </c>
      <c r="P98" s="13" t="str">
        <f t="shared" si="12"/>
        <v>stacked</v>
      </c>
      <c r="Q98" s="13" t="str">
        <f t="shared" si="12"/>
        <v xml:space="preserve">millions per </v>
      </c>
      <c r="R98" s="13" t="str">
        <f t="shared" si="12"/>
        <v>usage</v>
      </c>
      <c r="S98" s="13" t="str">
        <f t="shared" si="12"/>
        <v>FP32</v>
      </c>
      <c r="T98" s="13" t="str">
        <f t="shared" si="12"/>
        <v>FP16</v>
      </c>
      <c r="U98" s="13" t="str">
        <f t="shared" si="12"/>
        <v>FP8 INT8</v>
      </c>
      <c r="V98" s="13" t="str">
        <f t="shared" si="12"/>
        <v>FP4</v>
      </c>
      <c r="W98" s="13" t="str">
        <f t="shared" si="12"/>
        <v>per Watt</v>
      </c>
      <c r="X98" s="22" t="str">
        <f t="shared" si="12"/>
        <v>per Watt</v>
      </c>
      <c r="Y98" s="8"/>
    </row>
    <row r="99" spans="2:27" ht="15" thickBot="1" x14ac:dyDescent="0.4">
      <c r="C99" s="210"/>
      <c r="D99" s="202"/>
      <c r="E99" s="202"/>
      <c r="F99" s="202"/>
      <c r="G99" s="202"/>
      <c r="H99" s="202" t="str">
        <f t="shared" ref="H99:M99" si="14">H8</f>
        <v>country</v>
      </c>
      <c r="I99" s="202" t="str">
        <f t="shared" si="14"/>
        <v>parameters</v>
      </c>
      <c r="J99" s="202" t="str">
        <f t="shared" si="14"/>
        <v>RAM in GB</v>
      </c>
      <c r="K99" s="202" t="str">
        <f t="shared" si="14"/>
        <v>GB/s</v>
      </c>
      <c r="L99" s="202" t="str">
        <f t="shared" si="14"/>
        <v>for RAM</v>
      </c>
      <c r="M99" s="202" t="str">
        <f t="shared" si="14"/>
        <v>for chip</v>
      </c>
      <c r="N99" s="202" t="str">
        <f>$N$8</f>
        <v>year made</v>
      </c>
      <c r="O99" s="202" t="str">
        <f>O8</f>
        <v>mm2</v>
      </c>
      <c r="P99" s="202"/>
      <c r="Q99" s="202" t="str">
        <f>Q8</f>
        <v>mm2 per layer</v>
      </c>
      <c r="R99" s="202"/>
      <c r="S99" s="202" t="str">
        <f t="shared" ref="S99:X99" si="15">S8</f>
        <v>CPU</v>
      </c>
      <c r="T99" s="202" t="str">
        <f t="shared" si="15"/>
        <v>GPU</v>
      </c>
      <c r="U99" s="202" t="str">
        <f t="shared" si="15"/>
        <v>BF16 AI</v>
      </c>
      <c r="V99" s="202" t="str">
        <f t="shared" si="15"/>
        <v>Inference</v>
      </c>
      <c r="W99" s="202" t="str">
        <f t="shared" si="15"/>
        <v>FP32 CPU</v>
      </c>
      <c r="X99" s="211" t="str">
        <f t="shared" si="15"/>
        <v>best FP</v>
      </c>
    </row>
    <row r="100" spans="2:27" ht="15" thickTop="1" x14ac:dyDescent="0.35">
      <c r="B100">
        <v>1</v>
      </c>
      <c r="C100" s="236" t="s">
        <v>809</v>
      </c>
      <c r="D100" s="237"/>
      <c r="E100" s="237"/>
      <c r="F100" s="237"/>
      <c r="G100" s="238"/>
      <c r="H100" s="238"/>
      <c r="I100" s="199"/>
      <c r="J100" s="239"/>
      <c r="K100" s="240"/>
      <c r="L100" s="239"/>
      <c r="M100" s="201"/>
      <c r="N100" s="239"/>
      <c r="O100" s="239"/>
      <c r="P100" s="239"/>
      <c r="Q100" s="238"/>
      <c r="R100" s="201"/>
      <c r="S100" s="241"/>
      <c r="T100" s="201"/>
      <c r="U100" s="201"/>
      <c r="V100" s="201"/>
      <c r="W100" s="241"/>
      <c r="X100" s="242"/>
      <c r="Y100">
        <v>1</v>
      </c>
      <c r="AA100" s="38"/>
    </row>
    <row r="101" spans="2:27" x14ac:dyDescent="0.35">
      <c r="B101">
        <f t="shared" ref="B101:B151" si="16">B100+1</f>
        <v>2</v>
      </c>
      <c r="C101" s="23" t="str">
        <f t="shared" ref="C101:C121" si="17">C10</f>
        <v>Nvidia V100 SXM2</v>
      </c>
      <c r="D101" s="35" t="s">
        <v>522</v>
      </c>
      <c r="E101" s="35" t="s">
        <v>523</v>
      </c>
      <c r="F101" s="35"/>
      <c r="G101" s="35" t="s">
        <v>522</v>
      </c>
      <c r="H101" s="41" t="s">
        <v>1472</v>
      </c>
      <c r="I101" s="116" t="s">
        <v>138</v>
      </c>
      <c r="J101" s="35" t="s">
        <v>522</v>
      </c>
      <c r="K101" s="105" t="s">
        <v>522</v>
      </c>
      <c r="L101" s="41" t="s">
        <v>302</v>
      </c>
      <c r="M101" s="35" t="s">
        <v>522</v>
      </c>
      <c r="N101" s="42" t="s">
        <v>1190</v>
      </c>
      <c r="O101" s="35" t="s">
        <v>522</v>
      </c>
      <c r="P101" s="35" t="s">
        <v>45</v>
      </c>
      <c r="Q101" s="100" t="s">
        <v>43</v>
      </c>
      <c r="R101" s="185" t="s">
        <v>523</v>
      </c>
      <c r="S101" s="185" t="s">
        <v>523</v>
      </c>
      <c r="T101" s="185" t="s">
        <v>523</v>
      </c>
      <c r="U101" s="108" t="s">
        <v>523</v>
      </c>
      <c r="V101" s="108"/>
      <c r="W101" s="38" t="s">
        <v>43</v>
      </c>
      <c r="X101" s="45" t="s">
        <v>43</v>
      </c>
      <c r="Y101">
        <f t="shared" ref="Y101:Y151" si="18">Y100+1</f>
        <v>2</v>
      </c>
    </row>
    <row r="102" spans="2:27" x14ac:dyDescent="0.35">
      <c r="B102">
        <f t="shared" si="16"/>
        <v>3</v>
      </c>
      <c r="C102" s="23" t="str">
        <f t="shared" si="17"/>
        <v>Nvidia A100 used for GTP-4 training</v>
      </c>
      <c r="D102" s="35" t="s">
        <v>81</v>
      </c>
      <c r="E102" s="35" t="s">
        <v>81</v>
      </c>
      <c r="F102" s="35" t="s">
        <v>82</v>
      </c>
      <c r="G102" s="35" t="s">
        <v>83</v>
      </c>
      <c r="H102" s="41" t="s">
        <v>1472</v>
      </c>
      <c r="I102" s="116" t="s">
        <v>138</v>
      </c>
      <c r="J102" s="35" t="s">
        <v>84</v>
      </c>
      <c r="K102" s="105" t="s">
        <v>81</v>
      </c>
      <c r="L102" s="41" t="s">
        <v>302</v>
      </c>
      <c r="M102" s="35" t="s">
        <v>85</v>
      </c>
      <c r="N102" s="42" t="s">
        <v>463</v>
      </c>
      <c r="O102" s="35" t="s">
        <v>86</v>
      </c>
      <c r="P102" s="35" t="s">
        <v>87</v>
      </c>
      <c r="Q102" s="100" t="s">
        <v>43</v>
      </c>
      <c r="R102" s="185" t="s">
        <v>81</v>
      </c>
      <c r="S102" s="185" t="s">
        <v>81</v>
      </c>
      <c r="T102" s="185" t="s">
        <v>82</v>
      </c>
      <c r="U102" s="108" t="s">
        <v>83</v>
      </c>
      <c r="V102" s="108"/>
      <c r="W102" s="38" t="s">
        <v>43</v>
      </c>
      <c r="X102" s="45" t="s">
        <v>43</v>
      </c>
      <c r="Y102">
        <f t="shared" si="18"/>
        <v>3</v>
      </c>
    </row>
    <row r="103" spans="2:27" x14ac:dyDescent="0.35">
      <c r="B103">
        <f t="shared" si="16"/>
        <v>4</v>
      </c>
      <c r="C103" s="23" t="str">
        <f t="shared" si="17"/>
        <v>Nvidia H100 SXM</v>
      </c>
      <c r="D103" s="35" t="s">
        <v>50</v>
      </c>
      <c r="E103" s="39" t="s">
        <v>50</v>
      </c>
      <c r="F103" s="39" t="s">
        <v>50</v>
      </c>
      <c r="G103" s="35" t="s">
        <v>51</v>
      </c>
      <c r="H103" s="41" t="s">
        <v>1472</v>
      </c>
      <c r="I103" s="116" t="s">
        <v>138</v>
      </c>
      <c r="J103" s="35" t="s">
        <v>48</v>
      </c>
      <c r="K103" s="105" t="s">
        <v>48</v>
      </c>
      <c r="L103" s="41" t="s">
        <v>302</v>
      </c>
      <c r="M103" s="42" t="s">
        <v>146</v>
      </c>
      <c r="N103" s="42" t="s">
        <v>146</v>
      </c>
      <c r="O103" s="42" t="s">
        <v>146</v>
      </c>
      <c r="P103" s="36" t="s">
        <v>45</v>
      </c>
      <c r="Q103" s="100" t="s">
        <v>43</v>
      </c>
      <c r="R103" s="40" t="s">
        <v>48</v>
      </c>
      <c r="S103" s="40" t="s">
        <v>48</v>
      </c>
      <c r="T103" s="40" t="s">
        <v>48</v>
      </c>
      <c r="U103" s="108" t="s">
        <v>48</v>
      </c>
      <c r="V103" s="108"/>
      <c r="W103" s="38" t="s">
        <v>43</v>
      </c>
      <c r="X103" s="45" t="s">
        <v>43</v>
      </c>
      <c r="Y103">
        <f t="shared" si="18"/>
        <v>4</v>
      </c>
    </row>
    <row r="104" spans="2:27" x14ac:dyDescent="0.35">
      <c r="B104">
        <f t="shared" si="16"/>
        <v>5</v>
      </c>
      <c r="C104" s="23" t="str">
        <f t="shared" si="17"/>
        <v>Nvidia B100 Blackwell</v>
      </c>
      <c r="D104" s="35" t="s">
        <v>764</v>
      </c>
      <c r="E104" s="35" t="s">
        <v>765</v>
      </c>
      <c r="F104" s="35" t="s">
        <v>766</v>
      </c>
      <c r="G104" s="35" t="s">
        <v>767</v>
      </c>
      <c r="H104" s="41" t="s">
        <v>1472</v>
      </c>
      <c r="I104" s="35" t="s">
        <v>769</v>
      </c>
      <c r="J104" s="35" t="s">
        <v>768</v>
      </c>
      <c r="K104" s="35" t="s">
        <v>770</v>
      </c>
      <c r="L104" s="35" t="s">
        <v>771</v>
      </c>
      <c r="M104" s="35" t="s">
        <v>801</v>
      </c>
      <c r="N104" s="14" t="s">
        <v>849</v>
      </c>
      <c r="O104" s="35" t="s">
        <v>772</v>
      </c>
      <c r="P104" s="35" t="s">
        <v>773</v>
      </c>
      <c r="Q104" s="35" t="s">
        <v>774</v>
      </c>
      <c r="R104" s="35" t="s">
        <v>819</v>
      </c>
      <c r="S104" s="35" t="s">
        <v>45</v>
      </c>
      <c r="T104" s="35" t="s">
        <v>819</v>
      </c>
      <c r="U104" s="35" t="s">
        <v>984</v>
      </c>
      <c r="V104" s="35" t="s">
        <v>984</v>
      </c>
      <c r="W104" s="38" t="s">
        <v>43</v>
      </c>
      <c r="X104" s="45" t="s">
        <v>43</v>
      </c>
      <c r="Y104">
        <f t="shared" si="18"/>
        <v>5</v>
      </c>
      <c r="Z104" s="35" t="s">
        <v>775</v>
      </c>
    </row>
    <row r="105" spans="2:27" x14ac:dyDescent="0.35">
      <c r="B105">
        <f t="shared" si="16"/>
        <v>6</v>
      </c>
      <c r="C105" s="23" t="str">
        <f t="shared" si="17"/>
        <v>Nvidia B200 Blackwell</v>
      </c>
      <c r="D105" s="35" t="s">
        <v>984</v>
      </c>
      <c r="E105" s="35" t="s">
        <v>984</v>
      </c>
      <c r="F105" s="35" t="s">
        <v>984</v>
      </c>
      <c r="G105" s="35" t="s">
        <v>768</v>
      </c>
      <c r="H105" s="41" t="s">
        <v>1472</v>
      </c>
      <c r="I105" s="116" t="s">
        <v>138</v>
      </c>
      <c r="J105" s="35" t="s">
        <v>984</v>
      </c>
      <c r="K105" s="35" t="s">
        <v>984</v>
      </c>
      <c r="L105" s="35"/>
      <c r="M105" s="35"/>
      <c r="N105" s="14" t="s">
        <v>849</v>
      </c>
      <c r="O105" s="35"/>
      <c r="P105" s="35"/>
      <c r="Q105" s="35"/>
      <c r="R105" s="35" t="s">
        <v>984</v>
      </c>
      <c r="S105" s="35" t="s">
        <v>45</v>
      </c>
      <c r="T105" s="35" t="s">
        <v>984</v>
      </c>
      <c r="U105" s="35" t="s">
        <v>984</v>
      </c>
      <c r="V105" s="35" t="s">
        <v>984</v>
      </c>
      <c r="W105" s="38" t="s">
        <v>43</v>
      </c>
      <c r="X105" s="45" t="s">
        <v>43</v>
      </c>
      <c r="Y105">
        <f t="shared" si="18"/>
        <v>6</v>
      </c>
    </row>
    <row r="106" spans="2:27" x14ac:dyDescent="0.35">
      <c r="B106">
        <f t="shared" si="16"/>
        <v>7</v>
      </c>
      <c r="C106" s="23" t="str">
        <f t="shared" si="17"/>
        <v>Nvidia GH200 CPU+GPU</v>
      </c>
      <c r="D106" s="35" t="s">
        <v>457</v>
      </c>
      <c r="E106" s="35" t="s">
        <v>93</v>
      </c>
      <c r="F106" s="35" t="s">
        <v>93</v>
      </c>
      <c r="G106" s="35" t="s">
        <v>93</v>
      </c>
      <c r="H106" s="41" t="s">
        <v>1472</v>
      </c>
      <c r="I106" s="116" t="s">
        <v>138</v>
      </c>
      <c r="J106" s="35" t="s">
        <v>93</v>
      </c>
      <c r="K106" s="105" t="s">
        <v>93</v>
      </c>
      <c r="L106" s="41" t="s">
        <v>302</v>
      </c>
      <c r="M106" s="35" t="s">
        <v>94</v>
      </c>
      <c r="N106" s="35" t="s">
        <v>1199</v>
      </c>
      <c r="O106" s="35" t="s">
        <v>93</v>
      </c>
      <c r="P106" s="35" t="s">
        <v>93</v>
      </c>
      <c r="Q106" s="100" t="s">
        <v>43</v>
      </c>
      <c r="R106" s="40" t="s">
        <v>93</v>
      </c>
      <c r="S106" s="40" t="s">
        <v>93</v>
      </c>
      <c r="T106" s="40" t="s">
        <v>93</v>
      </c>
      <c r="U106" s="108" t="s">
        <v>93</v>
      </c>
      <c r="V106" s="108"/>
      <c r="W106" s="38" t="s">
        <v>43</v>
      </c>
      <c r="X106" s="45" t="s">
        <v>43</v>
      </c>
      <c r="Y106">
        <f t="shared" si="18"/>
        <v>7</v>
      </c>
    </row>
    <row r="107" spans="2:27" x14ac:dyDescent="0.35">
      <c r="B107">
        <f t="shared" si="16"/>
        <v>8</v>
      </c>
      <c r="C107" s="23" t="str">
        <f t="shared" si="17"/>
        <v>Nvidia GB200 CPU+2*GPU</v>
      </c>
      <c r="D107" s="35" t="s">
        <v>758</v>
      </c>
      <c r="E107" s="35" t="s">
        <v>759</v>
      </c>
      <c r="F107" s="35" t="s">
        <v>760</v>
      </c>
      <c r="G107" s="35" t="s">
        <v>761</v>
      </c>
      <c r="H107" s="41" t="s">
        <v>1472</v>
      </c>
      <c r="I107" s="116" t="s">
        <v>138</v>
      </c>
      <c r="J107" s="35" t="s">
        <v>762</v>
      </c>
      <c r="K107" s="35" t="s">
        <v>758</v>
      </c>
      <c r="L107" s="41" t="s">
        <v>302</v>
      </c>
      <c r="M107" s="35" t="s">
        <v>754</v>
      </c>
      <c r="N107" s="14" t="s">
        <v>849</v>
      </c>
      <c r="O107" s="35" t="s">
        <v>755</v>
      </c>
      <c r="P107" s="35" t="s">
        <v>756</v>
      </c>
      <c r="Q107" s="100" t="s">
        <v>43</v>
      </c>
      <c r="R107" s="35" t="s">
        <v>819</v>
      </c>
      <c r="S107" s="35" t="s">
        <v>859</v>
      </c>
      <c r="T107" s="35" t="s">
        <v>819</v>
      </c>
      <c r="U107" s="35" t="s">
        <v>757</v>
      </c>
      <c r="V107" s="35" t="s">
        <v>758</v>
      </c>
      <c r="W107" s="38" t="s">
        <v>43</v>
      </c>
      <c r="X107" s="45" t="s">
        <v>43</v>
      </c>
      <c r="Y107">
        <f t="shared" si="18"/>
        <v>8</v>
      </c>
    </row>
    <row r="108" spans="2:27" x14ac:dyDescent="0.35">
      <c r="B108">
        <f t="shared" si="16"/>
        <v>9</v>
      </c>
      <c r="C108" s="23" t="str">
        <f t="shared" si="17"/>
        <v>AMD's MI300</v>
      </c>
      <c r="D108" s="35" t="s">
        <v>161</v>
      </c>
      <c r="E108" s="35" t="s">
        <v>161</v>
      </c>
      <c r="F108" s="35" t="s">
        <v>161</v>
      </c>
      <c r="G108" s="35" t="s">
        <v>161</v>
      </c>
      <c r="H108" s="41" t="s">
        <v>1473</v>
      </c>
      <c r="I108" s="116" t="s">
        <v>138</v>
      </c>
      <c r="J108" s="35" t="s">
        <v>161</v>
      </c>
      <c r="K108" s="105" t="s">
        <v>531</v>
      </c>
      <c r="L108" s="41" t="s">
        <v>302</v>
      </c>
      <c r="M108" s="35" t="s">
        <v>161</v>
      </c>
      <c r="N108" s="41" t="s">
        <v>45</v>
      </c>
      <c r="O108" s="35" t="s">
        <v>163</v>
      </c>
      <c r="P108" s="35" t="s">
        <v>161</v>
      </c>
      <c r="Q108" s="100" t="s">
        <v>43</v>
      </c>
      <c r="R108" s="40" t="s">
        <v>163</v>
      </c>
      <c r="S108" s="40" t="s">
        <v>164</v>
      </c>
      <c r="T108" s="40" t="s">
        <v>165</v>
      </c>
      <c r="U108" s="109" t="s">
        <v>624</v>
      </c>
      <c r="V108" s="109"/>
      <c r="W108" s="38" t="s">
        <v>43</v>
      </c>
      <c r="X108" s="45" t="s">
        <v>43</v>
      </c>
      <c r="Y108">
        <f t="shared" si="18"/>
        <v>9</v>
      </c>
    </row>
    <row r="109" spans="2:27" x14ac:dyDescent="0.35">
      <c r="B109">
        <f t="shared" si="16"/>
        <v>10</v>
      </c>
      <c r="C109" s="23" t="str">
        <f t="shared" si="17"/>
        <v>Intel Gaudi2 (Habana)</v>
      </c>
      <c r="D109" s="35" t="s">
        <v>637</v>
      </c>
      <c r="E109" s="35" t="s">
        <v>638</v>
      </c>
      <c r="F109" s="35" t="s">
        <v>637</v>
      </c>
      <c r="G109" s="35" t="s">
        <v>634</v>
      </c>
      <c r="H109" s="35" t="s">
        <v>1489</v>
      </c>
      <c r="I109" s="116" t="s">
        <v>138</v>
      </c>
      <c r="J109" s="35" t="s">
        <v>636</v>
      </c>
      <c r="K109" s="105" t="s">
        <v>634</v>
      </c>
      <c r="L109" s="41" t="s">
        <v>302</v>
      </c>
      <c r="M109" s="7" t="s">
        <v>45</v>
      </c>
      <c r="N109" s="7" t="s">
        <v>45</v>
      </c>
      <c r="O109" s="7" t="s">
        <v>45</v>
      </c>
      <c r="P109" s="7" t="s">
        <v>45</v>
      </c>
      <c r="Q109" s="7" t="s">
        <v>45</v>
      </c>
      <c r="R109" s="40" t="s">
        <v>634</v>
      </c>
      <c r="S109" s="40"/>
      <c r="T109" s="40"/>
      <c r="U109" s="108" t="s">
        <v>637</v>
      </c>
      <c r="V109" s="108"/>
      <c r="W109" s="38"/>
      <c r="X109" s="45"/>
      <c r="Y109">
        <f t="shared" si="18"/>
        <v>10</v>
      </c>
    </row>
    <row r="110" spans="2:27" x14ac:dyDescent="0.35">
      <c r="B110">
        <f t="shared" si="16"/>
        <v>11</v>
      </c>
      <c r="C110" s="23" t="str">
        <f t="shared" si="17"/>
        <v xml:space="preserve">Intel Gaudi 3 </v>
      </c>
      <c r="D110" s="35" t="s">
        <v>805</v>
      </c>
      <c r="E110" s="35" t="s">
        <v>805</v>
      </c>
      <c r="F110" s="35" t="s">
        <v>805</v>
      </c>
      <c r="G110" s="14" t="s">
        <v>807</v>
      </c>
      <c r="H110" s="14" t="s">
        <v>1489</v>
      </c>
      <c r="I110" s="35" t="s">
        <v>805</v>
      </c>
      <c r="J110" s="35" t="s">
        <v>805</v>
      </c>
      <c r="K110" s="35" t="s">
        <v>805</v>
      </c>
      <c r="L110" s="41" t="s">
        <v>302</v>
      </c>
      <c r="M110" s="7" t="s">
        <v>45</v>
      </c>
      <c r="N110" s="7" t="s">
        <v>45</v>
      </c>
      <c r="O110" s="7" t="s">
        <v>45</v>
      </c>
      <c r="P110" s="7" t="s">
        <v>45</v>
      </c>
      <c r="Q110" s="7" t="s">
        <v>45</v>
      </c>
      <c r="R110" s="35" t="s">
        <v>808</v>
      </c>
      <c r="S110" s="35" t="s">
        <v>45</v>
      </c>
      <c r="T110" s="35" t="s">
        <v>805</v>
      </c>
      <c r="U110" s="35" t="s">
        <v>805</v>
      </c>
      <c r="V110" s="108"/>
      <c r="W110" s="38"/>
      <c r="X110" s="45"/>
      <c r="Y110">
        <f t="shared" si="18"/>
        <v>11</v>
      </c>
    </row>
    <row r="111" spans="2:27" x14ac:dyDescent="0.35">
      <c r="B111">
        <f t="shared" si="16"/>
        <v>12</v>
      </c>
      <c r="C111" s="23" t="str">
        <f t="shared" si="17"/>
        <v>Google TPU v4</v>
      </c>
      <c r="D111" s="35" t="s">
        <v>617</v>
      </c>
      <c r="E111" s="35" t="s">
        <v>618</v>
      </c>
      <c r="F111" s="35"/>
      <c r="G111" s="35"/>
      <c r="H111" s="35" t="s">
        <v>1490</v>
      </c>
      <c r="I111" s="116" t="s">
        <v>138</v>
      </c>
      <c r="J111" s="35"/>
      <c r="K111" s="105" t="s">
        <v>622</v>
      </c>
      <c r="L111" s="41" t="s">
        <v>302</v>
      </c>
      <c r="M111" s="35" t="s">
        <v>621</v>
      </c>
      <c r="N111" s="41" t="s">
        <v>667</v>
      </c>
      <c r="O111" s="35" t="s">
        <v>621</v>
      </c>
      <c r="P111" s="35" t="s">
        <v>621</v>
      </c>
      <c r="Q111" s="100"/>
      <c r="R111" s="35" t="s">
        <v>622</v>
      </c>
      <c r="S111" s="40"/>
      <c r="T111" s="40"/>
      <c r="U111" s="108"/>
      <c r="V111" s="108"/>
      <c r="W111" s="38"/>
      <c r="X111" s="45"/>
      <c r="Y111">
        <f t="shared" si="18"/>
        <v>12</v>
      </c>
    </row>
    <row r="112" spans="2:27" x14ac:dyDescent="0.35">
      <c r="B112">
        <f t="shared" si="16"/>
        <v>13</v>
      </c>
      <c r="C112" s="23" t="str">
        <f t="shared" si="17"/>
        <v>Google TPU v4i</v>
      </c>
      <c r="D112" s="35" t="s">
        <v>617</v>
      </c>
      <c r="E112" s="35" t="s">
        <v>618</v>
      </c>
      <c r="F112" s="35"/>
      <c r="G112" s="35"/>
      <c r="H112" s="35" t="s">
        <v>1490</v>
      </c>
      <c r="I112" s="116" t="s">
        <v>138</v>
      </c>
      <c r="J112" s="35"/>
      <c r="K112" s="105" t="s">
        <v>623</v>
      </c>
      <c r="L112" s="41" t="s">
        <v>302</v>
      </c>
      <c r="M112" s="35" t="s">
        <v>621</v>
      </c>
      <c r="N112" s="35" t="s">
        <v>621</v>
      </c>
      <c r="O112" s="35" t="s">
        <v>621</v>
      </c>
      <c r="P112" s="35" t="s">
        <v>621</v>
      </c>
      <c r="Q112" s="100"/>
      <c r="R112" s="35" t="s">
        <v>623</v>
      </c>
      <c r="S112" s="40"/>
      <c r="T112" s="40"/>
      <c r="U112" s="108"/>
      <c r="V112" s="108"/>
      <c r="W112" s="38"/>
      <c r="X112" s="45"/>
      <c r="Y112">
        <f t="shared" si="18"/>
        <v>13</v>
      </c>
    </row>
    <row r="113" spans="2:27" x14ac:dyDescent="0.35">
      <c r="B113">
        <f t="shared" si="16"/>
        <v>14</v>
      </c>
      <c r="C113" s="23" t="str">
        <f t="shared" si="17"/>
        <v>Google TPU v5e</v>
      </c>
      <c r="D113" s="35" t="s">
        <v>611</v>
      </c>
      <c r="E113" s="35" t="s">
        <v>611</v>
      </c>
      <c r="F113" s="35"/>
      <c r="G113" s="35"/>
      <c r="H113" s="35" t="s">
        <v>1490</v>
      </c>
      <c r="I113" s="116" t="s">
        <v>138</v>
      </c>
      <c r="J113" s="35" t="s">
        <v>612</v>
      </c>
      <c r="K113" s="105" t="s">
        <v>612</v>
      </c>
      <c r="L113" s="41" t="s">
        <v>302</v>
      </c>
      <c r="M113" s="7" t="s">
        <v>45</v>
      </c>
      <c r="N113" s="7" t="s">
        <v>45</v>
      </c>
      <c r="O113" s="7" t="s">
        <v>45</v>
      </c>
      <c r="P113" s="7" t="s">
        <v>45</v>
      </c>
      <c r="Q113" s="7" t="s">
        <v>45</v>
      </c>
      <c r="R113" s="7" t="s">
        <v>45</v>
      </c>
      <c r="S113" s="7" t="s">
        <v>45</v>
      </c>
      <c r="T113" s="40"/>
      <c r="U113" s="108" t="s">
        <v>611</v>
      </c>
      <c r="V113" s="108"/>
      <c r="W113" s="38"/>
      <c r="X113" s="45" t="s">
        <v>43</v>
      </c>
      <c r="Y113">
        <f t="shared" si="18"/>
        <v>14</v>
      </c>
    </row>
    <row r="114" spans="2:27" x14ac:dyDescent="0.35">
      <c r="B114">
        <f t="shared" si="16"/>
        <v>15</v>
      </c>
      <c r="C114" s="23" t="str">
        <f t="shared" si="17"/>
        <v>Google TPU v6</v>
      </c>
      <c r="D114" s="35" t="s">
        <v>1378</v>
      </c>
      <c r="E114" s="35" t="s">
        <v>1379</v>
      </c>
      <c r="F114" s="35" t="s">
        <v>1379</v>
      </c>
      <c r="G114" s="35" t="s">
        <v>1379</v>
      </c>
      <c r="H114" s="35" t="s">
        <v>1490</v>
      </c>
      <c r="I114" s="35" t="s">
        <v>1379</v>
      </c>
      <c r="J114" s="35" t="s">
        <v>1379</v>
      </c>
      <c r="K114" s="35" t="s">
        <v>1379</v>
      </c>
      <c r="L114" s="35" t="s">
        <v>1379</v>
      </c>
      <c r="M114" s="35" t="s">
        <v>1379</v>
      </c>
      <c r="N114" s="35" t="s">
        <v>1379</v>
      </c>
      <c r="O114" s="35" t="s">
        <v>1379</v>
      </c>
      <c r="P114" s="35" t="s">
        <v>1379</v>
      </c>
      <c r="Q114" s="35" t="s">
        <v>1379</v>
      </c>
      <c r="R114" s="35" t="s">
        <v>1379</v>
      </c>
      <c r="S114" s="35" t="s">
        <v>1379</v>
      </c>
      <c r="T114" s="35" t="s">
        <v>1379</v>
      </c>
      <c r="U114" s="35" t="s">
        <v>1379</v>
      </c>
      <c r="V114" s="35" t="s">
        <v>1379</v>
      </c>
      <c r="W114" s="38"/>
      <c r="X114" s="45"/>
      <c r="Y114">
        <f t="shared" si="18"/>
        <v>15</v>
      </c>
    </row>
    <row r="115" spans="2:27" x14ac:dyDescent="0.35">
      <c r="B115">
        <f t="shared" si="16"/>
        <v>16</v>
      </c>
      <c r="C115" s="23" t="str">
        <f t="shared" si="17"/>
        <v xml:space="preserve">Amazon Trainium </v>
      </c>
      <c r="D115" s="35" t="s">
        <v>615</v>
      </c>
      <c r="E115" s="35" t="s">
        <v>615</v>
      </c>
      <c r="F115" s="35"/>
      <c r="G115" s="35"/>
      <c r="H115" s="7" t="s">
        <v>45</v>
      </c>
      <c r="I115" s="116" t="s">
        <v>138</v>
      </c>
      <c r="J115" s="35" t="s">
        <v>614</v>
      </c>
      <c r="K115" s="105" t="s">
        <v>641</v>
      </c>
      <c r="L115" s="41" t="s">
        <v>302</v>
      </c>
      <c r="M115" s="7" t="s">
        <v>45</v>
      </c>
      <c r="N115" s="7" t="s">
        <v>45</v>
      </c>
      <c r="O115" s="7" t="s">
        <v>45</v>
      </c>
      <c r="P115" s="7" t="s">
        <v>45</v>
      </c>
      <c r="Q115" s="7" t="s">
        <v>45</v>
      </c>
      <c r="R115" s="7" t="s">
        <v>45</v>
      </c>
      <c r="S115" s="225" t="s">
        <v>641</v>
      </c>
      <c r="T115" s="225" t="s">
        <v>641</v>
      </c>
      <c r="U115" s="225" t="s">
        <v>641</v>
      </c>
      <c r="V115" s="225"/>
      <c r="W115" s="38"/>
      <c r="X115" s="45" t="s">
        <v>43</v>
      </c>
      <c r="Y115">
        <f t="shared" si="18"/>
        <v>16</v>
      </c>
    </row>
    <row r="116" spans="2:27" x14ac:dyDescent="0.35">
      <c r="B116">
        <f t="shared" si="16"/>
        <v>17</v>
      </c>
      <c r="C116" s="23" t="str">
        <f t="shared" si="17"/>
        <v>Amazon Trainium 2</v>
      </c>
      <c r="D116" s="35" t="s">
        <v>1505</v>
      </c>
      <c r="E116" s="35" t="s">
        <v>1505</v>
      </c>
      <c r="F116" s="35"/>
      <c r="G116" s="35"/>
      <c r="H116" s="7"/>
      <c r="I116" s="116" t="s">
        <v>138</v>
      </c>
      <c r="J116" s="35" t="s">
        <v>1505</v>
      </c>
      <c r="K116" s="105"/>
      <c r="L116" s="41"/>
      <c r="M116" s="7"/>
      <c r="N116" s="7"/>
      <c r="O116" s="7"/>
      <c r="P116" s="7"/>
      <c r="Q116" s="7"/>
      <c r="R116" s="7"/>
      <c r="S116" s="225"/>
      <c r="T116" s="225"/>
      <c r="U116" s="42" t="s">
        <v>1505</v>
      </c>
      <c r="V116" s="225" t="s">
        <v>45</v>
      </c>
      <c r="W116" s="38"/>
      <c r="X116" s="45"/>
      <c r="Y116">
        <f t="shared" si="18"/>
        <v>17</v>
      </c>
    </row>
    <row r="117" spans="2:27" x14ac:dyDescent="0.35">
      <c r="B117">
        <f t="shared" si="16"/>
        <v>18</v>
      </c>
      <c r="C117" s="23" t="str">
        <f t="shared" si="17"/>
        <v>Meta MTIA v1</v>
      </c>
      <c r="D117" s="35" t="s">
        <v>632</v>
      </c>
      <c r="E117" s="35" t="s">
        <v>625</v>
      </c>
      <c r="F117" s="35" t="s">
        <v>626</v>
      </c>
      <c r="G117" s="35" t="s">
        <v>626</v>
      </c>
      <c r="H117" s="7" t="s">
        <v>45</v>
      </c>
      <c r="I117" s="116" t="s">
        <v>138</v>
      </c>
      <c r="J117" s="35" t="s">
        <v>631</v>
      </c>
      <c r="K117" s="105" t="s">
        <v>631</v>
      </c>
      <c r="L117" s="41" t="s">
        <v>302</v>
      </c>
      <c r="M117" s="7" t="s">
        <v>45</v>
      </c>
      <c r="N117" s="7" t="s">
        <v>45</v>
      </c>
      <c r="O117" s="35" t="s">
        <v>629</v>
      </c>
      <c r="P117" s="35" t="s">
        <v>630</v>
      </c>
      <c r="Q117" s="7" t="s">
        <v>45</v>
      </c>
      <c r="R117" s="224" t="s">
        <v>626</v>
      </c>
      <c r="S117" s="40" t="s">
        <v>45</v>
      </c>
      <c r="T117" s="40" t="s">
        <v>628</v>
      </c>
      <c r="U117" s="108" t="s">
        <v>628</v>
      </c>
      <c r="V117" s="108"/>
      <c r="W117" s="38" t="s">
        <v>43</v>
      </c>
      <c r="X117" s="45" t="s">
        <v>43</v>
      </c>
      <c r="Y117">
        <f t="shared" si="18"/>
        <v>18</v>
      </c>
    </row>
    <row r="118" spans="2:27" x14ac:dyDescent="0.35">
      <c r="B118">
        <f t="shared" si="16"/>
        <v>19</v>
      </c>
      <c r="C118" s="23" t="str">
        <f t="shared" si="17"/>
        <v>Microsoft Project Athena</v>
      </c>
      <c r="D118" s="35" t="s">
        <v>633</v>
      </c>
      <c r="E118" s="35" t="s">
        <v>633</v>
      </c>
      <c r="F118" s="35" t="s">
        <v>45</v>
      </c>
      <c r="G118" s="35" t="s">
        <v>633</v>
      </c>
      <c r="H118" s="7" t="s">
        <v>45</v>
      </c>
      <c r="I118" s="116"/>
      <c r="J118" s="35"/>
      <c r="K118" s="105"/>
      <c r="L118" s="41"/>
      <c r="M118" s="7"/>
      <c r="N118" s="7"/>
      <c r="O118" s="35"/>
      <c r="P118" s="35"/>
      <c r="Q118" s="7"/>
      <c r="R118" s="224"/>
      <c r="S118" s="40"/>
      <c r="T118" s="40"/>
      <c r="U118" s="108"/>
      <c r="V118" s="108"/>
      <c r="W118" s="38"/>
      <c r="X118" s="45"/>
      <c r="Y118">
        <f t="shared" si="18"/>
        <v>19</v>
      </c>
    </row>
    <row r="119" spans="2:27" x14ac:dyDescent="0.35">
      <c r="B119">
        <f t="shared" si="16"/>
        <v>20</v>
      </c>
      <c r="C119" s="23" t="str">
        <f t="shared" si="17"/>
        <v xml:space="preserve">Tesla D1 (Dojo) </v>
      </c>
      <c r="D119" s="35" t="s">
        <v>52</v>
      </c>
      <c r="E119" s="35" t="s">
        <v>52</v>
      </c>
      <c r="F119" s="35" t="s">
        <v>52</v>
      </c>
      <c r="G119" s="35" t="s">
        <v>52</v>
      </c>
      <c r="H119" s="35" t="s">
        <v>1491</v>
      </c>
      <c r="I119" s="116" t="s">
        <v>138</v>
      </c>
      <c r="J119" s="41" t="s">
        <v>485</v>
      </c>
      <c r="K119" s="105" t="s">
        <v>604</v>
      </c>
      <c r="L119" s="41" t="s">
        <v>302</v>
      </c>
      <c r="M119" s="35" t="s">
        <v>52</v>
      </c>
      <c r="N119" s="41" t="s">
        <v>45</v>
      </c>
      <c r="O119" s="35" t="s">
        <v>52</v>
      </c>
      <c r="P119" s="35" t="s">
        <v>52</v>
      </c>
      <c r="Q119" s="100" t="s">
        <v>43</v>
      </c>
      <c r="R119" s="35" t="s">
        <v>52</v>
      </c>
      <c r="S119" s="105" t="s">
        <v>604</v>
      </c>
      <c r="T119" s="221" t="s">
        <v>45</v>
      </c>
      <c r="U119" s="105" t="s">
        <v>604</v>
      </c>
      <c r="V119" s="105"/>
      <c r="W119" s="38" t="s">
        <v>43</v>
      </c>
      <c r="X119" s="45" t="s">
        <v>43</v>
      </c>
      <c r="Y119">
        <f t="shared" si="18"/>
        <v>20</v>
      </c>
    </row>
    <row r="120" spans="2:27" x14ac:dyDescent="0.35">
      <c r="B120">
        <f t="shared" si="16"/>
        <v>21</v>
      </c>
      <c r="C120" s="23" t="str">
        <f t="shared" si="17"/>
        <v xml:space="preserve">Cerebras WSE-2 </v>
      </c>
      <c r="D120" s="35" t="s">
        <v>54</v>
      </c>
      <c r="E120" s="35" t="s">
        <v>54</v>
      </c>
      <c r="F120" s="35" t="s">
        <v>54</v>
      </c>
      <c r="G120" s="35" t="s">
        <v>54</v>
      </c>
      <c r="H120" s="35" t="s">
        <v>1492</v>
      </c>
      <c r="I120" s="116" t="s">
        <v>138</v>
      </c>
      <c r="J120" s="41" t="s">
        <v>485</v>
      </c>
      <c r="K120" s="105" t="s">
        <v>54</v>
      </c>
      <c r="L120" s="41" t="s">
        <v>302</v>
      </c>
      <c r="M120" s="35" t="s">
        <v>54</v>
      </c>
      <c r="N120" s="35" t="s">
        <v>123</v>
      </c>
      <c r="O120" s="35" t="s">
        <v>54</v>
      </c>
      <c r="P120" s="35" t="s">
        <v>54</v>
      </c>
      <c r="Q120" s="100" t="s">
        <v>43</v>
      </c>
      <c r="R120" s="35" t="s">
        <v>140</v>
      </c>
      <c r="S120" t="s">
        <v>992</v>
      </c>
      <c r="T120" s="35" t="s">
        <v>139</v>
      </c>
      <c r="U120" s="116" t="s">
        <v>1114</v>
      </c>
      <c r="V120" s="116" t="s">
        <v>1114</v>
      </c>
      <c r="W120" s="38" t="s">
        <v>43</v>
      </c>
      <c r="X120" s="45" t="s">
        <v>43</v>
      </c>
      <c r="Y120">
        <f t="shared" si="18"/>
        <v>21</v>
      </c>
      <c r="AA120" s="38"/>
    </row>
    <row r="121" spans="2:27" ht="15" thickBot="1" x14ac:dyDescent="0.4">
      <c r="B121">
        <f t="shared" si="16"/>
        <v>22</v>
      </c>
      <c r="C121" s="23" t="str">
        <f t="shared" si="17"/>
        <v>Cerebras WSE-3</v>
      </c>
      <c r="D121" s="35" t="s">
        <v>727</v>
      </c>
      <c r="E121" s="35" t="s">
        <v>728</v>
      </c>
      <c r="F121" s="35" t="s">
        <v>729</v>
      </c>
      <c r="G121" s="35" t="s">
        <v>730</v>
      </c>
      <c r="H121" s="35" t="s">
        <v>1492</v>
      </c>
      <c r="I121" s="116"/>
      <c r="J121" s="41" t="s">
        <v>485</v>
      </c>
      <c r="K121" s="105"/>
      <c r="L121" s="41"/>
      <c r="M121" s="35" t="s">
        <v>727</v>
      </c>
      <c r="N121" s="35" t="s">
        <v>732</v>
      </c>
      <c r="O121" s="35" t="s">
        <v>727</v>
      </c>
      <c r="P121" s="35" t="s">
        <v>728</v>
      </c>
      <c r="Q121" s="100" t="s">
        <v>43</v>
      </c>
      <c r="R121" s="35" t="s">
        <v>733</v>
      </c>
      <c r="S121" t="s">
        <v>993</v>
      </c>
      <c r="T121" s="35" t="s">
        <v>731</v>
      </c>
      <c r="U121" s="116" t="s">
        <v>1114</v>
      </c>
      <c r="V121" s="116" t="s">
        <v>1114</v>
      </c>
      <c r="W121" s="38"/>
      <c r="X121" s="45"/>
      <c r="Y121">
        <f t="shared" si="18"/>
        <v>22</v>
      </c>
      <c r="AA121" s="38"/>
    </row>
    <row r="122" spans="2:27" ht="15" thickTop="1" x14ac:dyDescent="0.35">
      <c r="B122">
        <f t="shared" si="16"/>
        <v>23</v>
      </c>
      <c r="C122" s="702" t="s">
        <v>811</v>
      </c>
      <c r="D122" s="713"/>
      <c r="E122" s="713"/>
      <c r="F122" s="713"/>
      <c r="G122" s="713"/>
      <c r="H122" s="713"/>
      <c r="I122" s="714"/>
      <c r="J122" s="715"/>
      <c r="K122" s="715"/>
      <c r="L122" s="714"/>
      <c r="M122" s="714"/>
      <c r="N122" s="714"/>
      <c r="O122" s="714"/>
      <c r="P122" s="714"/>
      <c r="Q122" s="717"/>
      <c r="R122" s="714"/>
      <c r="S122" s="718"/>
      <c r="T122" s="715"/>
      <c r="U122" s="715"/>
      <c r="V122" s="715"/>
      <c r="W122" s="719"/>
      <c r="X122" s="720"/>
      <c r="Y122">
        <f t="shared" si="18"/>
        <v>23</v>
      </c>
      <c r="AA122" s="38"/>
    </row>
    <row r="123" spans="2:27" x14ac:dyDescent="0.35">
      <c r="B123">
        <f t="shared" si="16"/>
        <v>24</v>
      </c>
      <c r="C123" s="23" t="str">
        <f t="shared" ref="C123:C129" si="19">C32</f>
        <v xml:space="preserve">Tesla HW3 or AI3 </v>
      </c>
      <c r="D123" s="35" t="s">
        <v>63</v>
      </c>
      <c r="E123" s="35" t="s">
        <v>64</v>
      </c>
      <c r="F123" s="35" t="s">
        <v>64</v>
      </c>
      <c r="G123" s="35" t="s">
        <v>66</v>
      </c>
      <c r="H123" s="35" t="s">
        <v>1482</v>
      </c>
      <c r="I123" s="116" t="s">
        <v>138</v>
      </c>
      <c r="J123" s="35" t="s">
        <v>193</v>
      </c>
      <c r="K123" s="105" t="s">
        <v>193</v>
      </c>
      <c r="L123" s="41" t="s">
        <v>302</v>
      </c>
      <c r="M123" s="35" t="s">
        <v>72</v>
      </c>
      <c r="N123" s="41" t="s">
        <v>491</v>
      </c>
      <c r="O123" s="35" t="s">
        <v>64</v>
      </c>
      <c r="P123" s="35" t="s">
        <v>64</v>
      </c>
      <c r="Q123" s="100" t="s">
        <v>43</v>
      </c>
      <c r="R123" s="35" t="s">
        <v>72</v>
      </c>
      <c r="S123" s="35" t="s">
        <v>64</v>
      </c>
      <c r="T123" s="35" t="s">
        <v>64</v>
      </c>
      <c r="U123" s="105" t="s">
        <v>278</v>
      </c>
      <c r="V123" s="105"/>
      <c r="W123" s="38" t="s">
        <v>43</v>
      </c>
      <c r="X123" s="45" t="s">
        <v>43</v>
      </c>
      <c r="Y123">
        <f t="shared" si="18"/>
        <v>24</v>
      </c>
      <c r="Z123" t="s">
        <v>392</v>
      </c>
      <c r="AA123" t="s">
        <v>45</v>
      </c>
    </row>
    <row r="124" spans="2:27" x14ac:dyDescent="0.35">
      <c r="B124">
        <f t="shared" si="16"/>
        <v>25</v>
      </c>
      <c r="C124" s="23" t="str">
        <f t="shared" si="19"/>
        <v xml:space="preserve">Tesla HW4 or AI4 </v>
      </c>
      <c r="D124" s="35" t="s">
        <v>73</v>
      </c>
      <c r="E124" s="41" t="s">
        <v>45</v>
      </c>
      <c r="F124" s="41" t="s">
        <v>45</v>
      </c>
      <c r="G124" s="35" t="s">
        <v>74</v>
      </c>
      <c r="H124" s="35" t="s">
        <v>1486</v>
      </c>
      <c r="I124" s="116" t="s">
        <v>138</v>
      </c>
      <c r="J124" s="35" t="s">
        <v>73</v>
      </c>
      <c r="K124" s="116" t="s">
        <v>930</v>
      </c>
      <c r="L124" s="41" t="s">
        <v>302</v>
      </c>
      <c r="M124" s="41" t="s">
        <v>302</v>
      </c>
      <c r="N124" s="41" t="s">
        <v>491</v>
      </c>
      <c r="O124" s="35"/>
      <c r="P124" s="35"/>
      <c r="Q124" s="100" t="s">
        <v>43</v>
      </c>
      <c r="R124" s="35" t="s">
        <v>928</v>
      </c>
      <c r="S124" s="35"/>
      <c r="T124" s="119" t="s">
        <v>45</v>
      </c>
      <c r="U124" s="105" t="s">
        <v>836</v>
      </c>
      <c r="V124" s="105"/>
      <c r="W124" s="38" t="s">
        <v>45</v>
      </c>
      <c r="X124" s="45" t="s">
        <v>45</v>
      </c>
      <c r="Y124">
        <f t="shared" si="18"/>
        <v>25</v>
      </c>
    </row>
    <row r="125" spans="2:27" x14ac:dyDescent="0.35">
      <c r="B125">
        <f t="shared" si="16"/>
        <v>26</v>
      </c>
      <c r="C125" s="23" t="str">
        <f t="shared" si="19"/>
        <v xml:space="preserve">Tesla HW5 or AI5 </v>
      </c>
      <c r="D125" s="169" t="s">
        <v>835</v>
      </c>
      <c r="E125" s="169"/>
      <c r="F125" s="169"/>
      <c r="G125" s="169" t="s">
        <v>45</v>
      </c>
      <c r="H125" s="169" t="s">
        <v>1482</v>
      </c>
      <c r="I125" s="116" t="s">
        <v>138</v>
      </c>
      <c r="J125" s="169" t="s">
        <v>325</v>
      </c>
      <c r="K125" s="116" t="s">
        <v>45</v>
      </c>
      <c r="L125" s="169" t="s">
        <v>302</v>
      </c>
      <c r="M125" s="169" t="s">
        <v>302</v>
      </c>
      <c r="N125" s="169" t="s">
        <v>491</v>
      </c>
      <c r="O125" s="39"/>
      <c r="P125" s="39"/>
      <c r="Q125" s="100" t="s">
        <v>43</v>
      </c>
      <c r="R125" s="39" t="s">
        <v>839</v>
      </c>
      <c r="S125" s="39"/>
      <c r="T125" s="283" t="s">
        <v>45</v>
      </c>
      <c r="U125" s="105" t="s">
        <v>837</v>
      </c>
      <c r="V125" s="105" t="s">
        <v>867</v>
      </c>
      <c r="W125" s="38" t="s">
        <v>45</v>
      </c>
      <c r="X125" s="45" t="s">
        <v>45</v>
      </c>
      <c r="Y125">
        <f t="shared" si="18"/>
        <v>26</v>
      </c>
    </row>
    <row r="126" spans="2:27" x14ac:dyDescent="0.35">
      <c r="B126">
        <f t="shared" si="16"/>
        <v>27</v>
      </c>
      <c r="C126" s="23" t="str">
        <f t="shared" si="19"/>
        <v xml:space="preserve">Nvidia drive Jetson Orin 8GB NX nano </v>
      </c>
      <c r="D126" s="39" t="s">
        <v>1471</v>
      </c>
      <c r="E126" s="169"/>
      <c r="F126" s="169"/>
      <c r="G126" s="169" t="s">
        <v>1471</v>
      </c>
      <c r="H126" s="41" t="s">
        <v>1472</v>
      </c>
      <c r="I126" s="116" t="s">
        <v>138</v>
      </c>
      <c r="J126" s="169" t="s">
        <v>1499</v>
      </c>
      <c r="K126" s="116" t="s">
        <v>1499</v>
      </c>
      <c r="L126" s="169" t="s">
        <v>302</v>
      </c>
      <c r="M126" s="39" t="s">
        <v>1471</v>
      </c>
      <c r="N126" s="39" t="s">
        <v>1191</v>
      </c>
      <c r="O126" s="39" t="s">
        <v>45</v>
      </c>
      <c r="P126" s="39"/>
      <c r="Q126" s="100"/>
      <c r="R126" s="39" t="s">
        <v>1499</v>
      </c>
      <c r="S126" s="39"/>
      <c r="T126" s="283"/>
      <c r="U126" s="105" t="s">
        <v>1499</v>
      </c>
      <c r="V126" s="105"/>
      <c r="W126" s="38"/>
      <c r="X126" s="45" t="s">
        <v>43</v>
      </c>
      <c r="Y126">
        <f>Y125+1</f>
        <v>27</v>
      </c>
    </row>
    <row r="127" spans="2:27" x14ac:dyDescent="0.35">
      <c r="B127">
        <f t="shared" si="16"/>
        <v>28</v>
      </c>
      <c r="C127" s="23" t="str">
        <f t="shared" si="19"/>
        <v>Nvidia Jetson Orin 8GB Nano Super</v>
      </c>
      <c r="D127" s="39" t="s">
        <v>1675</v>
      </c>
      <c r="E127" s="39" t="s">
        <v>1676</v>
      </c>
      <c r="F127" s="39" t="s">
        <v>1677</v>
      </c>
      <c r="G127" s="169" t="s">
        <v>1682</v>
      </c>
      <c r="H127" s="41" t="s">
        <v>1472</v>
      </c>
      <c r="I127" s="116" t="s">
        <v>138</v>
      </c>
      <c r="J127" s="169" t="s">
        <v>1678</v>
      </c>
      <c r="K127" s="116" t="s">
        <v>1678</v>
      </c>
      <c r="L127" s="169" t="s">
        <v>302</v>
      </c>
      <c r="M127" s="169"/>
      <c r="N127" s="169" t="s">
        <v>1675</v>
      </c>
      <c r="O127" s="39" t="s">
        <v>45</v>
      </c>
      <c r="P127" s="39"/>
      <c r="Q127" s="100"/>
      <c r="R127" s="39" t="s">
        <v>1675</v>
      </c>
      <c r="S127" s="39" t="s">
        <v>45</v>
      </c>
      <c r="T127" s="283"/>
      <c r="U127" s="105" t="s">
        <v>1678</v>
      </c>
      <c r="V127" s="105" t="s">
        <v>45</v>
      </c>
      <c r="W127" s="38" t="s">
        <v>43</v>
      </c>
      <c r="X127" s="45" t="s">
        <v>43</v>
      </c>
      <c r="Y127">
        <f t="shared" si="18"/>
        <v>28</v>
      </c>
    </row>
    <row r="128" spans="2:27" x14ac:dyDescent="0.35">
      <c r="B128">
        <f t="shared" si="16"/>
        <v>29</v>
      </c>
      <c r="C128" s="23" t="str">
        <f t="shared" si="19"/>
        <v>Nvidia Jetson Orin 16GB Nano Super</v>
      </c>
      <c r="D128" s="39" t="s">
        <v>1681</v>
      </c>
      <c r="E128" s="39" t="s">
        <v>1686</v>
      </c>
      <c r="F128" s="39"/>
      <c r="G128" s="169" t="s">
        <v>1687</v>
      </c>
      <c r="H128" s="41" t="s">
        <v>1472</v>
      </c>
      <c r="I128" s="116" t="s">
        <v>138</v>
      </c>
      <c r="J128" s="169" t="s">
        <v>1681</v>
      </c>
      <c r="K128" s="116" t="s">
        <v>1681</v>
      </c>
      <c r="L128" s="169" t="s">
        <v>302</v>
      </c>
      <c r="M128" s="169" t="s">
        <v>45</v>
      </c>
      <c r="N128" s="39" t="s">
        <v>1191</v>
      </c>
      <c r="O128" s="39" t="s">
        <v>45</v>
      </c>
      <c r="P128" s="39"/>
      <c r="Q128" s="100"/>
      <c r="R128" s="39"/>
      <c r="S128" s="39"/>
      <c r="T128" s="283"/>
      <c r="U128" s="105" t="s">
        <v>1191</v>
      </c>
      <c r="V128" s="105" t="s">
        <v>45</v>
      </c>
      <c r="W128" s="38" t="s">
        <v>43</v>
      </c>
      <c r="X128" s="45" t="s">
        <v>43</v>
      </c>
      <c r="Y128">
        <f t="shared" si="18"/>
        <v>29</v>
      </c>
    </row>
    <row r="129" spans="2:27" x14ac:dyDescent="0.35">
      <c r="B129">
        <f t="shared" si="16"/>
        <v>30</v>
      </c>
      <c r="C129" s="23" t="str">
        <f t="shared" si="19"/>
        <v>Nvidia drive Jetson Orin AGX 32GB</v>
      </c>
      <c r="D129" s="39" t="s">
        <v>1191</v>
      </c>
      <c r="E129" s="39" t="s">
        <v>1191</v>
      </c>
      <c r="F129" s="39" t="s">
        <v>45</v>
      </c>
      <c r="G129" s="169"/>
      <c r="H129" s="41" t="s">
        <v>1472</v>
      </c>
      <c r="I129" s="116" t="s">
        <v>138</v>
      </c>
      <c r="J129" s="169" t="s">
        <v>1191</v>
      </c>
      <c r="K129" s="116" t="s">
        <v>1689</v>
      </c>
      <c r="L129" s="169" t="s">
        <v>302</v>
      </c>
      <c r="M129" s="169"/>
      <c r="N129" s="39"/>
      <c r="O129" s="39"/>
      <c r="P129" s="39"/>
      <c r="Q129" s="100"/>
      <c r="R129" s="39"/>
      <c r="S129" s="39"/>
      <c r="T129" s="283"/>
      <c r="U129" s="105" t="s">
        <v>1191</v>
      </c>
      <c r="V129" s="105" t="s">
        <v>45</v>
      </c>
      <c r="W129" s="38" t="s">
        <v>43</v>
      </c>
      <c r="X129" s="45" t="s">
        <v>43</v>
      </c>
      <c r="Y129">
        <f t="shared" si="18"/>
        <v>30</v>
      </c>
    </row>
    <row r="130" spans="2:27" x14ac:dyDescent="0.35">
      <c r="B130">
        <f t="shared" si="16"/>
        <v>31</v>
      </c>
      <c r="C130" s="23" t="str">
        <f t="shared" ref="C130:C131" si="20">C39</f>
        <v>Nvidia drive Jetson Orin AGX 64GB</v>
      </c>
      <c r="D130" s="35" t="s">
        <v>71</v>
      </c>
      <c r="E130" s="35" t="s">
        <v>89</v>
      </c>
      <c r="F130" s="35" t="s">
        <v>89</v>
      </c>
      <c r="G130" s="35" t="s">
        <v>89</v>
      </c>
      <c r="H130" s="41" t="s">
        <v>1472</v>
      </c>
      <c r="I130" s="116" t="s">
        <v>138</v>
      </c>
      <c r="J130" s="35" t="s">
        <v>89</v>
      </c>
      <c r="K130" s="105" t="s">
        <v>89</v>
      </c>
      <c r="L130" s="41" t="s">
        <v>302</v>
      </c>
      <c r="M130" s="35" t="s">
        <v>89</v>
      </c>
      <c r="N130" s="35" t="s">
        <v>1191</v>
      </c>
      <c r="O130" s="35" t="s">
        <v>89</v>
      </c>
      <c r="P130" s="35" t="s">
        <v>89</v>
      </c>
      <c r="Q130" s="100" t="s">
        <v>43</v>
      </c>
      <c r="R130" s="35" t="s">
        <v>89</v>
      </c>
      <c r="S130" s="35" t="s">
        <v>89</v>
      </c>
      <c r="T130" s="119" t="s">
        <v>45</v>
      </c>
      <c r="U130" s="105" t="s">
        <v>89</v>
      </c>
      <c r="V130" s="105" t="s">
        <v>45</v>
      </c>
      <c r="W130" s="38" t="s">
        <v>43</v>
      </c>
      <c r="X130" s="45" t="s">
        <v>43</v>
      </c>
      <c r="Y130">
        <f t="shared" si="18"/>
        <v>31</v>
      </c>
    </row>
    <row r="131" spans="2:27" x14ac:dyDescent="0.35">
      <c r="B131">
        <f t="shared" si="16"/>
        <v>32</v>
      </c>
      <c r="C131" s="23" t="str">
        <f t="shared" si="20"/>
        <v>Nvidia drive Thor</v>
      </c>
      <c r="D131" s="39" t="s">
        <v>91</v>
      </c>
      <c r="E131" s="39" t="s">
        <v>91</v>
      </c>
      <c r="F131" s="169" t="s">
        <v>45</v>
      </c>
      <c r="G131" s="169" t="s">
        <v>45</v>
      </c>
      <c r="H131" s="41" t="s">
        <v>1472</v>
      </c>
      <c r="I131" s="116" t="s">
        <v>45</v>
      </c>
      <c r="J131" s="169" t="s">
        <v>45</v>
      </c>
      <c r="K131" s="116" t="s">
        <v>45</v>
      </c>
      <c r="L131" s="169" t="s">
        <v>45</v>
      </c>
      <c r="M131" s="169" t="s">
        <v>45</v>
      </c>
      <c r="N131" s="169" t="s">
        <v>45</v>
      </c>
      <c r="O131" s="169" t="s">
        <v>45</v>
      </c>
      <c r="P131" s="169" t="s">
        <v>45</v>
      </c>
      <c r="Q131" s="100" t="s">
        <v>45</v>
      </c>
      <c r="R131" s="169" t="s">
        <v>908</v>
      </c>
      <c r="S131" s="248" t="s">
        <v>45</v>
      </c>
      <c r="T131" s="283" t="s">
        <v>45</v>
      </c>
      <c r="U131" s="105" t="s">
        <v>90</v>
      </c>
      <c r="V131" s="116" t="s">
        <v>1115</v>
      </c>
      <c r="W131" s="38" t="s">
        <v>43</v>
      </c>
      <c r="X131" s="45" t="s">
        <v>43</v>
      </c>
      <c r="Y131">
        <f t="shared" si="18"/>
        <v>32</v>
      </c>
    </row>
    <row r="132" spans="2:27" x14ac:dyDescent="0.35">
      <c r="B132">
        <f t="shared" si="16"/>
        <v>33</v>
      </c>
      <c r="C132" s="23" t="str">
        <f t="shared" ref="C132:C135" si="21">C41</f>
        <v>Intel Mobileye EyeQ5</v>
      </c>
      <c r="D132" s="39" t="s">
        <v>1467</v>
      </c>
      <c r="E132" s="39" t="s">
        <v>1467</v>
      </c>
      <c r="F132" s="169" t="s">
        <v>45</v>
      </c>
      <c r="G132" s="169" t="s">
        <v>1467</v>
      </c>
      <c r="H132" s="39" t="s">
        <v>1487</v>
      </c>
      <c r="I132" s="116" t="s">
        <v>45</v>
      </c>
      <c r="J132" s="169" t="s">
        <v>45</v>
      </c>
      <c r="K132" s="116" t="s">
        <v>45</v>
      </c>
      <c r="L132" s="169" t="s">
        <v>45</v>
      </c>
      <c r="M132" s="169" t="s">
        <v>45</v>
      </c>
      <c r="N132" s="169" t="s">
        <v>1467</v>
      </c>
      <c r="O132" s="169" t="s">
        <v>45</v>
      </c>
      <c r="P132" s="169"/>
      <c r="Q132" s="100"/>
      <c r="R132" s="169"/>
      <c r="S132" s="658" t="s">
        <v>1467</v>
      </c>
      <c r="T132" s="283" t="s">
        <v>45</v>
      </c>
      <c r="U132" s="105" t="s">
        <v>1467</v>
      </c>
      <c r="V132" s="116" t="s">
        <v>45</v>
      </c>
      <c r="W132" s="38" t="s">
        <v>43</v>
      </c>
      <c r="X132" s="45" t="s">
        <v>43</v>
      </c>
      <c r="Y132">
        <f t="shared" si="18"/>
        <v>33</v>
      </c>
    </row>
    <row r="133" spans="2:27" x14ac:dyDescent="0.35">
      <c r="B133">
        <f t="shared" si="16"/>
        <v>34</v>
      </c>
      <c r="C133" s="23" t="str">
        <f t="shared" si="21"/>
        <v>Qualcomm Snapdragon Ride, SA8650P</v>
      </c>
      <c r="D133" s="39" t="s">
        <v>1471</v>
      </c>
      <c r="E133" s="39" t="s">
        <v>1471</v>
      </c>
      <c r="F133" s="169"/>
      <c r="G133" s="169" t="s">
        <v>1471</v>
      </c>
      <c r="H133" s="169" t="s">
        <v>1488</v>
      </c>
      <c r="I133" s="116" t="s">
        <v>45</v>
      </c>
      <c r="J133" s="169"/>
      <c r="K133" s="116"/>
      <c r="L133" s="169"/>
      <c r="M133" s="169"/>
      <c r="N133" s="169"/>
      <c r="O133" s="169"/>
      <c r="P133" s="169"/>
      <c r="Q133" s="100"/>
      <c r="R133" s="169"/>
      <c r="S133" s="248"/>
      <c r="T133" s="283"/>
      <c r="U133" s="105" t="s">
        <v>1471</v>
      </c>
      <c r="V133" s="116" t="s">
        <v>45</v>
      </c>
      <c r="W133" s="38"/>
      <c r="X133" s="45"/>
      <c r="Y133">
        <f t="shared" si="18"/>
        <v>34</v>
      </c>
    </row>
    <row r="134" spans="2:27" x14ac:dyDescent="0.35">
      <c r="B134">
        <f t="shared" si="16"/>
        <v>35</v>
      </c>
      <c r="C134" s="23" t="str">
        <f t="shared" si="21"/>
        <v>Horizon Robotics J6E/J6M</v>
      </c>
      <c r="D134" s="39" t="s">
        <v>1471</v>
      </c>
      <c r="E134" s="39" t="s">
        <v>1471</v>
      </c>
      <c r="F134" s="169" t="s">
        <v>45</v>
      </c>
      <c r="G134" s="169" t="s">
        <v>1471</v>
      </c>
      <c r="H134" s="169" t="s">
        <v>1480</v>
      </c>
      <c r="I134" s="116" t="s">
        <v>45</v>
      </c>
      <c r="J134" s="169"/>
      <c r="K134" s="116"/>
      <c r="L134" s="169"/>
      <c r="M134" s="169"/>
      <c r="N134" s="169"/>
      <c r="O134" s="169"/>
      <c r="P134" s="169"/>
      <c r="Q134" s="100"/>
      <c r="R134" s="169"/>
      <c r="S134" s="248"/>
      <c r="T134" s="283"/>
      <c r="U134" s="105" t="s">
        <v>1471</v>
      </c>
      <c r="V134" s="116" t="s">
        <v>45</v>
      </c>
      <c r="W134" s="38"/>
      <c r="X134" s="45"/>
      <c r="Y134">
        <f t="shared" si="18"/>
        <v>35</v>
      </c>
    </row>
    <row r="135" spans="2:27" ht="15" thickBot="1" x14ac:dyDescent="0.4">
      <c r="B135">
        <f t="shared" si="16"/>
        <v>36</v>
      </c>
      <c r="C135" s="23" t="str">
        <f t="shared" si="21"/>
        <v>Black Sesame A1000Pro</v>
      </c>
      <c r="D135" s="39" t="s">
        <v>1471</v>
      </c>
      <c r="E135" s="39" t="s">
        <v>1471</v>
      </c>
      <c r="F135" s="169" t="s">
        <v>45</v>
      </c>
      <c r="G135" s="169" t="s">
        <v>1471</v>
      </c>
      <c r="H135" s="169" t="s">
        <v>1479</v>
      </c>
      <c r="I135" s="116" t="s">
        <v>45</v>
      </c>
      <c r="J135" s="169"/>
      <c r="K135" s="116"/>
      <c r="L135" s="169"/>
      <c r="M135" s="169"/>
      <c r="N135" s="169"/>
      <c r="O135" s="169"/>
      <c r="P135" s="169"/>
      <c r="Q135" s="100"/>
      <c r="R135" s="169"/>
      <c r="S135" s="248"/>
      <c r="T135" s="283"/>
      <c r="U135" s="105" t="s">
        <v>1471</v>
      </c>
      <c r="V135" s="116" t="s">
        <v>45</v>
      </c>
      <c r="W135" s="38"/>
      <c r="X135" s="45"/>
      <c r="Y135">
        <f t="shared" si="18"/>
        <v>36</v>
      </c>
    </row>
    <row r="136" spans="2:27" ht="15" thickTop="1" x14ac:dyDescent="0.35">
      <c r="B136">
        <f t="shared" si="16"/>
        <v>37</v>
      </c>
      <c r="C136" s="702" t="s">
        <v>810</v>
      </c>
      <c r="D136" s="703"/>
      <c r="E136" s="703"/>
      <c r="F136" s="703"/>
      <c r="G136" s="703"/>
      <c r="H136" s="703"/>
      <c r="I136" s="703"/>
      <c r="J136" s="703"/>
      <c r="K136" s="703"/>
      <c r="L136" s="703"/>
      <c r="M136" s="703"/>
      <c r="N136" s="703"/>
      <c r="O136" s="703"/>
      <c r="P136" s="703"/>
      <c r="Q136" s="703"/>
      <c r="R136" s="703"/>
      <c r="S136" s="703"/>
      <c r="T136" s="703"/>
      <c r="U136" s="703"/>
      <c r="V136" s="703"/>
      <c r="W136" s="703"/>
      <c r="X136" s="721"/>
      <c r="Y136">
        <f t="shared" si="18"/>
        <v>37</v>
      </c>
    </row>
    <row r="137" spans="2:27" x14ac:dyDescent="0.35">
      <c r="B137">
        <f t="shared" si="16"/>
        <v>38</v>
      </c>
      <c r="C137" s="23" t="str">
        <f t="shared" ref="C137:C143" si="22">C46</f>
        <v xml:space="preserve">Apple A15 bionic </v>
      </c>
      <c r="D137" s="35" t="s">
        <v>39</v>
      </c>
      <c r="E137" s="35" t="s">
        <v>39</v>
      </c>
      <c r="F137" s="35" t="s">
        <v>39</v>
      </c>
      <c r="G137" s="35" t="s">
        <v>40</v>
      </c>
      <c r="H137" s="35"/>
      <c r="I137" s="116" t="s">
        <v>1113</v>
      </c>
      <c r="J137" s="35" t="s">
        <v>40</v>
      </c>
      <c r="K137" s="105" t="s">
        <v>40</v>
      </c>
      <c r="L137" s="41" t="s">
        <v>302</v>
      </c>
      <c r="M137" s="35" t="s">
        <v>39</v>
      </c>
      <c r="N137" s="41" t="s">
        <v>199</v>
      </c>
      <c r="O137" s="35" t="s">
        <v>39</v>
      </c>
      <c r="P137" s="36" t="s">
        <v>45</v>
      </c>
      <c r="Q137" s="7" t="s">
        <v>43</v>
      </c>
      <c r="R137" s="35" t="s">
        <v>40</v>
      </c>
      <c r="S137" s="35" t="s">
        <v>40</v>
      </c>
      <c r="T137" s="35" t="s">
        <v>40</v>
      </c>
      <c r="U137" s="105" t="s">
        <v>40</v>
      </c>
      <c r="V137" s="105"/>
      <c r="W137" s="38" t="s">
        <v>43</v>
      </c>
      <c r="X137" s="45" t="s">
        <v>43</v>
      </c>
      <c r="Y137">
        <f t="shared" si="18"/>
        <v>38</v>
      </c>
    </row>
    <row r="138" spans="2:27" x14ac:dyDescent="0.35">
      <c r="B138">
        <f t="shared" si="16"/>
        <v>39</v>
      </c>
      <c r="C138" s="23" t="str">
        <f t="shared" si="22"/>
        <v>Apple A17 Pro</v>
      </c>
      <c r="D138" s="35" t="s">
        <v>674</v>
      </c>
      <c r="E138" s="35" t="s">
        <v>675</v>
      </c>
      <c r="F138" s="35" t="s">
        <v>676</v>
      </c>
      <c r="G138" s="35" t="s">
        <v>677</v>
      </c>
      <c r="H138" s="35"/>
      <c r="I138" s="116" t="s">
        <v>1113</v>
      </c>
      <c r="J138" s="35" t="s">
        <v>678</v>
      </c>
      <c r="K138" s="105" t="s">
        <v>679</v>
      </c>
      <c r="L138" s="41"/>
      <c r="M138" s="35" t="s">
        <v>674</v>
      </c>
      <c r="N138" s="41" t="s">
        <v>199</v>
      </c>
      <c r="O138" s="35" t="s">
        <v>680</v>
      </c>
      <c r="P138" s="35" t="s">
        <v>680</v>
      </c>
      <c r="Q138" s="7" t="s">
        <v>43</v>
      </c>
      <c r="R138" s="35" t="s">
        <v>679</v>
      </c>
      <c r="S138" s="35" t="s">
        <v>679</v>
      </c>
      <c r="T138" s="41" t="s">
        <v>45</v>
      </c>
      <c r="U138" s="105" t="s">
        <v>678</v>
      </c>
      <c r="V138" s="105"/>
      <c r="W138" s="38" t="s">
        <v>43</v>
      </c>
      <c r="X138" s="45" t="s">
        <v>43</v>
      </c>
      <c r="Y138">
        <f t="shared" si="18"/>
        <v>39</v>
      </c>
    </row>
    <row r="139" spans="2:27" x14ac:dyDescent="0.35">
      <c r="B139">
        <f t="shared" si="16"/>
        <v>40</v>
      </c>
      <c r="C139" s="23" t="str">
        <f t="shared" si="22"/>
        <v xml:space="preserve">Apple M1 Ultra </v>
      </c>
      <c r="D139" s="35" t="s">
        <v>44</v>
      </c>
      <c r="E139" s="35" t="s">
        <v>44</v>
      </c>
      <c r="F139" s="35" t="s">
        <v>44</v>
      </c>
      <c r="G139" s="35" t="s">
        <v>44</v>
      </c>
      <c r="H139" s="35"/>
      <c r="I139" s="116" t="s">
        <v>138</v>
      </c>
      <c r="J139" s="39" t="s">
        <v>47</v>
      </c>
      <c r="K139" s="105" t="s">
        <v>47</v>
      </c>
      <c r="L139" s="41" t="s">
        <v>302</v>
      </c>
      <c r="M139" s="35" t="s">
        <v>44</v>
      </c>
      <c r="N139" s="41" t="s">
        <v>145</v>
      </c>
      <c r="O139" s="35" t="s">
        <v>44</v>
      </c>
      <c r="P139" s="36" t="s">
        <v>45</v>
      </c>
      <c r="Q139" s="100" t="s">
        <v>43</v>
      </c>
      <c r="R139" s="40" t="s">
        <v>47</v>
      </c>
      <c r="S139" s="40" t="s">
        <v>46</v>
      </c>
      <c r="T139" s="40" t="s">
        <v>46</v>
      </c>
      <c r="U139" s="109" t="s">
        <v>45</v>
      </c>
      <c r="V139" s="109"/>
      <c r="W139" s="38" t="s">
        <v>43</v>
      </c>
      <c r="X139" s="45" t="s">
        <v>43</v>
      </c>
      <c r="Y139">
        <f t="shared" si="18"/>
        <v>40</v>
      </c>
    </row>
    <row r="140" spans="2:27" x14ac:dyDescent="0.35">
      <c r="B140">
        <f t="shared" si="16"/>
        <v>41</v>
      </c>
      <c r="C140" s="23" t="str">
        <f t="shared" si="22"/>
        <v xml:space="preserve">Apple M2 Ultra </v>
      </c>
      <c r="D140" s="35" t="s">
        <v>78</v>
      </c>
      <c r="E140" s="35" t="s">
        <v>78</v>
      </c>
      <c r="F140" s="35" t="s">
        <v>78</v>
      </c>
      <c r="G140" s="35" t="s">
        <v>78</v>
      </c>
      <c r="H140" s="35"/>
      <c r="I140" s="116" t="s">
        <v>138</v>
      </c>
      <c r="J140" s="35" t="s">
        <v>78</v>
      </c>
      <c r="K140" s="105" t="s">
        <v>509</v>
      </c>
      <c r="L140" s="41" t="s">
        <v>302</v>
      </c>
      <c r="M140" s="35" t="s">
        <v>78</v>
      </c>
      <c r="N140" s="41" t="s">
        <v>145</v>
      </c>
      <c r="O140" s="41" t="s">
        <v>45</v>
      </c>
      <c r="P140" s="36"/>
      <c r="Q140" s="100" t="s">
        <v>43</v>
      </c>
      <c r="R140" s="40" t="s">
        <v>80</v>
      </c>
      <c r="S140" s="40" t="s">
        <v>79</v>
      </c>
      <c r="T140" s="40" t="s">
        <v>80</v>
      </c>
      <c r="U140" s="108" t="s">
        <v>509</v>
      </c>
      <c r="V140" s="108"/>
      <c r="W140" s="38" t="s">
        <v>43</v>
      </c>
      <c r="X140" s="45" t="s">
        <v>43</v>
      </c>
      <c r="Y140">
        <f t="shared" si="18"/>
        <v>41</v>
      </c>
    </row>
    <row r="141" spans="2:27" x14ac:dyDescent="0.35">
      <c r="B141">
        <f t="shared" si="16"/>
        <v>42</v>
      </c>
      <c r="C141" s="23" t="str">
        <f t="shared" si="22"/>
        <v>Intel i9 13850HX</v>
      </c>
      <c r="D141" s="35" t="s">
        <v>110</v>
      </c>
      <c r="E141" s="41"/>
      <c r="F141" s="41"/>
      <c r="G141" s="35" t="s">
        <v>111</v>
      </c>
      <c r="H141" s="35"/>
      <c r="I141" s="116" t="s">
        <v>18</v>
      </c>
      <c r="J141" s="41" t="s">
        <v>18</v>
      </c>
      <c r="K141" s="105" t="s">
        <v>448</v>
      </c>
      <c r="L141" s="41" t="s">
        <v>302</v>
      </c>
      <c r="M141" s="41"/>
      <c r="N141" s="41"/>
      <c r="O141" s="35" t="s">
        <v>111</v>
      </c>
      <c r="P141" s="41"/>
      <c r="Q141" s="100" t="s">
        <v>43</v>
      </c>
      <c r="R141" s="35" t="s">
        <v>111</v>
      </c>
      <c r="S141" s="35"/>
      <c r="T141" s="35"/>
      <c r="U141" s="105"/>
      <c r="V141" s="105"/>
      <c r="W141" s="38" t="s">
        <v>43</v>
      </c>
      <c r="X141" s="45" t="s">
        <v>43</v>
      </c>
      <c r="Y141">
        <f t="shared" si="18"/>
        <v>42</v>
      </c>
      <c r="AA141" s="38"/>
    </row>
    <row r="142" spans="2:27" x14ac:dyDescent="0.35">
      <c r="B142">
        <f t="shared" si="16"/>
        <v>43</v>
      </c>
      <c r="C142" s="23" t="str">
        <f t="shared" si="22"/>
        <v>Nvidia RTX 4070</v>
      </c>
      <c r="D142" s="35" t="s">
        <v>113</v>
      </c>
      <c r="E142" s="35" t="s">
        <v>113</v>
      </c>
      <c r="F142" s="35" t="s">
        <v>113</v>
      </c>
      <c r="G142" s="35" t="s">
        <v>166</v>
      </c>
      <c r="H142" s="35"/>
      <c r="I142" s="116" t="s">
        <v>138</v>
      </c>
      <c r="J142" s="35" t="s">
        <v>113</v>
      </c>
      <c r="K142" s="105" t="s">
        <v>113</v>
      </c>
      <c r="L142" s="41" t="s">
        <v>302</v>
      </c>
      <c r="M142" s="35" t="s">
        <v>166</v>
      </c>
      <c r="N142" s="35" t="s">
        <v>45</v>
      </c>
      <c r="O142" s="35" t="s">
        <v>166</v>
      </c>
      <c r="P142" s="35" t="s">
        <v>45</v>
      </c>
      <c r="Q142" s="100" t="s">
        <v>43</v>
      </c>
      <c r="R142" s="35" t="s">
        <v>113</v>
      </c>
      <c r="S142" s="35" t="s">
        <v>113</v>
      </c>
      <c r="T142" s="35" t="s">
        <v>113</v>
      </c>
      <c r="U142" s="105"/>
      <c r="V142" s="105"/>
      <c r="W142" s="38" t="s">
        <v>43</v>
      </c>
      <c r="X142" s="45" t="s">
        <v>43</v>
      </c>
      <c r="Y142">
        <f t="shared" si="18"/>
        <v>43</v>
      </c>
    </row>
    <row r="143" spans="2:27" ht="15" thickBot="1" x14ac:dyDescent="0.4">
      <c r="B143">
        <f t="shared" si="16"/>
        <v>44</v>
      </c>
      <c r="C143" s="23" t="str">
        <f t="shared" si="22"/>
        <v>Micron V-NAND 3D</v>
      </c>
      <c r="D143" s="14" t="s">
        <v>148</v>
      </c>
      <c r="E143" s="35" t="s">
        <v>56</v>
      </c>
      <c r="F143" s="35" t="s">
        <v>56</v>
      </c>
      <c r="G143" s="41" t="s">
        <v>236</v>
      </c>
      <c r="H143" s="41"/>
      <c r="I143" s="116" t="s">
        <v>138</v>
      </c>
      <c r="J143" s="35" t="s">
        <v>57</v>
      </c>
      <c r="K143" s="105" t="s">
        <v>548</v>
      </c>
      <c r="L143" s="41" t="s">
        <v>1117</v>
      </c>
      <c r="M143" s="35" t="s">
        <v>56</v>
      </c>
      <c r="N143" s="35" t="s">
        <v>148</v>
      </c>
      <c r="O143" s="35" t="s">
        <v>57</v>
      </c>
      <c r="P143" s="35" t="s">
        <v>56</v>
      </c>
      <c r="Q143" s="100" t="s">
        <v>43</v>
      </c>
      <c r="R143" s="35" t="s">
        <v>346</v>
      </c>
      <c r="S143" s="38" t="s">
        <v>45</v>
      </c>
      <c r="T143" s="38" t="s">
        <v>45</v>
      </c>
      <c r="U143" s="117" t="s">
        <v>45</v>
      </c>
      <c r="V143" s="117"/>
      <c r="W143" s="38" t="s">
        <v>45</v>
      </c>
      <c r="X143" s="45" t="s">
        <v>45</v>
      </c>
      <c r="Y143">
        <f t="shared" si="18"/>
        <v>44</v>
      </c>
      <c r="Z143" t="s">
        <v>34</v>
      </c>
      <c r="AA143" s="38" t="s">
        <v>45</v>
      </c>
    </row>
    <row r="144" spans="2:27" ht="15" thickTop="1" x14ac:dyDescent="0.35">
      <c r="B144">
        <f t="shared" si="16"/>
        <v>45</v>
      </c>
      <c r="C144" s="702" t="s">
        <v>812</v>
      </c>
      <c r="D144" s="713"/>
      <c r="E144" s="713"/>
      <c r="F144" s="722"/>
      <c r="G144" s="722"/>
      <c r="H144" s="722"/>
      <c r="I144" s="722"/>
      <c r="J144" s="715"/>
      <c r="K144" s="715"/>
      <c r="L144" s="715"/>
      <c r="M144" s="722"/>
      <c r="N144" s="715"/>
      <c r="O144" s="722"/>
      <c r="P144" s="722"/>
      <c r="Q144" s="708"/>
      <c r="R144" s="715"/>
      <c r="S144" s="724"/>
      <c r="T144" s="715"/>
      <c r="U144" s="714"/>
      <c r="V144" s="715"/>
      <c r="W144" s="725"/>
      <c r="X144" s="720"/>
      <c r="Y144">
        <f t="shared" si="18"/>
        <v>45</v>
      </c>
    </row>
    <row r="145" spans="2:27" x14ac:dyDescent="0.35">
      <c r="B145">
        <f t="shared" si="16"/>
        <v>46</v>
      </c>
      <c r="C145" s="23" t="str">
        <f>C54</f>
        <v>Human brain 100% functional simulation</v>
      </c>
      <c r="D145" s="328" t="s">
        <v>147</v>
      </c>
      <c r="E145" s="321" t="s">
        <v>304</v>
      </c>
      <c r="F145" s="329" t="s">
        <v>18</v>
      </c>
      <c r="G145" s="329" t="s">
        <v>18</v>
      </c>
      <c r="H145" s="329"/>
      <c r="I145" s="110" t="s">
        <v>332</v>
      </c>
      <c r="J145" s="124" t="s">
        <v>332</v>
      </c>
      <c r="K145" s="107" t="s">
        <v>513</v>
      </c>
      <c r="L145" s="319" t="s">
        <v>18</v>
      </c>
      <c r="M145" s="320" t="s">
        <v>18</v>
      </c>
      <c r="N145" s="321" t="s">
        <v>267</v>
      </c>
      <c r="O145" s="322" t="s">
        <v>154</v>
      </c>
      <c r="P145" s="323" t="s">
        <v>387</v>
      </c>
      <c r="Q145" s="316" t="s">
        <v>18</v>
      </c>
      <c r="R145" s="324" t="s">
        <v>153</v>
      </c>
      <c r="S145" s="325" t="s">
        <v>45</v>
      </c>
      <c r="T145" s="326" t="s">
        <v>45</v>
      </c>
      <c r="U145" s="110" t="s">
        <v>332</v>
      </c>
      <c r="V145" s="110"/>
      <c r="W145" s="330"/>
      <c r="X145" s="331" t="s">
        <v>157</v>
      </c>
      <c r="Y145">
        <f t="shared" si="18"/>
        <v>46</v>
      </c>
      <c r="Z145" s="4"/>
    </row>
    <row r="146" spans="2:27" x14ac:dyDescent="0.35">
      <c r="B146">
        <f t="shared" si="16"/>
        <v>47</v>
      </c>
      <c r="C146" s="23" t="str">
        <f>C55</f>
        <v>Dog/wolf brain 4.1% of human brain</v>
      </c>
      <c r="D146" s="152" t="s">
        <v>1073</v>
      </c>
      <c r="E146" s="321" t="s">
        <v>304</v>
      </c>
      <c r="F146" s="329" t="s">
        <v>18</v>
      </c>
      <c r="G146" s="329" t="s">
        <v>18</v>
      </c>
      <c r="H146" s="329"/>
      <c r="I146" s="110" t="s">
        <v>332</v>
      </c>
      <c r="J146" s="124" t="s">
        <v>332</v>
      </c>
      <c r="K146" s="107" t="s">
        <v>514</v>
      </c>
      <c r="L146" s="319" t="s">
        <v>18</v>
      </c>
      <c r="M146" s="320" t="s">
        <v>18</v>
      </c>
      <c r="N146" s="321" t="s">
        <v>267</v>
      </c>
      <c r="O146" s="322" t="s">
        <v>154</v>
      </c>
      <c r="P146" s="323" t="s">
        <v>387</v>
      </c>
      <c r="Q146" s="316" t="s">
        <v>18</v>
      </c>
      <c r="R146" s="327" t="s">
        <v>305</v>
      </c>
      <c r="S146" s="325" t="s">
        <v>45</v>
      </c>
      <c r="T146" s="326" t="s">
        <v>45</v>
      </c>
      <c r="U146" s="110" t="s">
        <v>332</v>
      </c>
      <c r="V146" s="110"/>
      <c r="W146" s="330"/>
      <c r="X146" s="331" t="s">
        <v>157</v>
      </c>
      <c r="Y146">
        <f t="shared" si="18"/>
        <v>47</v>
      </c>
    </row>
    <row r="147" spans="2:27" x14ac:dyDescent="0.35">
      <c r="B147">
        <f t="shared" si="16"/>
        <v>48</v>
      </c>
      <c r="C147" s="23" t="str">
        <f>C56</f>
        <v>Nvidia GB200 NVL72 training cluster</v>
      </c>
      <c r="D147" s="1" t="s">
        <v>332</v>
      </c>
      <c r="E147" s="1" t="s">
        <v>332</v>
      </c>
      <c r="F147" s="1" t="s">
        <v>332</v>
      </c>
      <c r="G147" s="1" t="s">
        <v>332</v>
      </c>
      <c r="H147" s="300" t="s">
        <v>1472</v>
      </c>
      <c r="I147" s="110" t="s">
        <v>138</v>
      </c>
      <c r="J147" s="1" t="s">
        <v>138</v>
      </c>
      <c r="K147" s="110" t="s">
        <v>332</v>
      </c>
      <c r="L147" s="300" t="s">
        <v>302</v>
      </c>
      <c r="M147" s="1" t="s">
        <v>138</v>
      </c>
      <c r="N147" s="1" t="s">
        <v>332</v>
      </c>
      <c r="O147" s="301" t="s">
        <v>18</v>
      </c>
      <c r="P147" s="302" t="s">
        <v>18</v>
      </c>
      <c r="Q147" s="303" t="s">
        <v>18</v>
      </c>
      <c r="R147" s="1" t="s">
        <v>332</v>
      </c>
      <c r="S147" s="1" t="s">
        <v>332</v>
      </c>
      <c r="T147" s="1" t="s">
        <v>332</v>
      </c>
      <c r="U147" s="110" t="s">
        <v>332</v>
      </c>
      <c r="V147" s="110"/>
      <c r="W147" s="304" t="s">
        <v>43</v>
      </c>
      <c r="X147" s="305" t="s">
        <v>43</v>
      </c>
      <c r="Y147">
        <f t="shared" si="18"/>
        <v>48</v>
      </c>
    </row>
    <row r="148" spans="2:27" x14ac:dyDescent="0.35">
      <c r="B148">
        <f t="shared" si="16"/>
        <v>49</v>
      </c>
      <c r="C148" s="23" t="str">
        <f>C57</f>
        <v>Min. AGI computer GB200 +40TB HBM</v>
      </c>
      <c r="D148" s="1" t="s">
        <v>878</v>
      </c>
      <c r="E148" s="1" t="s">
        <v>1092</v>
      </c>
      <c r="F148" s="1" t="s">
        <v>332</v>
      </c>
      <c r="G148" s="1" t="s">
        <v>332</v>
      </c>
      <c r="H148" s="300" t="s">
        <v>1472</v>
      </c>
      <c r="I148" s="110" t="s">
        <v>138</v>
      </c>
      <c r="J148" s="1" t="s">
        <v>138</v>
      </c>
      <c r="K148" s="110" t="s">
        <v>332</v>
      </c>
      <c r="L148" s="300" t="s">
        <v>302</v>
      </c>
      <c r="M148" s="1" t="s">
        <v>138</v>
      </c>
      <c r="N148" s="1" t="s">
        <v>138</v>
      </c>
      <c r="O148" s="301" t="s">
        <v>18</v>
      </c>
      <c r="P148" s="302" t="s">
        <v>18</v>
      </c>
      <c r="Q148" s="303" t="s">
        <v>45</v>
      </c>
      <c r="R148" s="1" t="s">
        <v>332</v>
      </c>
      <c r="S148" s="1" t="s">
        <v>332</v>
      </c>
      <c r="T148" s="1" t="s">
        <v>332</v>
      </c>
      <c r="U148" s="110" t="s">
        <v>332</v>
      </c>
      <c r="V148" s="110"/>
      <c r="W148" s="304" t="s">
        <v>43</v>
      </c>
      <c r="X148" s="305" t="s">
        <v>43</v>
      </c>
      <c r="Y148">
        <f t="shared" si="18"/>
        <v>49</v>
      </c>
    </row>
    <row r="149" spans="2:27" x14ac:dyDescent="0.35">
      <c r="B149">
        <f t="shared" si="16"/>
        <v>50</v>
      </c>
      <c r="C149" s="23" t="str">
        <f>C58</f>
        <v>15, 4 TB SSD disks doing 7.4GB/s each</v>
      </c>
      <c r="D149" s="115" t="s">
        <v>1216</v>
      </c>
      <c r="E149" s="115" t="s">
        <v>1216</v>
      </c>
      <c r="F149" s="295" t="s">
        <v>45</v>
      </c>
      <c r="G149" s="295" t="s">
        <v>45</v>
      </c>
      <c r="H149" s="300" t="s">
        <v>1472</v>
      </c>
      <c r="I149" s="110"/>
      <c r="J149" s="1" t="s">
        <v>1221</v>
      </c>
      <c r="K149" s="110" t="s">
        <v>1222</v>
      </c>
      <c r="L149" s="603" t="s">
        <v>45</v>
      </c>
      <c r="M149" s="295" t="s">
        <v>45</v>
      </c>
      <c r="N149" s="609" t="s">
        <v>1216</v>
      </c>
      <c r="O149" s="604" t="s">
        <v>45</v>
      </c>
      <c r="P149" s="293" t="s">
        <v>45</v>
      </c>
      <c r="Q149" s="303" t="s">
        <v>45</v>
      </c>
      <c r="R149" s="1" t="s">
        <v>1223</v>
      </c>
      <c r="S149" s="295" t="s">
        <v>45</v>
      </c>
      <c r="T149" s="295" t="s">
        <v>45</v>
      </c>
      <c r="U149" s="162" t="s">
        <v>45</v>
      </c>
      <c r="V149" s="162" t="s">
        <v>45</v>
      </c>
      <c r="W149" s="605" t="s">
        <v>45</v>
      </c>
      <c r="X149" s="606" t="s">
        <v>45</v>
      </c>
      <c r="Y149">
        <f t="shared" si="18"/>
        <v>50</v>
      </c>
    </row>
    <row r="150" spans="2:27" ht="15" thickBot="1" x14ac:dyDescent="0.4">
      <c r="B150">
        <f t="shared" si="16"/>
        <v>51</v>
      </c>
      <c r="C150" s="27" t="str">
        <f t="shared" ref="C150:C151" si="23">C59</f>
        <v>Artificial human beings - An artificial species capable of building their own technological civilization without any further help from biological humans</v>
      </c>
      <c r="D150" s="251" t="s">
        <v>303</v>
      </c>
      <c r="E150" s="204" t="s">
        <v>1094</v>
      </c>
      <c r="F150" s="252"/>
      <c r="G150" s="252" t="s">
        <v>236</v>
      </c>
      <c r="H150" s="252" t="s">
        <v>1481</v>
      </c>
      <c r="I150" s="111" t="s">
        <v>339</v>
      </c>
      <c r="J150" s="252" t="s">
        <v>138</v>
      </c>
      <c r="K150" s="183" t="s">
        <v>549</v>
      </c>
      <c r="L150" s="252" t="s">
        <v>302</v>
      </c>
      <c r="M150" s="252" t="s">
        <v>45</v>
      </c>
      <c r="N150" s="252" t="s">
        <v>1436</v>
      </c>
      <c r="O150" s="252" t="s">
        <v>302</v>
      </c>
      <c r="P150" s="252" t="s">
        <v>388</v>
      </c>
      <c r="Q150" s="253"/>
      <c r="R150" s="252" t="s">
        <v>330</v>
      </c>
      <c r="S150" s="254"/>
      <c r="T150" s="254"/>
      <c r="U150" s="255"/>
      <c r="V150" s="255"/>
      <c r="W150" s="254" t="s">
        <v>43</v>
      </c>
      <c r="X150" s="256" t="s">
        <v>43</v>
      </c>
      <c r="Y150">
        <f t="shared" si="18"/>
        <v>51</v>
      </c>
    </row>
    <row r="151" spans="2:27" ht="15.5" thickTop="1" thickBot="1" x14ac:dyDescent="0.4">
      <c r="B151">
        <f t="shared" si="16"/>
        <v>52</v>
      </c>
      <c r="C151" s="552" t="str">
        <f t="shared" si="23"/>
        <v>Video file size for FHD1080p, 0.1fps for 16 years non-stop, H264 or 50 million FHD images &gt;Max size human memory?&lt;</v>
      </c>
      <c r="D151" s="561"/>
      <c r="E151" s="562"/>
      <c r="F151" s="562"/>
      <c r="G151" s="562"/>
      <c r="H151" s="562"/>
      <c r="I151" s="563"/>
      <c r="J151" s="562" t="s">
        <v>332</v>
      </c>
      <c r="K151" s="562"/>
      <c r="L151" s="562"/>
      <c r="M151" s="562"/>
      <c r="N151" s="562"/>
      <c r="O151" s="562"/>
      <c r="P151" s="562"/>
      <c r="Q151" s="564"/>
      <c r="R151" s="562"/>
      <c r="S151" s="565"/>
      <c r="T151" s="565"/>
      <c r="U151" s="565"/>
      <c r="V151" s="565"/>
      <c r="W151" s="565"/>
      <c r="X151" s="566"/>
      <c r="Y151">
        <f t="shared" si="18"/>
        <v>52</v>
      </c>
    </row>
    <row r="152" spans="2:27" ht="15" thickTop="1" x14ac:dyDescent="0.35"/>
    <row r="153" spans="2:27" x14ac:dyDescent="0.35">
      <c r="AA153" s="14"/>
    </row>
    <row r="154" spans="2:27" x14ac:dyDescent="0.35">
      <c r="Z154" s="8"/>
    </row>
    <row r="206" spans="10:10" x14ac:dyDescent="0.35">
      <c r="J206" s="14"/>
    </row>
  </sheetData>
  <phoneticPr fontId="4" type="noConversion"/>
  <hyperlinks>
    <hyperlink ref="S137" r:id="rId1" xr:uid="{5BD2260F-18A7-4EB7-AA81-13E717C178F2}"/>
    <hyperlink ref="T137" r:id="rId2" xr:uid="{3CBA9C4F-460C-408F-BD9B-8BD9C556F13D}"/>
    <hyperlink ref="R137" r:id="rId3" xr:uid="{E36C00C9-543C-47A8-A984-34F500CCA39F}"/>
    <hyperlink ref="J137" r:id="rId4" xr:uid="{3BCC69AB-EF74-47E8-BB9B-A7A4F01D4EB9}"/>
    <hyperlink ref="G137" r:id="rId5" xr:uid="{A3D9483C-0335-402A-B270-16446837CADA}"/>
    <hyperlink ref="D137" r:id="rId6" location="Apple_A15_Bionic" xr:uid="{C2945A03-7A07-4B19-BF4A-B35AFFECE45F}"/>
    <hyperlink ref="E137" r:id="rId7" location="Apple_A15_Bionic" xr:uid="{339A9D7B-50AD-4A3F-8FE3-D0595D770A72}"/>
    <hyperlink ref="F137" r:id="rId8" location="Apple_A15_Bionic" xr:uid="{95421A68-D4A4-4C7E-9244-4506A3A371FC}"/>
    <hyperlink ref="M137" r:id="rId9" location="Apple_A15_Bionic" xr:uid="{1D60EDDC-6CBF-416B-8C22-91E9791229C4}"/>
    <hyperlink ref="O137" r:id="rId10" location="Apple_A15_Bionic" xr:uid="{70355894-35E3-4AE9-AF95-7D6697C068D9}"/>
    <hyperlink ref="D139" r:id="rId11" location="M_series" xr:uid="{B226DF1D-8429-464B-8FF3-F0E035C325F8}"/>
    <hyperlink ref="E139" r:id="rId12" location="M_series" xr:uid="{44CB47B9-C38E-41EF-A124-F991D0F975BD}"/>
    <hyperlink ref="F139" r:id="rId13" location="M_series" xr:uid="{A839111B-B425-4836-AF0F-6EE0238B13CD}"/>
    <hyperlink ref="G139" r:id="rId14" location="M_series" xr:uid="{30E226D8-FF36-4FE0-9EC5-544357EACB66}"/>
    <hyperlink ref="M139" r:id="rId15" location="M_series" xr:uid="{E6C8E88D-C4A0-4CFB-B5F8-D2A208F63157}"/>
    <hyperlink ref="O139" r:id="rId16" location="M_series" xr:uid="{41F52908-A921-4671-ABB1-B21B267EC8B2}"/>
    <hyperlink ref="S139" r:id="rId17" xr:uid="{2B325D86-5C6F-4F20-988B-F3251F34793B}"/>
    <hyperlink ref="T139" r:id="rId18" xr:uid="{B73BFEF7-79E9-4C38-A8D2-7E5CE80D9C0C}"/>
    <hyperlink ref="R139" r:id="rId19" xr:uid="{73B5F93E-4B52-4F96-8139-4C498CE491E4}"/>
    <hyperlink ref="J139" r:id="rId20" xr:uid="{14FC0118-FCE7-4E4A-B915-F3A1A50D1482}"/>
    <hyperlink ref="J103" r:id="rId21" xr:uid="{9278FF3E-2015-4E1C-B723-ADE29F7FF72A}"/>
    <hyperlink ref="T103" r:id="rId22" xr:uid="{AA47650B-D563-4BB1-BE93-30A1507F03E1}"/>
    <hyperlink ref="S103" r:id="rId23" xr:uid="{E9620ED1-B446-4253-B3C0-D99E324F8953}"/>
    <hyperlink ref="R103" r:id="rId24" xr:uid="{A6D04E7C-4B60-43CF-B9FB-B6DEDF0B46C1}"/>
    <hyperlink ref="D103" r:id="rId25" xr:uid="{A644A12D-68A9-4583-8C5E-0A3507FB49A7}"/>
    <hyperlink ref="E103" r:id="rId26" xr:uid="{5ECD66A8-E396-4DBA-9B4B-F1E50C6964E1}"/>
    <hyperlink ref="G103" r:id="rId27" xr:uid="{56FC1671-CC5C-484C-94DF-C3A5BAC382CF}"/>
    <hyperlink ref="D119" r:id="rId28" xr:uid="{A04DF5A9-3B03-49DA-997B-8A8DE5324C93}"/>
    <hyperlink ref="D120" r:id="rId29" xr:uid="{9784E4ED-FE80-43C3-9BF3-651087C82D6E}"/>
    <hyperlink ref="J143" r:id="rId30" xr:uid="{D0200F5D-3871-4022-80C7-60D4EE16CE85}"/>
    <hyperlink ref="D123" r:id="rId31" xr:uid="{B588D93D-0D92-4056-B5EE-0BF069C26307}"/>
    <hyperlink ref="E123" r:id="rId32" xr:uid="{FB27EAD2-A2F2-4B42-B2AD-C362BADCF42C}"/>
    <hyperlink ref="G123" r:id="rId33" xr:uid="{5D90E90B-4331-4280-A7A2-63BCA0E47ACC}"/>
    <hyperlink ref="D130" r:id="rId34" xr:uid="{E4B04C01-0119-447A-B416-E2C6C0241474}"/>
    <hyperlink ref="R123" r:id="rId35" xr:uid="{98ECE323-49A4-4E6F-86EA-3E7A34046F54}"/>
    <hyperlink ref="R124" r:id="rId36" display="https://www.youtube.com/watch?v=3ZoP1GCNwYE&amp;t=590s" xr:uid="{1BE892C1-F4B6-404F-9305-1A2B5E63C329}"/>
    <hyperlink ref="M123" r:id="rId37" xr:uid="{6F93145A-F6C7-4FEC-B266-E6DAFF3D82D0}"/>
    <hyperlink ref="J124" r:id="rId38" xr:uid="{736853F8-4E51-4EF4-AE17-1D9CDEC577D4}"/>
    <hyperlink ref="G124" r:id="rId39" display="https://www.youtube.com/watch?v=3ZoP1GCNwYE&amp;t=318" xr:uid="{91D857D8-AB7A-42D2-9C09-E12703C63899}"/>
    <hyperlink ref="D124" r:id="rId40" xr:uid="{2E957C8B-8986-4D99-B8B6-6349DAE01F03}"/>
    <hyperlink ref="D140" r:id="rId41" xr:uid="{5667BD98-A506-41D0-90FF-8AF6E97BA016}"/>
    <hyperlink ref="R140" r:id="rId42" xr:uid="{C9703DF8-2496-4471-A10B-B8E93CE59775}"/>
    <hyperlink ref="S140" r:id="rId43" location=":~:text=In%20total%2C%20the%20M2%20Max%20GPU%20contains%20up,9728%20ALUs%20and%2027.2%20TFLOPS%20of%20FP32%20performance." xr:uid="{58B7DFEF-CEBE-4BE7-9650-33E58A1CC760}"/>
    <hyperlink ref="T140" r:id="rId44" xr:uid="{37CFC276-89A0-4A11-960A-BB979F082BC2}"/>
    <hyperlink ref="D102" r:id="rId45" xr:uid="{2E5A2CFE-7AC5-490A-94A7-45C672F50963}"/>
    <hyperlink ref="R102" r:id="rId46" xr:uid="{57A915BC-145C-4814-9F2F-4AC6E2B1BE5F}"/>
    <hyperlink ref="S102" r:id="rId47" xr:uid="{8E4B1987-5791-4147-87D4-C10C4358E61B}"/>
    <hyperlink ref="T102" r:id="rId48" display="https://www.techpowerup.com/gpu-specs/a100-pcie-40-gb.c3623" xr:uid="{C8393B25-8EDD-4E93-AC9A-79DF70DDE2AB}"/>
    <hyperlink ref="E130" r:id="rId49" xr:uid="{06A1E138-E1EB-438C-8C05-EE931A887BDD}"/>
    <hyperlink ref="R130" r:id="rId50" xr:uid="{43A8E5AD-63D6-4163-A0FF-28B084B3CFEF}"/>
    <hyperlink ref="S130:T130" r:id="rId51" display="https://www.nvidia.com/content/dam/en-zz/Solutions/gtcf21/jetson-orin/nvidia-jetson-agx-orin-technical-brief.pdf" xr:uid="{F6B6D7E0-AEE9-4090-B8E6-04A1F070695F}"/>
    <hyperlink ref="T131" r:id="rId52" display="https://blogs.nvidia.com/blog/2022/09/20/drive-thor/" xr:uid="{EC397166-2420-4D72-9CE3-25669E4D0A0B}"/>
    <hyperlink ref="D131" r:id="rId53" xr:uid="{D05FD860-F439-4496-ACB5-583F6CE9D454}"/>
    <hyperlink ref="R106" r:id="rId54" xr:uid="{429051AE-E526-470F-923E-1F792B815020}"/>
    <hyperlink ref="S106:T106" r:id="rId55" display="https://resources.nvidia.com/en-us-grace-cpu/grace-hopper-superchip" xr:uid="{6790EE14-7788-4B09-AB8E-70C28F791B14}"/>
    <hyperlink ref="M106" r:id="rId56" xr:uid="{5B7A3445-FA8F-40EB-A284-072FC3A27E5B}"/>
    <hyperlink ref="D75" r:id="rId57" xr:uid="{535EA0E8-EC8A-4935-8279-A10A27043CF4}"/>
    <hyperlink ref="I76" r:id="rId58" xr:uid="{B4733865-B360-432E-944B-8FDD31960FC3}"/>
    <hyperlink ref="G141" r:id="rId59" xr:uid="{17263BBC-989E-4433-B4B3-8FA50732447E}"/>
    <hyperlink ref="D141" r:id="rId60" xr:uid="{590B7C10-977B-4EBB-9563-60FE7A255693}"/>
    <hyperlink ref="O141" r:id="rId61" xr:uid="{E7CADC31-C746-4AC6-938B-6AE0A00B783E}"/>
    <hyperlink ref="R141" r:id="rId62" xr:uid="{D2BC35EA-1153-4BB3-9189-6841173B9844}"/>
    <hyperlink ref="D142" r:id="rId63" xr:uid="{F5488E9B-A5FF-4792-A570-601B0175DC7B}"/>
    <hyperlink ref="R142" r:id="rId64" xr:uid="{C7B62ECD-DDF3-4747-82E8-04594DF63218}"/>
    <hyperlink ref="S142:T142" r:id="rId65" display="https://www.notebookcheck.net/NVIDIA-GeForce-RTX-4070-Laptop-GPU-Benchmarks-and-Specs.675690.0.html" xr:uid="{82FE8C9A-43BC-4E25-9688-B19F5D353EA8}"/>
    <hyperlink ref="D64" r:id="rId66" xr:uid="{0BF756BF-D552-464D-A03B-89FDF0B006C9}"/>
    <hyperlink ref="R120" r:id="rId67" xr:uid="{9345E904-09C5-4412-867C-DE551AE49311}"/>
    <hyperlink ref="T120" r:id="rId68" xr:uid="{E249D87F-19F5-4087-AE10-1B994D45DEAB}"/>
    <hyperlink ref="N120" r:id="rId69" xr:uid="{10E69A2B-B3A9-4CBE-B473-15F5E30BDE4C}"/>
    <hyperlink ref="O130" r:id="rId70" xr:uid="{187DAA92-F492-422B-BBC0-21809A40B263}"/>
    <hyperlink ref="N103" r:id="rId71" xr:uid="{C9C5B0C7-B3F1-49A6-BDC3-0D05D9A32A70}"/>
    <hyperlink ref="N143" r:id="rId72" location=":~:text=Mass%20production%20of%20the%20KIOXIA,scheduled%20to%20begin%20in%202023.&amp;text=%5B1%5D%20As%20of%20September%2028%2C%202022." display="https://www.businesswire.com/news/home/20220927006137/en/Kioxia-Develops-Industry%E2%80%99s-First-2TB-microSDXC-Memory-Card-Working-Prototypes#:~:text=Mass%20production%20of%20the%20KIOXIA,scheduled%20to%20begin%20in%202023.&amp;text=%5B1%5D%20As%20of%20September%2028%2C%202022." xr:uid="{9B5B1FAB-BA25-4D4A-8981-E816390D594D}"/>
    <hyperlink ref="D108" r:id="rId73" xr:uid="{493F1467-FF24-43C0-9F0B-3191F5B51AC2}"/>
    <hyperlink ref="P108" r:id="rId74" xr:uid="{241A3884-59DB-4902-9DEA-A42BC3B250A6}"/>
    <hyperlink ref="O108" r:id="rId75" xr:uid="{D732E9CD-8239-49D9-BCCE-7B527645BE4B}"/>
    <hyperlink ref="O142" r:id="rId76" xr:uid="{E8E2F716-DA80-4AA4-8A14-1E2CE4354BDE}"/>
    <hyperlink ref="G142" r:id="rId77" xr:uid="{C2D4115F-B359-4996-B367-414347B7BEF2}"/>
    <hyperlink ref="E108" r:id="rId78" xr:uid="{7C87C9E1-B094-40FB-8138-73DC8C762681}"/>
    <hyperlink ref="R108" r:id="rId79" xr:uid="{46E966A3-564C-4A9D-B6AA-BD9E88775952}"/>
    <hyperlink ref="J123" r:id="rId80" location="Memory_controller" xr:uid="{A4876DA0-E85D-40CA-9272-E630A1A9AFB8}"/>
    <hyperlink ref="E143" r:id="rId81" xr:uid="{B53F2647-D58A-4857-A7FB-0DC73AFB4620}"/>
    <hyperlink ref="F143" r:id="rId82" xr:uid="{5E3BA39A-CF4A-4FCB-BD05-41C8823ACAF6}"/>
    <hyperlink ref="M143" r:id="rId83" xr:uid="{8624ECE8-7999-462B-9483-2A6EA9C5C781}"/>
    <hyperlink ref="D143" r:id="rId84" location=":~:text=Mass%20production%20of%20the%20KIOXIA,scheduled%20to%20begin%20in%202023.&amp;text=%5B1%5D%20As%20of%20September%2028%2C%202022." display="https://www.businesswire.com/news/home/20220927006137/en/Kioxia-Develops-Industry%E2%80%99s-First-2TB-microSDXC-Memory-Card-Working-Prototypes#:~:text=Mass%20production%20of%20the%20KIOXIA,scheduled%20to%20begin%20in%202023.&amp;text=%5B1%5D%20As%20of%20September%2028%2C%202022." xr:uid="{D4FF0FDD-E697-44F4-92AF-5E7FD81DA227}"/>
    <hyperlink ref="U103" r:id="rId85" xr:uid="{950B3DCC-9479-4344-905E-91481378C060}"/>
    <hyperlink ref="U106" r:id="rId86" xr:uid="{698C5599-B411-43D8-8EF0-542DD8CCE23B}"/>
    <hyperlink ref="U102" r:id="rId87" display="https://www.techpowerup.com/gpu-specs/a100-pcie-40-gb.c3623" xr:uid="{F42CFA4B-2682-4154-9F51-FFF96FCA92A0}"/>
    <hyperlink ref="U137" r:id="rId88" xr:uid="{94D06D73-DEAC-4FDF-98EE-2B771F953044}"/>
    <hyperlink ref="U123" r:id="rId89" location="CPU" xr:uid="{19C4DAD7-9F7F-4354-8773-CFE63CC298F2}"/>
    <hyperlink ref="T123" r:id="rId90" xr:uid="{6CF66649-70C9-4184-99C9-F98CB516D6D0}"/>
    <hyperlink ref="U124" r:id="rId91" display="https://www.youtube.com/watch?v=3tV1KPkuiBI&amp;t=2145s" xr:uid="{F1206B67-296B-4E89-9657-C187BBEE5030}"/>
    <hyperlink ref="U125" r:id="rId92" display="https://www.youtube.com/watch?v=3tV1KPkuiBI&amp;t=2145s" xr:uid="{9D361A0F-D4B0-43E0-94E0-29FF02B9CF11}"/>
    <hyperlink ref="D86" r:id="rId93" xr:uid="{51500513-966E-4FB9-9A87-CBBAF6B64F5C}"/>
    <hyperlink ref="J140" r:id="rId94" xr:uid="{B207E9EC-14A1-41A7-8F05-2D22096667B1}"/>
    <hyperlink ref="F92" r:id="rId95" xr:uid="{EC769912-F2A7-4C7F-91CB-D469E33F4A6C}"/>
    <hyperlink ref="E92" r:id="rId96" location="Architecture" xr:uid="{C7D3C614-2C09-429D-AA10-359D3E8E96DC}"/>
    <hyperlink ref="D94" r:id="rId97" xr:uid="{03B3CF9E-EFA8-4165-8E52-1851F83D9880}"/>
    <hyperlink ref="U130" r:id="rId98" xr:uid="{8662E812-8201-486E-B600-A7773A12F60C}"/>
    <hyperlink ref="U131" r:id="rId99" xr:uid="{8BB22FAC-E844-4DEC-9D32-3A1583CE4752}"/>
    <hyperlink ref="D150" r:id="rId100" xr:uid="{5C27FA30-DB81-4CA2-BDC6-A727E3E9D1FD}"/>
    <hyperlink ref="J130" r:id="rId101" xr:uid="{0311FC07-926C-441F-96DC-7F5EE6714417}"/>
    <hyperlink ref="I150" r:id="rId102" xr:uid="{EF685573-C676-43BE-8D68-24D1EBCCA6B2}"/>
    <hyperlink ref="R143" r:id="rId103" xr:uid="{9A278C45-619C-4BB2-BD3E-2A5C7D341508}"/>
    <hyperlink ref="P143" r:id="rId104" xr:uid="{A100B976-5ABF-4895-ADAE-FAA2269C7229}"/>
    <hyperlink ref="O143" r:id="rId105" xr:uid="{38173497-B322-428B-9D2D-091531B5A76F}"/>
    <hyperlink ref="D145" r:id="rId106" xr:uid="{FC2773F4-E036-45DD-BA36-A9E00D7DCE83}"/>
    <hyperlink ref="G106" r:id="rId107" xr:uid="{E2B74BB7-3F4E-4DD2-8EF6-C3892D9268EB}"/>
    <hyperlink ref="E106" r:id="rId108" xr:uid="{EB8883B4-4F5B-476D-86D1-2158D5C68303}"/>
    <hyperlink ref="F106" r:id="rId109" xr:uid="{1B4475A0-47EA-4074-9276-82F097064D57}"/>
    <hyperlink ref="O145" r:id="rId110" xr:uid="{F7EBA8C3-216E-4BD4-8200-21C8A1D2B231}"/>
    <hyperlink ref="R145" r:id="rId111" xr:uid="{9DC1F9FA-F07D-4595-B90E-8783FEA91ECC}"/>
    <hyperlink ref="F103" r:id="rId112" xr:uid="{B23CA71E-C8EC-4479-BBAF-717B3C90A216}"/>
    <hyperlink ref="J106" r:id="rId113" xr:uid="{22BC5181-BEF3-498E-BCE2-BF83EA7AB8C3}"/>
    <hyperlink ref="D106" r:id="rId114" xr:uid="{6A42B2C9-D01D-4826-82DD-A52AE72B437E}"/>
    <hyperlink ref="O106" r:id="rId115" xr:uid="{9C74B4FF-A894-4236-84C8-014662CD530D}"/>
    <hyperlink ref="D66" r:id="rId116" xr:uid="{E9FCC0F9-B157-44B8-98A1-DABAF79EB6B3}"/>
    <hyperlink ref="O146" r:id="rId117" xr:uid="{AEDDA3BD-C75F-498C-B55B-2015B2600E99}"/>
    <hyperlink ref="N102" r:id="rId118" xr:uid="{D102806C-C83F-474A-A9CB-0B60BB224F71}"/>
    <hyperlink ref="L81" r:id="rId119" xr:uid="{C063B2FC-4A38-43B8-8576-3A210167CB51}"/>
    <hyperlink ref="U140" r:id="rId120" xr:uid="{A52C0A37-8113-4651-9934-93E5F6C06952}"/>
    <hyperlink ref="K140" r:id="rId121" xr:uid="{09CC96FA-C771-40EF-A2BD-DDDA71B3B719}"/>
    <hyperlink ref="K137" r:id="rId122" xr:uid="{52FEDD97-8932-49D3-9AF3-02FEF9E52619}"/>
    <hyperlink ref="K139" r:id="rId123" xr:uid="{58D3F013-3881-45E6-B7BE-6E0652951C95}"/>
    <hyperlink ref="E102" r:id="rId124" xr:uid="{6BF67AB0-AEE2-4F06-8135-ECB001BBAA42}"/>
    <hyperlink ref="F102:J102" r:id="rId125" display="https://www.techpowerup.com/gpu-specs/a100-pcie-40-gb.c3623" xr:uid="{56CB7356-3F33-426B-B20A-E0C8964762DF}"/>
    <hyperlink ref="K102" r:id="rId126" xr:uid="{4716645B-9E85-4E06-B319-E29096A987CC}"/>
    <hyperlink ref="K103" r:id="rId127" xr:uid="{2838FC9E-3A20-4183-8B4A-9CAB7934D263}"/>
    <hyperlink ref="K106" r:id="rId128" xr:uid="{AE838637-9317-416D-AB78-213FA616FE18}"/>
    <hyperlink ref="K123" r:id="rId129" location="Memory_controller" xr:uid="{AB88658D-3C56-49A9-A49B-3CC44A0D1AB3}"/>
    <hyperlink ref="K130" r:id="rId130" xr:uid="{BFCD0F92-7700-4ADE-B77F-4CF535D47ED1}"/>
    <hyperlink ref="K141" r:id="rId131" xr:uid="{4362EE57-3B7F-477C-AE32-BB6928B2CE78}"/>
    <hyperlink ref="J142" r:id="rId132" xr:uid="{C03DAE16-0480-4183-BBAD-8B14000CC051}"/>
    <hyperlink ref="K142" r:id="rId133" xr:uid="{4156EE70-BBA5-4E6D-BEA6-73E578218A3A}"/>
    <hyperlink ref="G120" r:id="rId134" xr:uid="{A8512E21-BAB9-481F-A698-02C0240FD8D8}"/>
    <hyperlink ref="E120" r:id="rId135" xr:uid="{3B420C3F-CE1F-414B-8D3D-8EB6392C366C}"/>
    <hyperlink ref="F120" r:id="rId136" xr:uid="{F72EE6CE-456F-4D28-8C4E-80046041F380}"/>
    <hyperlink ref="M120" r:id="rId137" xr:uid="{CBCECA02-F529-487E-B693-512642544472}"/>
    <hyperlink ref="O120" r:id="rId138" xr:uid="{15C99167-E6C3-4FA4-AD2E-488421B8E95B}"/>
    <hyperlink ref="P120" r:id="rId139" xr:uid="{03FE1634-E1F7-47D1-8EED-116F7632F061}"/>
    <hyperlink ref="K120" r:id="rId140" xr:uid="{DC55B680-CABC-4CFC-880C-AEE27192C69B}"/>
    <hyperlink ref="AC2" r:id="rId141" xr:uid="{3A036A63-52DB-473D-9E1B-AEB9C8353685}"/>
    <hyperlink ref="K145:K146" r:id="rId142" display="https://youtu.be/Y6Sgp7y178k?t=177" xr:uid="{E7EDFB3B-E8E1-4B4E-ADEC-C8B772D20133}"/>
    <hyperlink ref="S123" r:id="rId143" xr:uid="{1C263AED-6AF8-456D-A4A3-37B7F961A532}"/>
    <hyperlink ref="D101" r:id="rId144" xr:uid="{92964420-FA90-4304-8E19-05677D24234F}"/>
    <hyperlink ref="E101" r:id="rId145" xr:uid="{027A35BD-D717-45FC-9C7B-3356ED4358EA}"/>
    <hyperlink ref="G101" r:id="rId146" xr:uid="{2B6D09B3-A71D-4DED-B290-347F69EDF5F6}"/>
    <hyperlink ref="K101" r:id="rId147" xr:uid="{E37A54C3-25D8-404F-912D-2BF5B35307E3}"/>
    <hyperlink ref="J101" r:id="rId148" xr:uid="{8506CD8A-2CC4-4DF9-AA56-6160ED14495B}"/>
    <hyperlink ref="M101" r:id="rId149" xr:uid="{164B5B0C-C18B-4204-9EBF-2299B9763700}"/>
    <hyperlink ref="O101" r:id="rId150" xr:uid="{F7D138EB-0DDF-42BC-BFC3-8981DD408FD1}"/>
    <hyperlink ref="R101" r:id="rId151" xr:uid="{B83B2B2C-5D38-445C-84D1-417910FB8247}"/>
    <hyperlink ref="S101:U101" r:id="rId152" display="https://images.nvidia.com/content/technologies/volta/pdf/volta-v100-datasheet-update-us-1165301-r5.pdf" xr:uid="{41CA1E5B-B91F-469A-8BE1-B89B65158226}"/>
    <hyperlink ref="K108" r:id="rId153" xr:uid="{4FB5F7A9-67DA-49B2-BC3A-FF99DC8FF2DA}"/>
    <hyperlink ref="K143" r:id="rId154" xr:uid="{6FA36415-3EE4-43FC-AC43-824913410A7B}"/>
    <hyperlink ref="K119" r:id="rId155" xr:uid="{CB35FD76-28FB-42EE-87D7-7FDBD74CE95B}"/>
    <hyperlink ref="U119" r:id="rId156" xr:uid="{70835F2C-D849-4C8E-90E7-91046FD9C451}"/>
    <hyperlink ref="S119" r:id="rId157" xr:uid="{6C776720-6C0A-49BB-A614-26670017CA11}"/>
    <hyperlink ref="K113" r:id="rId158" xr:uid="{E6B02B60-33AD-4BDF-AF2C-C613400CC131}"/>
    <hyperlink ref="J113" r:id="rId159" xr:uid="{22CCA1C2-F3B4-4598-9DA2-20EFA6AB607E}"/>
    <hyperlink ref="E115" r:id="rId160" xr:uid="{475B6AB9-43B4-41DD-9054-271E15E0B8F0}"/>
    <hyperlink ref="D111" r:id="rId161" xr:uid="{F83870F2-56C1-4286-BD98-01B0AA3E35BA}"/>
    <hyperlink ref="E111" r:id="rId162" display="https://youtu.be/YZzROmj5Ols?si=np6xBwjEw18EvhZ7&amp;t=402" xr:uid="{663EC458-0E3A-4699-A55A-CD99FA8F07C9}"/>
    <hyperlink ref="M112" r:id="rId163" xr:uid="{FA15F96D-4253-43EC-9622-53678F32B6A7}"/>
    <hyperlink ref="M111" r:id="rId164" xr:uid="{4D108546-5804-4E67-8182-CB86E42EBED0}"/>
    <hyperlink ref="N112" r:id="rId165" xr:uid="{64069E07-2135-4233-8BF2-4E0FFF02BF78}"/>
    <hyperlink ref="O112" r:id="rId166" xr:uid="{2E4411EB-470A-4E8A-8711-62034F479265}"/>
    <hyperlink ref="N111" r:id="rId167" display="https://youtu.be/YZzROmj5Ols?si=BajlxtFnBcGDwmLY&amp;t=403" xr:uid="{B2503828-E86E-438B-8E6C-C55CFFA27ED8}"/>
    <hyperlink ref="O111" r:id="rId168" xr:uid="{C678A4FD-4AD6-4E5E-80B7-C580CA49562C}"/>
    <hyperlink ref="P112" r:id="rId169" xr:uid="{CEB4E181-F363-498B-A0E7-F0429112D98D}"/>
    <hyperlink ref="P111" r:id="rId170" xr:uid="{76144013-E0B5-4EDC-B2E3-94236C2C479B}"/>
    <hyperlink ref="K111" r:id="rId171" xr:uid="{ADFAF790-C101-4E28-9106-2EFA2AE149CF}"/>
    <hyperlink ref="R112" r:id="rId172" xr:uid="{D461B5E1-A527-42D6-A2B4-AF6FD245E048}"/>
    <hyperlink ref="R111" r:id="rId173" xr:uid="{E7F75058-8FBB-4DFB-B5F1-F1A7C2DFD4DB}"/>
    <hyperlink ref="K112" r:id="rId174" xr:uid="{40B71966-F6F5-4D0A-98E9-DE64246902D9}"/>
    <hyperlink ref="E117" r:id="rId175" xr:uid="{E20D405C-3A06-4E04-B8D7-6B46CD4B090B}"/>
    <hyperlink ref="D112" r:id="rId176" xr:uid="{9FC3663B-FD3A-4973-BF17-6A19209D4EC2}"/>
    <hyperlink ref="E112" r:id="rId177" display="https://youtu.be/YZzROmj5Ols?si=np6xBwjEw18EvhZ7&amp;t=402" xr:uid="{653725FB-37F4-4244-AB1B-8B58103EF55D}"/>
    <hyperlink ref="R117" r:id="rId178" xr:uid="{5F57F852-791D-4D09-B70A-C5C1226FD286}"/>
    <hyperlink ref="T117" r:id="rId179" xr:uid="{AAB349C5-FD5E-4548-9CCF-879A3F48E114}"/>
    <hyperlink ref="U117" r:id="rId180" xr:uid="{2D1C8983-2811-4A77-9F36-07C478ED30A8}"/>
    <hyperlink ref="O117" r:id="rId181" xr:uid="{682003DA-65D8-4997-9C93-0F54537C1E89}"/>
    <hyperlink ref="P117" r:id="rId182" display="https://youtu.be/YZzROmj5Ols?si=AG9ysgWslgkKVNfM&amp;t=239" xr:uid="{D32EE57C-5197-4C72-9EC1-BFD36CDF3A6B}"/>
    <hyperlink ref="J117" r:id="rId183" xr:uid="{F292357C-3310-45B0-8126-61E5F0AA9DD0}"/>
    <hyperlink ref="K117" r:id="rId184" xr:uid="{FD31A4D1-AFAA-4510-BFF8-50EEA611BDB1}"/>
    <hyperlink ref="D117" r:id="rId185" xr:uid="{E93E4AF1-D1B4-44CF-94AA-5903C7B3A8C2}"/>
    <hyperlink ref="D118" r:id="rId186" xr:uid="{A1A58927-3C09-40F4-8C34-F559F9E679DE}"/>
    <hyperlink ref="E118" r:id="rId187" xr:uid="{8E592F01-D916-4B73-8832-61AB2796CFF6}"/>
    <hyperlink ref="J109" r:id="rId188" xr:uid="{FD000D43-2094-4141-82FB-A397623C8EAC}"/>
    <hyperlink ref="D109" r:id="rId189" xr:uid="{BF1D2F7A-7640-495B-B85C-AD26332CCD0F}"/>
    <hyperlink ref="E109" r:id="rId190" display="https://www.tomshardware.com/news/intel-habana-gaudi2-outperforms-nvidia-a100" xr:uid="{98D62B3C-0FF9-464A-A8AD-53B2171B1B71}"/>
    <hyperlink ref="U109" r:id="rId191" xr:uid="{ADB92580-DB3E-4AC2-9F4C-BD3C4F916427}"/>
    <hyperlink ref="F109" r:id="rId192" xr:uid="{5D06C01C-074F-4319-887C-10EBC08780D7}"/>
    <hyperlink ref="S115" r:id="rId193" xr:uid="{337ADBDB-AACA-41FF-A36E-798BF3B8E98E}"/>
    <hyperlink ref="T115:U115" r:id="rId194" display="https://awsdocs-neuron.readthedocs-hosted.com/en/latest/general/arch/neuron-hardware/trainium.html" xr:uid="{76FA1732-2C79-4EDE-8ED2-3298CDB461E3}"/>
    <hyperlink ref="K115" r:id="rId195" xr:uid="{7A542683-3AEA-416B-A338-FC28E95F2EA8}"/>
    <hyperlink ref="D138" r:id="rId196" xr:uid="{CC0E79B8-57E0-4D27-8C18-C24DA67C71AA}"/>
    <hyperlink ref="E138" r:id="rId197" display="https://en.wikipedia.org/wiki/Apple_A17" xr:uid="{7BF55DA5-87BF-4541-A341-0579C52E446C}"/>
    <hyperlink ref="F138:G138" r:id="rId198" display="https://en.wikipedia.org/wiki/Apple_A17" xr:uid="{937140E7-A5CC-4670-9AA5-69C3C82519B2}"/>
    <hyperlink ref="M138" r:id="rId199" xr:uid="{5DE87E27-658F-4F79-85D7-84F0A3BBEFB2}"/>
    <hyperlink ref="J138" r:id="rId200" xr:uid="{D5DB8C1E-0673-40F6-922E-9D9C63096E2C}"/>
    <hyperlink ref="U138" r:id="rId201" xr:uid="{828515AA-417C-4D2A-969A-B296D7F0A5FB}"/>
    <hyperlink ref="K138" r:id="rId202" xr:uid="{DE3FBAB9-E7D9-409A-9E96-6A094CACCF16}"/>
    <hyperlink ref="R138" r:id="rId203" xr:uid="{E6B5378F-D577-473F-9BAA-9E4F7F62B84D}"/>
    <hyperlink ref="O138" r:id="rId204" xr:uid="{2606B560-A1E0-4D27-9B8C-116B08E5D291}"/>
    <hyperlink ref="P138" r:id="rId205" xr:uid="{CED18C38-8ADE-436D-A012-0381DF03A748}"/>
    <hyperlink ref="S138" r:id="rId206" xr:uid="{103517B0-F543-4D4A-8181-AEBFB2245A84}"/>
    <hyperlink ref="G110" r:id="rId207" display="https://www.intel.com/content/www/us/en/content-details/817486/intel-gaudi-3-ai-accelerator-white-paper.html" xr:uid="{C0D3B9C8-5DB0-4C8C-8368-D54B491277A1}"/>
    <hyperlink ref="R119" r:id="rId208" xr:uid="{827AC4E9-CB67-4208-BCBB-A25DC1B0CCC4}"/>
    <hyperlink ref="R125" r:id="rId209" xr:uid="{131DDBE8-7AEE-4944-852E-F337069F0E7D}"/>
    <hyperlink ref="R104" r:id="rId210" xr:uid="{1C5891AA-94E1-480D-90DA-201F62EA03CA}"/>
    <hyperlink ref="T104" r:id="rId211" xr:uid="{A8BB7CF7-3C30-4420-9A36-A09D02F3095F}"/>
    <hyperlink ref="V125" r:id="rId212" display="https://www.youtube.com/watch?v=3tV1KPkuiBI&amp;t=2145s" xr:uid="{EC569CFB-B019-41CC-A19A-C2D692BFF341}"/>
    <hyperlink ref="M3" r:id="rId213" xr:uid="{7852F7DD-9D3D-4F22-A3B4-EBBD4189DC2F}"/>
    <hyperlink ref="S67" r:id="rId214" xr:uid="{77C3E8CB-3637-490A-BFE4-C4AD909CEBB0}"/>
    <hyperlink ref="S68" r:id="rId215" xr:uid="{651A646F-1FB6-45B9-A442-0A72E2C7DCEC}"/>
    <hyperlink ref="E72" r:id="rId216" xr:uid="{74694712-F085-47BE-B885-457A85A399BC}"/>
    <hyperlink ref="E131" r:id="rId217" xr:uid="{ADF4AC76-FC89-4014-B1AE-E547286E4271}"/>
    <hyperlink ref="M103" r:id="rId218" xr:uid="{F1A9DD87-027F-44BE-8693-EBFF928A846E}"/>
    <hyperlink ref="O103" r:id="rId219" xr:uid="{D3660AFE-66DA-4314-953B-CA238AFAA76F}"/>
    <hyperlink ref="N104" r:id="rId220" xr:uid="{F2490FDA-7D8B-4E19-84CA-BEDB2DE71E35}"/>
    <hyperlink ref="N105" r:id="rId221" xr:uid="{CA16D64B-8C66-47CA-AD2B-98F240FFA6EF}"/>
    <hyperlink ref="Z104" r:id="rId222" xr:uid="{502EE1DD-00BA-4845-894F-36E189167BAB}"/>
    <hyperlink ref="D146" r:id="rId223" xr:uid="{82B0282E-7A5A-4568-9A01-AE50AB8D39E8}"/>
    <hyperlink ref="N130" r:id="rId224" xr:uid="{CDB2AF81-E97C-46E5-B524-57C5E9FBB405}"/>
    <hyperlink ref="N107" r:id="rId225" xr:uid="{2077EE08-278C-46CD-ACB2-618F0E93F8E0}"/>
    <hyperlink ref="N106" r:id="rId226" xr:uid="{F4A8903E-71AC-4DE1-94A8-254A2775CFE1}"/>
    <hyperlink ref="D149" r:id="rId227" xr:uid="{435233E3-B139-47DC-9E96-F0FE67E65841}"/>
    <hyperlink ref="E149" r:id="rId228" xr:uid="{2A43E638-C541-441C-A5B3-9A3AE1C0B58D}"/>
    <hyperlink ref="N149" r:id="rId229" xr:uid="{424216AD-587C-4E37-89DF-F8B3D59A4E2E}"/>
    <hyperlink ref="H132" r:id="rId230" xr:uid="{CF36F492-FC98-4755-AF12-C6354DEE2E91}"/>
    <hyperlink ref="D126" r:id="rId231" xr:uid="{F383F5F1-7746-4F63-877F-4D7527C8A2A0}"/>
    <hyperlink ref="Z39" r:id="rId232" location="?search=Data%20Sheet&amp;tx=$product,jetson_agx_orin,jetson_orin_nx,jetson_orin_nano" xr:uid="{ACF38B8E-35C9-4C31-AE9F-B3368BD5F198}"/>
    <hyperlink ref="Z35" r:id="rId233" location="?search=Data%20Sheet&amp;tx=$product,jetson_agx_orin,jetson_orin_nx,jetson_orin_nano" xr:uid="{46867A0D-FAE2-461B-9749-3B96753AE975}"/>
    <hyperlink ref="M126" r:id="rId234" xr:uid="{57ACB03C-8B41-4812-B594-8FD22D897074}"/>
    <hyperlink ref="N126" r:id="rId235" xr:uid="{9AD9BA4F-151F-4737-8B92-2E29336F86F2}"/>
    <hyperlink ref="N128" r:id="rId236" xr:uid="{BE536286-EFB9-4215-84E2-6353C6C92F1A}"/>
  </hyperlinks>
  <pageMargins left="0.7" right="0.7" top="0.75" bottom="0.75" header="0.3" footer="0.3"/>
  <pageSetup paperSize="9" orientation="portrait" verticalDpi="0" r:id="rId23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06DC3-54AF-4B7F-AE2A-BA8234786C98}">
  <dimension ref="A1:AD131"/>
  <sheetViews>
    <sheetView workbookViewId="0">
      <pane xSplit="3" ySplit="15" topLeftCell="D16" activePane="bottomRight" state="frozen"/>
      <selection pane="topRight" activeCell="D1" sqref="D1"/>
      <selection pane="bottomLeft" activeCell="A16" sqref="A16"/>
      <selection pane="bottomRight" activeCell="K14" sqref="K14"/>
    </sheetView>
  </sheetViews>
  <sheetFormatPr defaultRowHeight="14.5" x14ac:dyDescent="0.35"/>
  <cols>
    <col min="1" max="1" width="3.6328125" customWidth="1"/>
    <col min="2" max="2" width="5.26953125" customWidth="1"/>
    <col min="3" max="3" width="32.81640625" customWidth="1"/>
    <col min="4" max="4" width="11.453125" customWidth="1"/>
    <col min="5" max="5" width="12.08984375" customWidth="1"/>
    <col min="6" max="6" width="27.1796875" customWidth="1"/>
    <col min="7" max="7" width="16.6328125" customWidth="1"/>
    <col min="8" max="8" width="6.81640625" customWidth="1"/>
    <col min="9" max="9" width="8.7265625" customWidth="1"/>
    <col min="10" max="10" width="12.7265625" customWidth="1"/>
    <col min="11" max="11" width="13.1796875" customWidth="1"/>
    <col min="12" max="12" width="12.26953125" customWidth="1"/>
    <col min="13" max="13" width="13.7265625" customWidth="1"/>
    <col min="14" max="14" width="11.36328125" customWidth="1"/>
    <col min="15" max="15" width="7.7265625" customWidth="1"/>
    <col min="16" max="16" width="11.08984375" customWidth="1"/>
    <col min="17" max="19" width="14.1796875" customWidth="1"/>
    <col min="20" max="20" width="11.08984375" customWidth="1"/>
    <col min="21" max="21" width="11.7265625" customWidth="1"/>
    <col min="22" max="22" width="11.26953125" customWidth="1"/>
    <col min="23" max="23" width="11.81640625" customWidth="1"/>
    <col min="24" max="24" width="4.6328125" customWidth="1"/>
    <col min="25" max="25" width="5.453125" customWidth="1"/>
    <col min="26" max="26" width="23.7265625" customWidth="1"/>
    <col min="27" max="27" width="3.90625" customWidth="1"/>
    <col min="28" max="28" width="6.81640625" customWidth="1"/>
    <col min="29" max="29" width="5.36328125" customWidth="1"/>
    <col min="30" max="30" width="32.453125" customWidth="1"/>
    <col min="31" max="31" width="12" customWidth="1"/>
    <col min="32" max="32" width="26.90625" customWidth="1"/>
    <col min="33" max="33" width="16.453125" customWidth="1"/>
    <col min="34" max="34" width="8.90625" customWidth="1"/>
    <col min="35" max="35" width="12.54296875" customWidth="1"/>
    <col min="36" max="36" width="12.6328125" customWidth="1"/>
    <col min="37" max="37" width="11.1796875" customWidth="1"/>
    <col min="38" max="38" width="11.26953125" customWidth="1"/>
    <col min="39" max="39" width="7.26953125" customWidth="1"/>
    <col min="40" max="40" width="14" customWidth="1"/>
    <col min="41" max="41" width="13.7265625" customWidth="1"/>
    <col min="42" max="42" width="12.08984375" customWidth="1"/>
    <col min="43" max="43" width="11.7265625" customWidth="1"/>
  </cols>
  <sheetData>
    <row r="1" spans="1:30" ht="28.5" x14ac:dyDescent="0.65">
      <c r="A1" s="9" t="str">
        <f>AI_Models!A1</f>
        <v>New AI chips by Nvidia will cause Russia to lose war in Ukraine #72/99</v>
      </c>
    </row>
    <row r="2" spans="1:30" ht="15.5" x14ac:dyDescent="0.35">
      <c r="A2" s="10" t="str">
        <f>KeyChips!A2</f>
        <v>Proprietary. © H. Mathiesen. This material can be used by others free of charge provided that the author H. Mathiesen is attributed and a clickable link is made visible to the location of used material on www.hmexperience.dk</v>
      </c>
      <c r="Z2" s="2">
        <v>1000000</v>
      </c>
      <c r="AA2" t="s">
        <v>331</v>
      </c>
      <c r="AB2" t="s">
        <v>385</v>
      </c>
      <c r="AC2" s="14" t="s">
        <v>129</v>
      </c>
      <c r="AD2" t="s">
        <v>45</v>
      </c>
    </row>
    <row r="3" spans="1:30" ht="15.5" x14ac:dyDescent="0.35">
      <c r="A3" s="615" t="str">
        <f>AI_Models!A3</f>
        <v>Links to all sources are available in sources table below</v>
      </c>
      <c r="B3" s="616"/>
      <c r="C3" s="616"/>
      <c r="D3" s="616"/>
      <c r="L3" t="str">
        <f>AI_Models!I3</f>
        <v>GB of RAM needed for every 1 billion parameters in AI model. To keep it simple and transparent I use 2 and I do not distinguish between VRAM and other slower RAM also used in AI chips and do not take into effect various algebraic tricks that can be used to compress models to run on less RAM. However, do I distinguish between different types of AI models that may require different amount of RAM per billion of parameters like vision models normally require 12X more ram than LLMs per billion parameters in AI model.</v>
      </c>
      <c r="M3">
        <v>2</v>
      </c>
      <c r="N3" t="s">
        <v>107</v>
      </c>
      <c r="O3" s="14" t="s">
        <v>868</v>
      </c>
      <c r="T3" s="12">
        <f>K34/J34</f>
        <v>2.0129870129870131</v>
      </c>
      <c r="U3" t="s">
        <v>517</v>
      </c>
      <c r="Z3" s="2">
        <v>1000000000</v>
      </c>
      <c r="AA3" t="s">
        <v>242</v>
      </c>
      <c r="AB3" t="s">
        <v>241</v>
      </c>
    </row>
    <row r="4" spans="1:30" x14ac:dyDescent="0.35">
      <c r="Z4" s="2">
        <v>1000000000000</v>
      </c>
      <c r="AA4" t="s">
        <v>130</v>
      </c>
      <c r="AB4" t="s">
        <v>127</v>
      </c>
    </row>
    <row r="5" spans="1:30" ht="24" thickBot="1" x14ac:dyDescent="0.6">
      <c r="C5" s="30" t="s">
        <v>994</v>
      </c>
      <c r="D5" s="31"/>
      <c r="E5" s="31"/>
      <c r="F5" s="31"/>
      <c r="G5" s="31"/>
      <c r="H5" s="31"/>
      <c r="I5" s="31"/>
      <c r="J5" s="31"/>
      <c r="K5" s="31"/>
      <c r="L5" s="31"/>
      <c r="M5" s="31"/>
      <c r="N5" s="31"/>
      <c r="O5" s="31"/>
      <c r="P5" s="31"/>
      <c r="Q5" s="31"/>
      <c r="R5" s="31"/>
      <c r="S5" s="31"/>
      <c r="T5" s="31"/>
      <c r="U5" s="31"/>
      <c r="V5" s="31"/>
      <c r="W5" s="31"/>
      <c r="Z5" s="2">
        <v>1000000000000000</v>
      </c>
      <c r="AA5" t="s">
        <v>150</v>
      </c>
      <c r="AB5" t="s">
        <v>149</v>
      </c>
    </row>
    <row r="6" spans="1:30" ht="15" thickTop="1" x14ac:dyDescent="0.35">
      <c r="C6" s="18" t="s">
        <v>137</v>
      </c>
      <c r="D6" s="19" t="s">
        <v>12</v>
      </c>
      <c r="E6" s="19" t="s">
        <v>7</v>
      </c>
      <c r="F6" s="19" t="s">
        <v>168</v>
      </c>
      <c r="G6" s="19" t="s">
        <v>119</v>
      </c>
      <c r="H6" s="19" t="s">
        <v>134</v>
      </c>
      <c r="I6" s="19" t="s">
        <v>860</v>
      </c>
      <c r="J6" s="19" t="s">
        <v>336</v>
      </c>
      <c r="K6" s="19" t="s">
        <v>336</v>
      </c>
      <c r="L6" s="19" t="s">
        <v>183</v>
      </c>
      <c r="M6" s="19" t="s">
        <v>41</v>
      </c>
      <c r="N6" s="19" t="s">
        <v>510</v>
      </c>
      <c r="O6" s="19" t="s">
        <v>125</v>
      </c>
      <c r="P6" s="19" t="s">
        <v>16</v>
      </c>
      <c r="Q6" s="19" t="s">
        <v>16</v>
      </c>
      <c r="R6" s="19" t="s">
        <v>16</v>
      </c>
      <c r="S6" s="19" t="s">
        <v>16</v>
      </c>
      <c r="T6" s="19" t="s">
        <v>16</v>
      </c>
      <c r="U6" s="19" t="s">
        <v>458</v>
      </c>
      <c r="V6" s="19" t="s">
        <v>586</v>
      </c>
      <c r="W6" s="20" t="s">
        <v>586</v>
      </c>
      <c r="X6" s="8"/>
      <c r="Z6" s="2">
        <v>1E+18</v>
      </c>
      <c r="AA6" t="s">
        <v>131</v>
      </c>
      <c r="AB6" t="s">
        <v>128</v>
      </c>
    </row>
    <row r="7" spans="1:30" x14ac:dyDescent="0.35">
      <c r="C7" s="21" t="s">
        <v>115</v>
      </c>
      <c r="D7" s="13" t="s">
        <v>14</v>
      </c>
      <c r="E7" s="13" t="s">
        <v>117</v>
      </c>
      <c r="F7" s="13"/>
      <c r="G7" s="13" t="s">
        <v>120</v>
      </c>
      <c r="H7" s="13" t="s">
        <v>136</v>
      </c>
      <c r="I7" s="13" t="s">
        <v>120</v>
      </c>
      <c r="J7" s="13" t="s">
        <v>337</v>
      </c>
      <c r="K7" s="13" t="s">
        <v>337</v>
      </c>
      <c r="L7" s="13" t="s">
        <v>106</v>
      </c>
      <c r="M7" s="13" t="s">
        <v>1263</v>
      </c>
      <c r="N7" s="13" t="s">
        <v>511</v>
      </c>
      <c r="O7" s="13" t="s">
        <v>142</v>
      </c>
      <c r="P7" s="13" t="s">
        <v>26</v>
      </c>
      <c r="Q7" s="13" t="s">
        <v>27</v>
      </c>
      <c r="R7" s="13" t="s">
        <v>277</v>
      </c>
      <c r="S7" s="13" t="s">
        <v>752</v>
      </c>
      <c r="T7" s="13" t="s">
        <v>28</v>
      </c>
      <c r="U7" s="13" t="s">
        <v>459</v>
      </c>
      <c r="V7" s="13" t="s">
        <v>587</v>
      </c>
      <c r="W7" s="22" t="s">
        <v>587</v>
      </c>
      <c r="X7" s="8" t="s">
        <v>132</v>
      </c>
      <c r="AB7" t="s">
        <v>45</v>
      </c>
    </row>
    <row r="8" spans="1:30" ht="15" thickBot="1" x14ac:dyDescent="0.4">
      <c r="C8" s="210"/>
      <c r="D8" s="202" t="s">
        <v>551</v>
      </c>
      <c r="E8" s="202" t="s">
        <v>551</v>
      </c>
      <c r="F8" s="202"/>
      <c r="G8" s="202" t="s">
        <v>121</v>
      </c>
      <c r="H8" s="202" t="s">
        <v>135</v>
      </c>
      <c r="I8" s="202" t="s">
        <v>121</v>
      </c>
      <c r="J8" s="202" t="s">
        <v>126</v>
      </c>
      <c r="K8" s="202" t="s">
        <v>532</v>
      </c>
      <c r="L8" s="202" t="s">
        <v>99</v>
      </c>
      <c r="M8" s="202" t="s">
        <v>77</v>
      </c>
      <c r="N8" s="202" t="s">
        <v>512</v>
      </c>
      <c r="O8" s="202" t="s">
        <v>141</v>
      </c>
      <c r="P8" s="202" t="s">
        <v>42</v>
      </c>
      <c r="Q8" s="202" t="s">
        <v>865</v>
      </c>
      <c r="R8" s="202" t="str">
        <f>Q8</f>
        <v xml:space="preserve"> AI computation</v>
      </c>
      <c r="S8" s="202" t="str">
        <f>Q8</f>
        <v xml:space="preserve"> AI computation</v>
      </c>
      <c r="T8" s="202" t="s">
        <v>143</v>
      </c>
      <c r="U8" s="202" t="s">
        <v>924</v>
      </c>
      <c r="V8" s="202" t="s">
        <v>591</v>
      </c>
      <c r="W8" s="211" t="s">
        <v>592</v>
      </c>
      <c r="X8" s="8"/>
      <c r="Y8" s="8" t="s">
        <v>274</v>
      </c>
    </row>
    <row r="9" spans="1:30" ht="15" thickTop="1" x14ac:dyDescent="0.35">
      <c r="B9">
        <v>1</v>
      </c>
      <c r="C9" s="236" t="s">
        <v>1082</v>
      </c>
      <c r="D9" s="243"/>
      <c r="E9" s="243"/>
      <c r="F9" s="243"/>
      <c r="G9" s="243"/>
      <c r="H9" s="243"/>
      <c r="I9" s="243"/>
      <c r="J9" s="243"/>
      <c r="K9" s="243"/>
      <c r="L9" s="243"/>
      <c r="M9" s="243"/>
      <c r="N9" s="243"/>
      <c r="O9" s="243"/>
      <c r="P9" s="243"/>
      <c r="Q9" s="243"/>
      <c r="R9" s="243"/>
      <c r="S9" s="243"/>
      <c r="T9" s="243"/>
      <c r="U9" s="243"/>
      <c r="V9" s="243"/>
      <c r="W9" s="244"/>
      <c r="X9" s="8">
        <v>1</v>
      </c>
      <c r="Y9" s="8"/>
    </row>
    <row r="10" spans="1:30" x14ac:dyDescent="0.35">
      <c r="B10">
        <f>B9+1</f>
        <v>2</v>
      </c>
      <c r="C10" s="23" t="s">
        <v>118</v>
      </c>
      <c r="D10" s="7" t="s">
        <v>862</v>
      </c>
      <c r="E10" s="7">
        <v>2024</v>
      </c>
      <c r="F10" t="s">
        <v>608</v>
      </c>
      <c r="G10" t="s">
        <v>92</v>
      </c>
      <c r="H10" s="2">
        <f>KeyChips!R15</f>
        <v>1000</v>
      </c>
      <c r="I10" s="2">
        <v>256</v>
      </c>
      <c r="J10" s="2">
        <f>H10*I10</f>
        <v>256000</v>
      </c>
      <c r="K10" s="2">
        <f>J10*T$3</f>
        <v>515324.67532467534</v>
      </c>
      <c r="L10" s="148">
        <f>M10*(1/M$3)</f>
        <v>79872</v>
      </c>
      <c r="M10" s="2">
        <f>I10*KeyChips!J15</f>
        <v>159744</v>
      </c>
      <c r="N10" s="118">
        <f>KeyChips!K15</f>
        <v>4000</v>
      </c>
      <c r="O10" s="214">
        <f>I10*KeyChips!N15/Z2</f>
        <v>13.055999999999999</v>
      </c>
      <c r="P10" s="2">
        <f>I10*KeyChips!S15</f>
        <v>17152</v>
      </c>
      <c r="Q10" s="2">
        <f>I10*KeyChips!T15</f>
        <v>506624</v>
      </c>
      <c r="R10" s="148">
        <f>I10*KeyChips!U15</f>
        <v>1013248</v>
      </c>
      <c r="S10" s="118" t="s">
        <v>45</v>
      </c>
      <c r="T10" s="134">
        <f>P10/K10</f>
        <v>3.3283870967741935E-2</v>
      </c>
      <c r="U10" s="134">
        <f>R10/K10</f>
        <v>1.9662322580645162</v>
      </c>
      <c r="V10" s="2">
        <f>V$15*(R$15/R10)</f>
        <v>692.82150075795857</v>
      </c>
      <c r="W10" s="178">
        <f>W$15*(R$15/R10)</f>
        <v>1.8981410979670097</v>
      </c>
      <c r="X10">
        <f>X9+1</f>
        <v>2</v>
      </c>
    </row>
    <row r="11" spans="1:30" x14ac:dyDescent="0.35">
      <c r="B11">
        <f t="shared" ref="B11:B47" si="0">B10+1</f>
        <v>3</v>
      </c>
      <c r="C11" s="23" t="s">
        <v>1087</v>
      </c>
      <c r="D11" s="7" t="s">
        <v>863</v>
      </c>
      <c r="E11" s="7" t="s">
        <v>864</v>
      </c>
      <c r="F11" t="s">
        <v>608</v>
      </c>
      <c r="G11" t="s">
        <v>870</v>
      </c>
      <c r="H11" s="2">
        <f>KeyChips!R$16</f>
        <v>2700</v>
      </c>
      <c r="I11" s="2">
        <f>72/2</f>
        <v>36</v>
      </c>
      <c r="J11" s="2">
        <f>H11*I11</f>
        <v>97200</v>
      </c>
      <c r="K11" s="2">
        <f>J11*T$3</f>
        <v>195662.33766233767</v>
      </c>
      <c r="L11" s="148">
        <f>M11*(1/M$3)</f>
        <v>15552</v>
      </c>
      <c r="M11" s="2">
        <f>I11*KeyChips!J$16</f>
        <v>31104</v>
      </c>
      <c r="N11" s="118">
        <f>KeyChips!K$16</f>
        <v>16000</v>
      </c>
      <c r="O11" s="214">
        <f>I11*KeyChips!N$16/Z$2</f>
        <v>2.34</v>
      </c>
      <c r="P11" s="2">
        <f>I11*KeyChips!S$16</f>
        <v>6480</v>
      </c>
      <c r="Q11" s="2">
        <f>I11*KeyChips!T$16</f>
        <v>360000</v>
      </c>
      <c r="R11" s="148">
        <f>I11*KeyChips!U$16</f>
        <v>720000</v>
      </c>
      <c r="S11" s="148">
        <f>I11*KeyChips!V$16</f>
        <v>1440000</v>
      </c>
      <c r="T11" s="134">
        <f>P11/K11</f>
        <v>3.3118279569892474E-2</v>
      </c>
      <c r="U11" s="134">
        <f>S11/K11</f>
        <v>7.3596176821983272</v>
      </c>
      <c r="V11" s="2">
        <f>V$15*(R$15/S11)</f>
        <v>487.5</v>
      </c>
      <c r="W11" s="178">
        <f>W$15*(R$15/S11)</f>
        <v>1.3356164383561644</v>
      </c>
      <c r="X11">
        <f t="shared" ref="X11:X47" si="1">X10+1</f>
        <v>3</v>
      </c>
    </row>
    <row r="12" spans="1:30" x14ac:dyDescent="0.35">
      <c r="B12">
        <f t="shared" si="0"/>
        <v>4</v>
      </c>
      <c r="C12" s="23" t="s">
        <v>873</v>
      </c>
      <c r="D12" s="7" t="s">
        <v>863</v>
      </c>
      <c r="E12" s="7" t="s">
        <v>1121</v>
      </c>
      <c r="F12" t="s">
        <v>608</v>
      </c>
      <c r="G12" t="s">
        <v>870</v>
      </c>
      <c r="H12" s="2">
        <f>KeyChips!R$16</f>
        <v>2700</v>
      </c>
      <c r="I12" s="2">
        <f>40000/2</f>
        <v>20000</v>
      </c>
      <c r="J12" s="2">
        <f>H12*I12</f>
        <v>54000000</v>
      </c>
      <c r="K12" s="2">
        <f>J12*T$3</f>
        <v>108701298.70129871</v>
      </c>
      <c r="L12" s="148">
        <f>M12*(1/M$3)</f>
        <v>8640000</v>
      </c>
      <c r="M12" s="2">
        <f>I12*KeyChips!J$16</f>
        <v>17280000</v>
      </c>
      <c r="N12" s="118">
        <f>KeyChips!K$16</f>
        <v>16000</v>
      </c>
      <c r="O12" s="214">
        <f>I12*KeyChips!N$16/Z$2</f>
        <v>1300</v>
      </c>
      <c r="P12" s="2">
        <f>I12*KeyChips!S$16</f>
        <v>3600000</v>
      </c>
      <c r="Q12" s="2">
        <f>I12*KeyChips!T$16</f>
        <v>200000000</v>
      </c>
      <c r="R12" s="148">
        <f>I12*KeyChips!U$16</f>
        <v>400000000</v>
      </c>
      <c r="S12" s="148">
        <f>I12*KeyChips!V$16</f>
        <v>800000000</v>
      </c>
      <c r="T12" s="134">
        <f>P12/K12</f>
        <v>3.3118279569892467E-2</v>
      </c>
      <c r="U12" s="134">
        <f>S12/K12</f>
        <v>7.3596176821983263</v>
      </c>
      <c r="V12" s="134">
        <f>V$15*(R$15/S12)</f>
        <v>0.87749999999999995</v>
      </c>
      <c r="W12" s="344">
        <f>W$15*(R$15/S12)</f>
        <v>2.4041095890410956E-3</v>
      </c>
      <c r="X12">
        <f t="shared" si="1"/>
        <v>4</v>
      </c>
    </row>
    <row r="13" spans="1:30" x14ac:dyDescent="0.35">
      <c r="B13">
        <f t="shared" si="0"/>
        <v>5</v>
      </c>
      <c r="C13" s="23" t="s">
        <v>844</v>
      </c>
      <c r="D13" s="7" t="s">
        <v>863</v>
      </c>
      <c r="E13" s="7" t="s">
        <v>1122</v>
      </c>
      <c r="F13" t="s">
        <v>608</v>
      </c>
      <c r="G13" t="s">
        <v>870</v>
      </c>
      <c r="H13" s="2">
        <f>KeyChips!R$16</f>
        <v>2700</v>
      </c>
      <c r="I13" s="2">
        <f>400000/2</f>
        <v>200000</v>
      </c>
      <c r="J13" s="2">
        <f>H13*I13</f>
        <v>540000000</v>
      </c>
      <c r="K13" s="2">
        <f>J13*T$3</f>
        <v>1087012987.0129871</v>
      </c>
      <c r="L13" s="148">
        <f>M13*(1/M$3)</f>
        <v>86400000</v>
      </c>
      <c r="M13" s="2">
        <f>I13*KeyChips!J$16</f>
        <v>172800000</v>
      </c>
      <c r="N13" s="118">
        <f>KeyChips!K$16</f>
        <v>16000</v>
      </c>
      <c r="O13" s="214">
        <f>I13*KeyChips!N$16/Z$2</f>
        <v>13000</v>
      </c>
      <c r="P13" s="2">
        <f>I13*KeyChips!S$16</f>
        <v>36000000</v>
      </c>
      <c r="Q13" s="2">
        <f>I13*KeyChips!T$16</f>
        <v>2000000000</v>
      </c>
      <c r="R13" s="148">
        <f>I13*KeyChips!U$16</f>
        <v>4000000000</v>
      </c>
      <c r="S13" s="148">
        <f>I13*KeyChips!V$16</f>
        <v>8000000000</v>
      </c>
      <c r="T13" s="134">
        <f>P13/K13</f>
        <v>3.3118279569892467E-2</v>
      </c>
      <c r="U13" s="134">
        <f>S13/K13</f>
        <v>7.3596176821983263</v>
      </c>
      <c r="V13" s="134">
        <f>V$15*(R$15/S13)</f>
        <v>8.7749999999999995E-2</v>
      </c>
      <c r="W13" s="345">
        <f>W$15*(R$15/S13)</f>
        <v>2.4041095890410956E-4</v>
      </c>
      <c r="X13">
        <f t="shared" si="1"/>
        <v>5</v>
      </c>
    </row>
    <row r="14" spans="1:30" x14ac:dyDescent="0.35">
      <c r="B14">
        <f t="shared" si="0"/>
        <v>6</v>
      </c>
      <c r="C14" s="23" t="s">
        <v>845</v>
      </c>
      <c r="D14" s="7" t="s">
        <v>863</v>
      </c>
      <c r="E14" s="7" t="s">
        <v>1123</v>
      </c>
      <c r="F14" t="s">
        <v>608</v>
      </c>
      <c r="G14" t="s">
        <v>870</v>
      </c>
      <c r="H14" s="2">
        <f>KeyChips!R$16</f>
        <v>2700</v>
      </c>
      <c r="I14" s="2">
        <f>2000000/2</f>
        <v>1000000</v>
      </c>
      <c r="J14" s="2">
        <f>H14*I14</f>
        <v>2700000000</v>
      </c>
      <c r="K14" s="2">
        <f>J14*T$3</f>
        <v>5435064935.0649357</v>
      </c>
      <c r="L14" s="148">
        <f>M14*(1/M$3)</f>
        <v>432000000</v>
      </c>
      <c r="M14" s="2">
        <f>I14*KeyChips!J$16</f>
        <v>864000000</v>
      </c>
      <c r="N14" s="118">
        <f>KeyChips!K$16</f>
        <v>16000</v>
      </c>
      <c r="O14" s="214">
        <f>I14*KeyChips!N$16/Z$2</f>
        <v>65000</v>
      </c>
      <c r="P14" s="2">
        <f>I14*KeyChips!S$16</f>
        <v>180000000</v>
      </c>
      <c r="Q14" s="2">
        <f>I14*KeyChips!T$16</f>
        <v>10000000000</v>
      </c>
      <c r="R14" s="148">
        <f>I14*KeyChips!U$16</f>
        <v>20000000000</v>
      </c>
      <c r="S14" s="148">
        <f>I14*KeyChips!V$16</f>
        <v>40000000000</v>
      </c>
      <c r="T14" s="134">
        <f>P14/K14</f>
        <v>3.3118279569892467E-2</v>
      </c>
      <c r="U14" s="134">
        <f>S14/K14</f>
        <v>7.3596176821983263</v>
      </c>
      <c r="V14" s="134">
        <f>V$15*(R$15/S14)</f>
        <v>1.755E-2</v>
      </c>
      <c r="W14" s="346">
        <f>W$15*(R$15/S14)</f>
        <v>4.8082191780821914E-5</v>
      </c>
      <c r="X14">
        <f t="shared" si="1"/>
        <v>6</v>
      </c>
    </row>
    <row r="15" spans="1:30" x14ac:dyDescent="0.35">
      <c r="B15">
        <f t="shared" si="0"/>
        <v>7</v>
      </c>
      <c r="C15" s="23" t="s">
        <v>1545</v>
      </c>
      <c r="D15" s="7">
        <v>2021</v>
      </c>
      <c r="E15" s="7">
        <f>D15</f>
        <v>2021</v>
      </c>
      <c r="F15" t="s">
        <v>461</v>
      </c>
      <c r="G15" t="str">
        <f>KeyChips!C11</f>
        <v>Nvidia A100 used for GTP-4 training</v>
      </c>
      <c r="H15" s="2">
        <f>KeyChips!R11</f>
        <v>240</v>
      </c>
      <c r="I15" s="2">
        <v>25000</v>
      </c>
      <c r="J15" s="2">
        <f t="shared" ref="J15:J28" si="2">H15*I15</f>
        <v>6000000</v>
      </c>
      <c r="K15" s="2">
        <f t="shared" ref="K15:K26" si="3">J15*T$3</f>
        <v>12077922.077922078</v>
      </c>
      <c r="L15" s="148">
        <f t="shared" ref="L15:L32" si="4">M15*(1/M$3)</f>
        <v>500000</v>
      </c>
      <c r="M15" s="2">
        <f>I15*KeyChips!J11</f>
        <v>1000000</v>
      </c>
      <c r="N15" s="148">
        <f>KeyChips!K11</f>
        <v>1555</v>
      </c>
      <c r="O15" s="214">
        <f>I15*KeyChips!N11/Z$2</f>
        <v>150</v>
      </c>
      <c r="P15" s="2">
        <f>$I15*KeyChips!S11</f>
        <v>500000</v>
      </c>
      <c r="Q15" s="2">
        <f>$I15*KeyChips!T11</f>
        <v>2000000</v>
      </c>
      <c r="R15" s="148">
        <f>$I15*KeyChips!U11</f>
        <v>7800000</v>
      </c>
      <c r="S15" s="118" t="s">
        <v>45</v>
      </c>
      <c r="T15" s="134">
        <f t="shared" ref="T15:T21" si="5">P15/K15</f>
        <v>4.1397849462365591E-2</v>
      </c>
      <c r="U15" s="134">
        <f t="shared" ref="U15:U28" si="6">R15/K15</f>
        <v>0.64580645161290318</v>
      </c>
      <c r="V15" s="2">
        <v>90</v>
      </c>
      <c r="W15" s="178">
        <f>V15/365</f>
        <v>0.24657534246575341</v>
      </c>
      <c r="X15">
        <f t="shared" si="1"/>
        <v>7</v>
      </c>
      <c r="Y15" s="24">
        <f>Q34/P34</f>
        <v>29.53731343283582</v>
      </c>
    </row>
    <row r="16" spans="1:30" x14ac:dyDescent="0.35">
      <c r="B16">
        <f t="shared" si="0"/>
        <v>8</v>
      </c>
      <c r="C16" s="23" t="s">
        <v>1174</v>
      </c>
      <c r="D16" s="7">
        <v>2024</v>
      </c>
      <c r="E16" s="7">
        <f>D16</f>
        <v>2024</v>
      </c>
      <c r="F16" t="s">
        <v>461</v>
      </c>
      <c r="G16" t="str">
        <f>KeyChips!C12</f>
        <v>Nvidia H100 SXM</v>
      </c>
      <c r="H16" s="2">
        <f>KeyChips!R12</f>
        <v>700</v>
      </c>
      <c r="I16" s="2">
        <f>I15</f>
        <v>25000</v>
      </c>
      <c r="J16" s="2">
        <f t="shared" si="2"/>
        <v>17500000</v>
      </c>
      <c r="K16" s="2">
        <f t="shared" si="3"/>
        <v>35227272.727272727</v>
      </c>
      <c r="L16" s="148">
        <f t="shared" si="4"/>
        <v>1000000</v>
      </c>
      <c r="M16" s="2">
        <f>I16*KeyChips!J12</f>
        <v>2000000</v>
      </c>
      <c r="N16" s="148">
        <f>KeyChips!K12</f>
        <v>3350</v>
      </c>
      <c r="O16" s="214">
        <f>I16*KeyChips!N$12/Z$2</f>
        <v>825</v>
      </c>
      <c r="P16" s="2">
        <f>$I16*KeyChips!S12</f>
        <v>1675000</v>
      </c>
      <c r="Q16" s="2">
        <f>$I16*KeyChips!T12</f>
        <v>49475000</v>
      </c>
      <c r="R16" s="148">
        <f>$I16*KeyChips!U12</f>
        <v>98950000</v>
      </c>
      <c r="S16" s="118" t="s">
        <v>45</v>
      </c>
      <c r="T16" s="134">
        <f t="shared" si="5"/>
        <v>4.7548387096774197E-2</v>
      </c>
      <c r="U16" s="134">
        <f t="shared" si="6"/>
        <v>2.8089032258064517</v>
      </c>
      <c r="V16" s="2">
        <f t="shared" ref="V16:V17" si="7">V$15*(R$15/R16)</f>
        <v>7.094492167761496</v>
      </c>
      <c r="W16" s="178">
        <f t="shared" ref="W16:W20" si="8">W$15*(R$15/R16)</f>
        <v>1.9436964843182178E-2</v>
      </c>
      <c r="X16">
        <f t="shared" si="1"/>
        <v>8</v>
      </c>
    </row>
    <row r="17" spans="2:26" x14ac:dyDescent="0.35">
      <c r="B17">
        <f t="shared" si="0"/>
        <v>9</v>
      </c>
      <c r="C17" s="23" t="s">
        <v>871</v>
      </c>
      <c r="D17" s="7">
        <v>2021</v>
      </c>
      <c r="E17" s="7">
        <v>2023</v>
      </c>
      <c r="F17" t="s">
        <v>852</v>
      </c>
      <c r="G17" t="s">
        <v>854</v>
      </c>
      <c r="H17" s="2">
        <f>KeyChips!R28</f>
        <v>400</v>
      </c>
      <c r="I17" s="2">
        <v>3000</v>
      </c>
      <c r="J17" s="2">
        <f t="shared" si="2"/>
        <v>1200000</v>
      </c>
      <c r="K17" s="2">
        <f t="shared" si="3"/>
        <v>2415584.4155844157</v>
      </c>
      <c r="L17" s="148">
        <f t="shared" si="4"/>
        <v>7160</v>
      </c>
      <c r="M17" s="2">
        <f>(6*2*10*11)+13000</f>
        <v>14320</v>
      </c>
      <c r="N17" s="148">
        <f>KeyChips!K28</f>
        <v>4000</v>
      </c>
      <c r="O17" s="583" t="s">
        <v>45</v>
      </c>
      <c r="P17" s="2">
        <f>I17*KeyChips!S28</f>
        <v>67800</v>
      </c>
      <c r="Q17" s="89" t="s">
        <v>45</v>
      </c>
      <c r="R17" s="148">
        <f>I17*KeyChips!U28</f>
        <v>1086000</v>
      </c>
      <c r="S17" s="118" t="s">
        <v>45</v>
      </c>
      <c r="T17" s="134">
        <f t="shared" si="5"/>
        <v>2.8067741935483871E-2</v>
      </c>
      <c r="U17" s="134">
        <f t="shared" si="6"/>
        <v>0.44958064516129032</v>
      </c>
      <c r="V17" s="2">
        <f t="shared" si="7"/>
        <v>646.40883977900546</v>
      </c>
      <c r="W17" s="178">
        <f t="shared" si="8"/>
        <v>1.7709831226822068</v>
      </c>
      <c r="X17">
        <f t="shared" si="1"/>
        <v>9</v>
      </c>
      <c r="Y17" s="24">
        <f>Q10/P10</f>
        <v>29.53731343283582</v>
      </c>
    </row>
    <row r="18" spans="2:26" x14ac:dyDescent="0.35">
      <c r="B18">
        <f t="shared" si="0"/>
        <v>10</v>
      </c>
      <c r="C18" s="23" t="s">
        <v>855</v>
      </c>
      <c r="D18" s="7">
        <v>2023</v>
      </c>
      <c r="E18" s="7">
        <v>2023</v>
      </c>
      <c r="F18" t="s">
        <v>853</v>
      </c>
      <c r="G18" t="str">
        <f>KeyChips!C12</f>
        <v>Nvidia H100 SXM</v>
      </c>
      <c r="H18" s="2">
        <f>KeyChips!R$12</f>
        <v>700</v>
      </c>
      <c r="I18" s="2">
        <v>10000</v>
      </c>
      <c r="J18" s="2">
        <f t="shared" si="2"/>
        <v>7000000</v>
      </c>
      <c r="K18" s="2">
        <f t="shared" si="3"/>
        <v>14090909.090909092</v>
      </c>
      <c r="L18" s="148">
        <f t="shared" si="4"/>
        <v>400000</v>
      </c>
      <c r="M18" s="2">
        <f>I18*KeyChips!J12</f>
        <v>800000</v>
      </c>
      <c r="N18" s="148">
        <f>KeyChips!K$12</f>
        <v>3350</v>
      </c>
      <c r="O18" s="214">
        <f>I18*KeyChips!N$12/Z$2</f>
        <v>330</v>
      </c>
      <c r="P18" s="2">
        <f>$I18*KeyChips!S$12</f>
        <v>670000</v>
      </c>
      <c r="Q18" s="2">
        <f>$I18*KeyChips!T$12</f>
        <v>19790000</v>
      </c>
      <c r="R18" s="148">
        <f>$I18*KeyChips!U$12</f>
        <v>39580000</v>
      </c>
      <c r="S18" s="118" t="s">
        <v>45</v>
      </c>
      <c r="T18" s="134">
        <f t="shared" si="5"/>
        <v>4.754838709677419E-2</v>
      </c>
      <c r="U18" s="134">
        <f t="shared" si="6"/>
        <v>2.8089032258064512</v>
      </c>
      <c r="V18" s="2">
        <f t="shared" ref="V18" si="9">V$15*(R$15/R18)</f>
        <v>17.736230419403739</v>
      </c>
      <c r="W18" s="178">
        <f t="shared" si="8"/>
        <v>4.8592412107955452E-2</v>
      </c>
      <c r="X18">
        <f t="shared" si="1"/>
        <v>10</v>
      </c>
      <c r="Y18" s="24"/>
    </row>
    <row r="19" spans="2:26" x14ac:dyDescent="0.35">
      <c r="B19">
        <f t="shared" si="0"/>
        <v>11</v>
      </c>
      <c r="C19" s="23" t="s">
        <v>856</v>
      </c>
      <c r="D19" s="7" t="s">
        <v>909</v>
      </c>
      <c r="E19" s="7" t="s">
        <v>840</v>
      </c>
      <c r="F19" t="s">
        <v>1118</v>
      </c>
      <c r="G19" t="s">
        <v>389</v>
      </c>
      <c r="H19" s="2">
        <v>700</v>
      </c>
      <c r="I19" s="2">
        <v>50000</v>
      </c>
      <c r="J19" s="2">
        <f t="shared" si="2"/>
        <v>35000000</v>
      </c>
      <c r="K19" s="2">
        <f t="shared" si="3"/>
        <v>70454545.454545453</v>
      </c>
      <c r="L19" s="148">
        <f t="shared" si="4"/>
        <v>2000000</v>
      </c>
      <c r="M19" s="2">
        <f>I19*KeyChips!J$12</f>
        <v>4000000</v>
      </c>
      <c r="N19" s="148">
        <f>KeyChips!K$12</f>
        <v>3350</v>
      </c>
      <c r="O19" s="214">
        <f>I19*KeyChips!N$12/Z$2</f>
        <v>1650</v>
      </c>
      <c r="P19" s="2">
        <f>$I19*KeyChips!S$12</f>
        <v>3350000</v>
      </c>
      <c r="Q19" s="2">
        <f>$I19*KeyChips!T$12</f>
        <v>98950000</v>
      </c>
      <c r="R19" s="148">
        <f>$I19*KeyChips!U$12</f>
        <v>197900000</v>
      </c>
      <c r="S19" s="118" t="s">
        <v>45</v>
      </c>
      <c r="T19" s="134">
        <f t="shared" si="5"/>
        <v>4.7548387096774197E-2</v>
      </c>
      <c r="U19" s="134">
        <f t="shared" si="6"/>
        <v>2.8089032258064517</v>
      </c>
      <c r="V19" s="90">
        <f t="shared" ref="V19" si="10">V$15*(R$15/R19)</f>
        <v>3.547246083880748</v>
      </c>
      <c r="W19" s="178">
        <f t="shared" ref="W19" si="11">W$15*(R$15/R19)</f>
        <v>9.7184824215910889E-3</v>
      </c>
      <c r="X19">
        <f t="shared" si="1"/>
        <v>11</v>
      </c>
      <c r="Y19" s="24"/>
      <c r="Z19" s="2"/>
    </row>
    <row r="20" spans="2:26" x14ac:dyDescent="0.35">
      <c r="B20">
        <f t="shared" si="0"/>
        <v>12</v>
      </c>
      <c r="C20" s="23" t="s">
        <v>857</v>
      </c>
      <c r="D20" s="7">
        <v>2023</v>
      </c>
      <c r="E20" s="7">
        <v>2024</v>
      </c>
      <c r="F20" t="s">
        <v>598</v>
      </c>
      <c r="G20" t="str">
        <f>G17</f>
        <v>D1, Dojo</v>
      </c>
      <c r="H20" s="2">
        <f>H17</f>
        <v>400</v>
      </c>
      <c r="I20" s="2">
        <f>R20/KeyChips!U28</f>
        <v>163906.07734806629</v>
      </c>
      <c r="J20" s="2">
        <f t="shared" si="2"/>
        <v>65562430.939226516</v>
      </c>
      <c r="K20" s="2">
        <f t="shared" si="3"/>
        <v>131976322.02052091</v>
      </c>
      <c r="L20" s="148">
        <f t="shared" si="4"/>
        <v>391189.17127071822</v>
      </c>
      <c r="M20" s="2">
        <f>M17*(I20/I17)</f>
        <v>782378.34254143643</v>
      </c>
      <c r="N20" s="148">
        <f>N17</f>
        <v>4000</v>
      </c>
      <c r="O20" s="214">
        <f>2000-O18</f>
        <v>1670</v>
      </c>
      <c r="P20" s="2">
        <f>I20*KeyChips!S28</f>
        <v>3704277.3480662983</v>
      </c>
      <c r="Q20" s="34" t="s">
        <v>45</v>
      </c>
      <c r="R20" s="148">
        <f>100000000-R18-R17</f>
        <v>59334000</v>
      </c>
      <c r="S20" s="118" t="s">
        <v>45</v>
      </c>
      <c r="T20" s="134">
        <f t="shared" si="5"/>
        <v>2.8067741935483871E-2</v>
      </c>
      <c r="U20" s="134">
        <f t="shared" si="6"/>
        <v>0.44958064516129032</v>
      </c>
      <c r="V20" s="2">
        <f t="shared" ref="V20" si="12">V$15*(R$15/R20)</f>
        <v>11.831327737890586</v>
      </c>
      <c r="W20" s="178">
        <f t="shared" si="8"/>
        <v>3.241459654216599E-2</v>
      </c>
      <c r="X20">
        <f t="shared" si="1"/>
        <v>12</v>
      </c>
      <c r="Y20" s="24"/>
      <c r="Z20" s="2"/>
    </row>
    <row r="21" spans="2:26" x14ac:dyDescent="0.35">
      <c r="B21">
        <f t="shared" si="0"/>
        <v>13</v>
      </c>
      <c r="C21" s="23" t="s">
        <v>976</v>
      </c>
      <c r="D21" s="7" t="s">
        <v>830</v>
      </c>
      <c r="E21" s="7" t="s">
        <v>980</v>
      </c>
      <c r="F21" t="s">
        <v>850</v>
      </c>
      <c r="G21" t="str">
        <f>KeyChips!C12</f>
        <v>Nvidia H100 SXM</v>
      </c>
      <c r="H21" s="2">
        <f>KeyChips!R$12</f>
        <v>700</v>
      </c>
      <c r="I21" s="2">
        <v>100000</v>
      </c>
      <c r="J21" s="2">
        <f t="shared" si="2"/>
        <v>70000000</v>
      </c>
      <c r="K21" s="2">
        <f t="shared" si="3"/>
        <v>140909090.90909091</v>
      </c>
      <c r="L21" s="148">
        <f t="shared" si="4"/>
        <v>4000000</v>
      </c>
      <c r="M21" s="2">
        <f>I21*KeyChips!J$12</f>
        <v>8000000</v>
      </c>
      <c r="N21" s="148">
        <f>KeyChips!K$12</f>
        <v>3350</v>
      </c>
      <c r="O21" s="214">
        <f>I21*KeyChips!N$12/Z$2</f>
        <v>3300</v>
      </c>
      <c r="P21" s="2">
        <f>$I21*KeyChips!S$12</f>
        <v>6700000</v>
      </c>
      <c r="Q21" s="2">
        <f>$I21*KeyChips!T$12</f>
        <v>197900000</v>
      </c>
      <c r="R21" s="148">
        <f>$I21*KeyChips!U$12</f>
        <v>395800000</v>
      </c>
      <c r="S21" s="118" t="s">
        <v>45</v>
      </c>
      <c r="T21" s="134">
        <f t="shared" si="5"/>
        <v>4.7548387096774197E-2</v>
      </c>
      <c r="U21" s="134">
        <f t="shared" si="6"/>
        <v>2.8089032258064517</v>
      </c>
      <c r="V21" s="90">
        <f t="shared" ref="V21:V28" si="13">V$15*(R$15/R21)</f>
        <v>1.773623041940374</v>
      </c>
      <c r="W21" s="178">
        <f t="shared" ref="W21:W28" si="14">W$15*(R$15/R21)</f>
        <v>4.8592412107955445E-3</v>
      </c>
      <c r="X21">
        <f t="shared" si="1"/>
        <v>13</v>
      </c>
      <c r="Y21" s="24"/>
    </row>
    <row r="22" spans="2:26" x14ac:dyDescent="0.35">
      <c r="B22">
        <f t="shared" si="0"/>
        <v>14</v>
      </c>
      <c r="C22" s="23" t="s">
        <v>977</v>
      </c>
      <c r="D22" s="7" t="s">
        <v>978</v>
      </c>
      <c r="E22" s="7" t="s">
        <v>981</v>
      </c>
      <c r="F22" t="s">
        <v>850</v>
      </c>
      <c r="G22" t="s">
        <v>985</v>
      </c>
      <c r="H22" s="2">
        <f>KeyChips!R14</f>
        <v>1000</v>
      </c>
      <c r="I22" s="2">
        <v>300000</v>
      </c>
      <c r="J22" s="2">
        <f t="shared" si="2"/>
        <v>300000000</v>
      </c>
      <c r="K22" s="2">
        <f t="shared" si="3"/>
        <v>603896103.89610398</v>
      </c>
      <c r="L22" s="148">
        <f t="shared" si="4"/>
        <v>28800000</v>
      </c>
      <c r="M22" s="2">
        <f>I22*KeyChips!J14</f>
        <v>57600000</v>
      </c>
      <c r="N22" s="148">
        <f>KeyChips!K14</f>
        <v>8000</v>
      </c>
      <c r="O22" s="214">
        <f>I22*KeyChips!N14/Z$2</f>
        <v>9750</v>
      </c>
      <c r="P22" s="34" t="s">
        <v>45</v>
      </c>
      <c r="Q22" s="2">
        <f>$I22*KeyChips!T$14</f>
        <v>1350000000</v>
      </c>
      <c r="R22" s="148">
        <f>$I22*KeyChips!U$14</f>
        <v>2700000000</v>
      </c>
      <c r="S22" s="148">
        <f>I22*KeyChips!V14</f>
        <v>5400000000</v>
      </c>
      <c r="T22" s="212" t="s">
        <v>45</v>
      </c>
      <c r="U22" s="134">
        <f t="shared" si="6"/>
        <v>4.4709677419354836</v>
      </c>
      <c r="V22" s="90">
        <f t="shared" si="13"/>
        <v>0.26</v>
      </c>
      <c r="W22" s="178">
        <f t="shared" si="14"/>
        <v>7.1232876712328756E-4</v>
      </c>
      <c r="X22">
        <f t="shared" si="1"/>
        <v>14</v>
      </c>
      <c r="Y22" s="24"/>
    </row>
    <row r="23" spans="2:26" x14ac:dyDescent="0.35">
      <c r="B23">
        <f t="shared" si="0"/>
        <v>15</v>
      </c>
      <c r="C23" s="23" t="s">
        <v>891</v>
      </c>
      <c r="D23" s="7" t="s">
        <v>890</v>
      </c>
      <c r="E23" s="7">
        <v>2025</v>
      </c>
      <c r="F23" t="s">
        <v>894</v>
      </c>
      <c r="G23" t="s">
        <v>389</v>
      </c>
      <c r="H23" s="2">
        <f>KeyChips!R$12</f>
        <v>700</v>
      </c>
      <c r="I23" s="2">
        <v>350000</v>
      </c>
      <c r="J23" s="2">
        <f t="shared" si="2"/>
        <v>245000000</v>
      </c>
      <c r="K23" s="2">
        <f t="shared" si="3"/>
        <v>493181818.18181819</v>
      </c>
      <c r="L23" s="148">
        <f t="shared" si="4"/>
        <v>14000000</v>
      </c>
      <c r="M23" s="2">
        <f>I23*KeyChips!J$12</f>
        <v>28000000</v>
      </c>
      <c r="N23" s="148">
        <f>KeyChips!K$12</f>
        <v>3350</v>
      </c>
      <c r="O23" s="214">
        <f>I23*KeyChips!N$12/Z$2</f>
        <v>11550</v>
      </c>
      <c r="P23" s="2">
        <f>$I23*KeyChips!S$12</f>
        <v>23450000</v>
      </c>
      <c r="Q23" s="2">
        <f>$I23*KeyChips!T$12</f>
        <v>692650000</v>
      </c>
      <c r="R23" s="148">
        <f>$I23*KeyChips!U$12</f>
        <v>1385300000</v>
      </c>
      <c r="S23" s="118" t="s">
        <v>45</v>
      </c>
      <c r="T23" s="134">
        <f>P23/K23</f>
        <v>4.754838709677419E-2</v>
      </c>
      <c r="U23" s="134">
        <f t="shared" si="6"/>
        <v>2.8089032258064517</v>
      </c>
      <c r="V23" s="90">
        <f t="shared" si="13"/>
        <v>0.50674944055439253</v>
      </c>
      <c r="W23" s="178">
        <f t="shared" si="14"/>
        <v>1.38835463165587E-3</v>
      </c>
      <c r="X23">
        <f t="shared" si="1"/>
        <v>15</v>
      </c>
      <c r="Y23" s="24"/>
    </row>
    <row r="24" spans="2:26" x14ac:dyDescent="0.35">
      <c r="B24">
        <f t="shared" si="0"/>
        <v>16</v>
      </c>
      <c r="C24" s="23" t="s">
        <v>892</v>
      </c>
      <c r="D24" s="7" t="s">
        <v>890</v>
      </c>
      <c r="E24" s="7">
        <v>2025</v>
      </c>
      <c r="F24" t="s">
        <v>895</v>
      </c>
      <c r="G24" t="s">
        <v>912</v>
      </c>
      <c r="H24" s="2">
        <f>KeyChips!R$12</f>
        <v>700</v>
      </c>
      <c r="I24" s="2">
        <v>250000</v>
      </c>
      <c r="J24" s="2">
        <f t="shared" si="2"/>
        <v>175000000</v>
      </c>
      <c r="K24" s="2">
        <f t="shared" si="3"/>
        <v>352272727.27272731</v>
      </c>
      <c r="L24" s="148">
        <f t="shared" si="4"/>
        <v>10000000</v>
      </c>
      <c r="M24" s="2">
        <f>I24*KeyChips!J$12</f>
        <v>20000000</v>
      </c>
      <c r="N24" s="148">
        <f>KeyChips!K$12</f>
        <v>3350</v>
      </c>
      <c r="O24" s="214">
        <f>I24*KeyChips!N$12/Z$2</f>
        <v>8250</v>
      </c>
      <c r="P24" s="2">
        <f>$I24*KeyChips!S$12</f>
        <v>16750000</v>
      </c>
      <c r="Q24" s="2">
        <f>$I24*KeyChips!T$12</f>
        <v>494750000</v>
      </c>
      <c r="R24" s="148">
        <f>$I24*KeyChips!U$12</f>
        <v>989500000</v>
      </c>
      <c r="S24" s="118" t="s">
        <v>45</v>
      </c>
      <c r="T24" s="134">
        <f>P24/K24</f>
        <v>4.754838709677419E-2</v>
      </c>
      <c r="U24" s="134">
        <f t="shared" si="6"/>
        <v>2.8089032258064512</v>
      </c>
      <c r="V24" s="90">
        <f t="shared" si="13"/>
        <v>0.70944921677614958</v>
      </c>
      <c r="W24" s="178">
        <f t="shared" si="14"/>
        <v>1.9436964843182179E-3</v>
      </c>
      <c r="X24">
        <f t="shared" si="1"/>
        <v>16</v>
      </c>
      <c r="Y24" s="24"/>
    </row>
    <row r="25" spans="2:26" x14ac:dyDescent="0.35">
      <c r="B25">
        <f t="shared" si="0"/>
        <v>17</v>
      </c>
      <c r="C25" s="23" t="s">
        <v>872</v>
      </c>
      <c r="D25" s="7">
        <v>2022</v>
      </c>
      <c r="E25" s="7">
        <v>2022</v>
      </c>
      <c r="F25" t="s">
        <v>619</v>
      </c>
      <c r="G25" t="s">
        <v>651</v>
      </c>
      <c r="H25" s="2">
        <f>KeyChips!R20</f>
        <v>192</v>
      </c>
      <c r="I25" s="2">
        <v>6144</v>
      </c>
      <c r="J25" s="2">
        <f t="shared" si="2"/>
        <v>1179648</v>
      </c>
      <c r="K25" s="2">
        <f t="shared" si="3"/>
        <v>2374616.1038961038</v>
      </c>
      <c r="L25" s="148">
        <f t="shared" si="4"/>
        <v>98304</v>
      </c>
      <c r="M25" s="2">
        <f>I25*KeyChips!J20</f>
        <v>196608</v>
      </c>
      <c r="N25" s="148">
        <f>KeyChips!K20</f>
        <v>1200</v>
      </c>
      <c r="O25" s="214">
        <f>I25*KeyChips!N20/Z$2</f>
        <v>24.576000000000001</v>
      </c>
      <c r="P25" s="34" t="s">
        <v>45</v>
      </c>
      <c r="Q25" s="34" t="s">
        <v>45</v>
      </c>
      <c r="R25" s="148">
        <f>$I25*KeyChips!U20</f>
        <v>1689600</v>
      </c>
      <c r="S25" s="118" t="s">
        <v>45</v>
      </c>
      <c r="T25" s="212" t="s">
        <v>45</v>
      </c>
      <c r="U25" s="134">
        <f t="shared" si="6"/>
        <v>0.71152553763440862</v>
      </c>
      <c r="V25" s="2">
        <f t="shared" si="13"/>
        <v>415.4829545454545</v>
      </c>
      <c r="W25" s="178">
        <f t="shared" si="14"/>
        <v>1.1383094645080944</v>
      </c>
      <c r="X25">
        <f t="shared" si="1"/>
        <v>17</v>
      </c>
      <c r="Y25" s="24"/>
    </row>
    <row r="26" spans="2:26" x14ac:dyDescent="0.35">
      <c r="B26">
        <f t="shared" si="0"/>
        <v>18</v>
      </c>
      <c r="C26" s="23" t="s">
        <v>607</v>
      </c>
      <c r="D26" s="7">
        <v>2023</v>
      </c>
      <c r="E26" s="7">
        <v>2023</v>
      </c>
      <c r="F26" t="s">
        <v>608</v>
      </c>
      <c r="G26" t="str">
        <f>KeyChips!C12</f>
        <v>Nvidia H100 SXM</v>
      </c>
      <c r="H26" s="2">
        <f>KeyChips!R12</f>
        <v>700</v>
      </c>
      <c r="I26" s="2">
        <f>R26/KeyChips!U12</f>
        <v>6568.9742294087919</v>
      </c>
      <c r="J26" s="2">
        <f t="shared" si="2"/>
        <v>4598281.9605861539</v>
      </c>
      <c r="K26" s="2">
        <f t="shared" si="3"/>
        <v>9256281.868712388</v>
      </c>
      <c r="L26" s="148">
        <f t="shared" si="4"/>
        <v>262758.96917635167</v>
      </c>
      <c r="M26" s="2">
        <f>I26*KeyChips!J12</f>
        <v>525517.93835270335</v>
      </c>
      <c r="N26" s="148">
        <f>KeyChips!K12</f>
        <v>3350</v>
      </c>
      <c r="O26" s="214">
        <f>I26*KeyChips!N$12/Z$2</f>
        <v>216.77614957049013</v>
      </c>
      <c r="P26" s="2">
        <f>$I26*KeyChips!S$12</f>
        <v>440121.27337038907</v>
      </c>
      <c r="Q26" s="2">
        <f>$I26*KeyChips!T$12</f>
        <v>13000000</v>
      </c>
      <c r="R26" s="148">
        <v>26000000</v>
      </c>
      <c r="S26" s="118" t="s">
        <v>45</v>
      </c>
      <c r="T26" s="134">
        <f>P26/K26</f>
        <v>4.7548387096774197E-2</v>
      </c>
      <c r="U26" s="134">
        <f t="shared" si="6"/>
        <v>2.8089032258064521</v>
      </c>
      <c r="V26" s="2">
        <f t="shared" si="13"/>
        <v>27</v>
      </c>
      <c r="W26" s="178">
        <f t="shared" si="14"/>
        <v>7.3972602739726015E-2</v>
      </c>
      <c r="X26">
        <f t="shared" si="1"/>
        <v>18</v>
      </c>
      <c r="Y26" s="24"/>
    </row>
    <row r="27" spans="2:26" x14ac:dyDescent="0.35">
      <c r="B27">
        <f t="shared" si="0"/>
        <v>19</v>
      </c>
      <c r="C27" s="23" t="s">
        <v>643</v>
      </c>
      <c r="D27" s="7">
        <v>2022</v>
      </c>
      <c r="E27" s="7">
        <v>2022</v>
      </c>
      <c r="F27" t="s">
        <v>619</v>
      </c>
      <c r="G27" t="str">
        <f>KeyChips!C11</f>
        <v>Nvidia A100 used for GTP-4 training</v>
      </c>
      <c r="H27" s="2">
        <f>KeyChips!R11</f>
        <v>240</v>
      </c>
      <c r="I27" s="2">
        <v>4000</v>
      </c>
      <c r="J27" s="2">
        <f t="shared" si="2"/>
        <v>960000</v>
      </c>
      <c r="K27" s="2">
        <v>10000000</v>
      </c>
      <c r="L27" s="148">
        <f t="shared" si="4"/>
        <v>80000</v>
      </c>
      <c r="M27" s="2">
        <f>I27*KeyChips!J11</f>
        <v>160000</v>
      </c>
      <c r="N27" s="148">
        <f>KeyChips!K11</f>
        <v>1555</v>
      </c>
      <c r="O27" s="214">
        <f>I27*KeyChips!N11/Z2</f>
        <v>24</v>
      </c>
      <c r="P27" s="34">
        <f>I27*KeyChips!S11</f>
        <v>80000</v>
      </c>
      <c r="Q27" s="34">
        <f>I27*KeyChips!T11</f>
        <v>320000</v>
      </c>
      <c r="R27" s="118">
        <f>I27*KeyChips!U11</f>
        <v>1248000</v>
      </c>
      <c r="S27" s="118" t="s">
        <v>45</v>
      </c>
      <c r="T27" s="134">
        <f>P27/K27</f>
        <v>8.0000000000000002E-3</v>
      </c>
      <c r="U27" s="134">
        <f t="shared" si="6"/>
        <v>0.12479999999999999</v>
      </c>
      <c r="V27" s="2">
        <f t="shared" si="13"/>
        <v>562.5</v>
      </c>
      <c r="W27" s="178">
        <f t="shared" si="14"/>
        <v>1.5410958904109588</v>
      </c>
      <c r="X27">
        <f t="shared" si="1"/>
        <v>19</v>
      </c>
      <c r="Y27" s="24"/>
    </row>
    <row r="28" spans="2:26" x14ac:dyDescent="0.35">
      <c r="B28">
        <f t="shared" si="0"/>
        <v>20</v>
      </c>
      <c r="C28" s="23" t="s">
        <v>668</v>
      </c>
      <c r="D28" s="7">
        <v>2022</v>
      </c>
      <c r="E28" s="7">
        <v>2022</v>
      </c>
      <c r="F28" t="s">
        <v>608</v>
      </c>
      <c r="G28" t="str">
        <f>KeyChips!C12</f>
        <v>Nvidia H100 SXM</v>
      </c>
      <c r="H28" s="2">
        <f>KeyChips!R12</f>
        <v>700</v>
      </c>
      <c r="I28" s="2">
        <v>4608</v>
      </c>
      <c r="J28" s="2">
        <f t="shared" si="2"/>
        <v>3225600</v>
      </c>
      <c r="K28" s="2">
        <f>J28*T$3</f>
        <v>6493090.9090909092</v>
      </c>
      <c r="L28" s="148">
        <f t="shared" si="4"/>
        <v>184320</v>
      </c>
      <c r="M28" s="2">
        <f>I28*KeyChips!J12</f>
        <v>368640</v>
      </c>
      <c r="N28" s="148">
        <f>KeyChips!K12</f>
        <v>3350</v>
      </c>
      <c r="O28" s="214">
        <f>I28*KeyChips!N$12/Z$2</f>
        <v>152.06399999999999</v>
      </c>
      <c r="P28" s="2">
        <f>$I28*KeyChips!S$12</f>
        <v>308736</v>
      </c>
      <c r="Q28" s="2">
        <f>$I28*KeyChips!T$12</f>
        <v>9119232</v>
      </c>
      <c r="R28" s="148">
        <f>$I28*KeyChips!U$12</f>
        <v>18238464</v>
      </c>
      <c r="S28" s="118" t="s">
        <v>45</v>
      </c>
      <c r="T28" s="134">
        <f>P28/K28</f>
        <v>4.754838709677419E-2</v>
      </c>
      <c r="U28" s="134">
        <f t="shared" si="6"/>
        <v>2.8089032258064517</v>
      </c>
      <c r="V28" s="2">
        <f t="shared" si="13"/>
        <v>38.49008337544214</v>
      </c>
      <c r="W28" s="178">
        <f t="shared" si="14"/>
        <v>0.10545228322038942</v>
      </c>
      <c r="X28">
        <f t="shared" si="1"/>
        <v>20</v>
      </c>
      <c r="Y28" s="24"/>
    </row>
    <row r="29" spans="2:26" x14ac:dyDescent="0.35">
      <c r="B29">
        <f t="shared" si="0"/>
        <v>21</v>
      </c>
      <c r="C29" s="23" t="s">
        <v>245</v>
      </c>
      <c r="D29" s="7">
        <v>2021</v>
      </c>
      <c r="E29" s="7">
        <v>2022</v>
      </c>
      <c r="F29" t="s">
        <v>642</v>
      </c>
      <c r="G29" t="s">
        <v>501</v>
      </c>
      <c r="H29" s="2">
        <v>500</v>
      </c>
      <c r="I29" s="2">
        <v>37888</v>
      </c>
      <c r="J29" s="34">
        <f>I29*H29</f>
        <v>18944000</v>
      </c>
      <c r="K29" s="2">
        <v>21000000</v>
      </c>
      <c r="L29" s="148">
        <f t="shared" si="4"/>
        <v>2424832</v>
      </c>
      <c r="M29" s="2">
        <f>I29*128</f>
        <v>4849664</v>
      </c>
      <c r="N29" s="118" t="s">
        <v>45</v>
      </c>
      <c r="O29" s="214">
        <v>600</v>
      </c>
      <c r="P29" s="2">
        <v>1194000</v>
      </c>
      <c r="Q29" s="34" t="s">
        <v>45</v>
      </c>
      <c r="R29" s="118" t="s">
        <v>45</v>
      </c>
      <c r="S29" s="118" t="s">
        <v>45</v>
      </c>
      <c r="T29" s="134">
        <f>P29/K29</f>
        <v>5.6857142857142856E-2</v>
      </c>
      <c r="U29" s="212" t="s">
        <v>45</v>
      </c>
      <c r="V29" s="34" t="s">
        <v>45</v>
      </c>
      <c r="W29" s="179" t="s">
        <v>45</v>
      </c>
      <c r="X29">
        <f t="shared" si="1"/>
        <v>21</v>
      </c>
      <c r="Y29" s="24"/>
    </row>
    <row r="30" spans="2:26" x14ac:dyDescent="0.35">
      <c r="B30">
        <f t="shared" si="0"/>
        <v>22</v>
      </c>
      <c r="C30" s="23" t="s">
        <v>160</v>
      </c>
      <c r="D30" s="7">
        <v>2018</v>
      </c>
      <c r="E30" s="7">
        <v>2023</v>
      </c>
      <c r="F30" t="s">
        <v>169</v>
      </c>
      <c r="G30" t="s">
        <v>162</v>
      </c>
      <c r="H30" s="2">
        <f>KeyChips!R17</f>
        <v>600</v>
      </c>
      <c r="I30" s="2">
        <f>Q30/KeyChips!T17</f>
        <v>5221.9321148825065</v>
      </c>
      <c r="J30" s="2">
        <f t="shared" ref="J30:J34" si="15">H30*I30</f>
        <v>3133159.2689295039</v>
      </c>
      <c r="K30" s="2">
        <v>40000000</v>
      </c>
      <c r="L30" s="148">
        <f t="shared" si="4"/>
        <v>334203.65535248042</v>
      </c>
      <c r="M30" s="2">
        <f>I30*KeyChips!J17</f>
        <v>668407.31070496084</v>
      </c>
      <c r="N30" s="148">
        <f>KeyChips!K17</f>
        <v>5200</v>
      </c>
      <c r="O30" s="214">
        <v>600</v>
      </c>
      <c r="P30" s="2">
        <f>I30*KeyChips!S17</f>
        <v>250652.7415143603</v>
      </c>
      <c r="Q30" s="2">
        <v>2000000</v>
      </c>
      <c r="R30" s="118" t="s">
        <v>45</v>
      </c>
      <c r="S30" s="118" t="s">
        <v>45</v>
      </c>
      <c r="T30" s="134">
        <f>P30/K30</f>
        <v>6.2663185378590072E-3</v>
      </c>
      <c r="U30" s="134">
        <f>Q30/K30</f>
        <v>0.05</v>
      </c>
      <c r="V30" s="34" t="s">
        <v>45</v>
      </c>
      <c r="W30" s="179" t="s">
        <v>45</v>
      </c>
      <c r="X30">
        <f t="shared" si="1"/>
        <v>22</v>
      </c>
    </row>
    <row r="31" spans="2:26" x14ac:dyDescent="0.35">
      <c r="B31">
        <f t="shared" si="0"/>
        <v>23</v>
      </c>
      <c r="C31" s="23" t="s">
        <v>1119</v>
      </c>
      <c r="D31" s="7">
        <v>2021</v>
      </c>
      <c r="E31" s="7">
        <v>2023</v>
      </c>
      <c r="F31" t="s">
        <v>619</v>
      </c>
      <c r="G31" t="s">
        <v>122</v>
      </c>
      <c r="H31" s="2">
        <f>KeyChips!R29</f>
        <v>23000</v>
      </c>
      <c r="I31" s="2">
        <v>64</v>
      </c>
      <c r="J31" s="2">
        <f t="shared" si="15"/>
        <v>1472000</v>
      </c>
      <c r="K31" s="2">
        <v>1750000</v>
      </c>
      <c r="L31" s="148">
        <f t="shared" si="4"/>
        <v>41000</v>
      </c>
      <c r="M31" s="2">
        <v>82000</v>
      </c>
      <c r="N31" s="118" t="s">
        <v>45</v>
      </c>
      <c r="O31" s="214">
        <f>I31*KeyChips!N29/1000000</f>
        <v>96</v>
      </c>
      <c r="P31" s="34" t="s">
        <v>45</v>
      </c>
      <c r="Q31" s="2">
        <v>4000000</v>
      </c>
      <c r="R31" s="118" t="s">
        <v>45</v>
      </c>
      <c r="S31" s="118" t="s">
        <v>45</v>
      </c>
      <c r="T31" s="212" t="s">
        <v>45</v>
      </c>
      <c r="U31" s="134">
        <f>Q31/K31</f>
        <v>2.2857142857142856</v>
      </c>
      <c r="V31" s="34" t="s">
        <v>45</v>
      </c>
      <c r="W31" s="179" t="s">
        <v>45</v>
      </c>
      <c r="X31">
        <f t="shared" si="1"/>
        <v>23</v>
      </c>
    </row>
    <row r="32" spans="2:26" x14ac:dyDescent="0.35">
      <c r="B32">
        <f t="shared" si="0"/>
        <v>24</v>
      </c>
      <c r="C32" s="23" t="s">
        <v>1120</v>
      </c>
      <c r="D32" s="7">
        <v>2024</v>
      </c>
      <c r="E32" s="7">
        <v>2024</v>
      </c>
      <c r="F32" t="s">
        <v>619</v>
      </c>
      <c r="G32" t="s">
        <v>734</v>
      </c>
      <c r="H32" s="2">
        <f>KeyChips!R30</f>
        <v>23000</v>
      </c>
      <c r="I32" s="2">
        <v>64</v>
      </c>
      <c r="J32" s="2">
        <f t="shared" si="15"/>
        <v>1472000</v>
      </c>
      <c r="K32" s="2">
        <v>2500000</v>
      </c>
      <c r="L32" s="148">
        <f t="shared" si="4"/>
        <v>600000</v>
      </c>
      <c r="M32" s="2">
        <v>1200000</v>
      </c>
      <c r="N32" s="118" t="s">
        <v>45</v>
      </c>
      <c r="O32" s="214">
        <f>O31</f>
        <v>96</v>
      </c>
      <c r="P32" s="34" t="s">
        <v>45</v>
      </c>
      <c r="Q32" s="2">
        <f>I32*KeyChips!T30</f>
        <v>8000000</v>
      </c>
      <c r="R32" s="118" t="s">
        <v>45</v>
      </c>
      <c r="S32" s="118" t="s">
        <v>45</v>
      </c>
      <c r="T32" s="212" t="s">
        <v>45</v>
      </c>
      <c r="U32" s="134">
        <f>Q32/K32</f>
        <v>3.2</v>
      </c>
      <c r="V32" s="34" t="s">
        <v>45</v>
      </c>
      <c r="W32" s="179" t="s">
        <v>45</v>
      </c>
      <c r="X32">
        <f t="shared" si="1"/>
        <v>24</v>
      </c>
    </row>
    <row r="33" spans="2:26" x14ac:dyDescent="0.35">
      <c r="B33">
        <f t="shared" si="0"/>
        <v>25</v>
      </c>
      <c r="C33" s="23" t="s">
        <v>740</v>
      </c>
      <c r="D33" s="7">
        <v>2024</v>
      </c>
      <c r="E33" s="7" t="s">
        <v>1121</v>
      </c>
      <c r="F33" t="s">
        <v>619</v>
      </c>
      <c r="G33" t="s">
        <v>734</v>
      </c>
      <c r="H33" s="2">
        <f>KeyChips!R30</f>
        <v>23000</v>
      </c>
      <c r="I33" s="2">
        <f>Q33/KeyChips!T30</f>
        <v>2048</v>
      </c>
      <c r="J33" s="2">
        <f t="shared" si="15"/>
        <v>47104000</v>
      </c>
      <c r="K33" s="2">
        <f>K32*(I33/I32)</f>
        <v>80000000</v>
      </c>
      <c r="L33" s="118" t="s">
        <v>45</v>
      </c>
      <c r="M33" s="34">
        <f>M32*(I33/I32)</f>
        <v>38400000</v>
      </c>
      <c r="N33" s="118" t="s">
        <v>45</v>
      </c>
      <c r="O33" s="214">
        <f>O32*(I33/I32)</f>
        <v>3072</v>
      </c>
      <c r="P33" s="34" t="s">
        <v>45</v>
      </c>
      <c r="Q33" s="2">
        <v>256000000</v>
      </c>
      <c r="R33" s="118" t="s">
        <v>45</v>
      </c>
      <c r="S33" s="118" t="s">
        <v>45</v>
      </c>
      <c r="T33" s="212" t="s">
        <v>45</v>
      </c>
      <c r="U33" s="134">
        <f>Q33/K33</f>
        <v>3.2</v>
      </c>
      <c r="V33" s="34" t="s">
        <v>45</v>
      </c>
      <c r="W33" s="179" t="s">
        <v>45</v>
      </c>
      <c r="X33">
        <f t="shared" si="1"/>
        <v>25</v>
      </c>
    </row>
    <row r="34" spans="2:26" x14ac:dyDescent="0.35">
      <c r="B34">
        <f t="shared" si="0"/>
        <v>26</v>
      </c>
      <c r="C34" s="23" t="s">
        <v>518</v>
      </c>
      <c r="D34" s="279" t="s">
        <v>704</v>
      </c>
      <c r="E34" s="279" t="s">
        <v>498</v>
      </c>
      <c r="F34" t="s">
        <v>608</v>
      </c>
      <c r="G34" s="231" t="s">
        <v>389</v>
      </c>
      <c r="H34" s="280">
        <f>KeyChips!R12</f>
        <v>700</v>
      </c>
      <c r="I34" s="280">
        <v>22000</v>
      </c>
      <c r="J34" s="280">
        <f t="shared" si="15"/>
        <v>15400000</v>
      </c>
      <c r="K34" s="280">
        <v>31000000</v>
      </c>
      <c r="L34" s="148">
        <f t="shared" ref="L34" si="16">M34*(1/M$3)</f>
        <v>880000</v>
      </c>
      <c r="M34" s="281">
        <f>I34*KeyChips!J12</f>
        <v>1760000</v>
      </c>
      <c r="N34" s="148">
        <f>KeyChips!K12</f>
        <v>3350</v>
      </c>
      <c r="O34" s="584">
        <f>I34*KeyChips!N12/1000000</f>
        <v>726</v>
      </c>
      <c r="P34" s="280">
        <f>I34*KeyChips!S12</f>
        <v>1474000</v>
      </c>
      <c r="Q34" s="280">
        <f>I34*KeyChips!T12</f>
        <v>43538000</v>
      </c>
      <c r="R34" s="160">
        <f>I34*KeyChips!U12</f>
        <v>87076000</v>
      </c>
      <c r="S34" s="118" t="s">
        <v>45</v>
      </c>
      <c r="T34" s="282">
        <f t="shared" ref="T34" si="17">P34/K34</f>
        <v>4.754838709677419E-2</v>
      </c>
      <c r="U34" s="282">
        <f>R34/K34</f>
        <v>2.8089032258064517</v>
      </c>
      <c r="V34" s="2">
        <f>V$15*(R$15/R34)</f>
        <v>8.0619229179107901</v>
      </c>
      <c r="W34" s="178">
        <f>W$15*(R$15/R34)</f>
        <v>2.2087460049070657E-2</v>
      </c>
      <c r="X34">
        <f t="shared" si="1"/>
        <v>26</v>
      </c>
    </row>
    <row r="35" spans="2:26" x14ac:dyDescent="0.35">
      <c r="B35">
        <f t="shared" si="0"/>
        <v>27</v>
      </c>
      <c r="C35" s="236" t="s">
        <v>1083</v>
      </c>
      <c r="D35" s="199"/>
      <c r="E35" s="199"/>
      <c r="F35" s="237"/>
      <c r="G35" s="237"/>
      <c r="H35" s="239"/>
      <c r="I35" s="239"/>
      <c r="J35" s="239"/>
      <c r="K35" s="239"/>
      <c r="L35" s="239"/>
      <c r="M35" s="239"/>
      <c r="N35" s="239"/>
      <c r="O35" s="585"/>
      <c r="P35" s="239"/>
      <c r="Q35" s="201"/>
      <c r="R35" s="239"/>
      <c r="S35" s="201"/>
      <c r="T35" s="266"/>
      <c r="U35" s="266"/>
      <c r="V35" s="239"/>
      <c r="W35" s="267"/>
      <c r="X35">
        <f t="shared" si="1"/>
        <v>27</v>
      </c>
      <c r="Y35" s="24"/>
      <c r="Z35" s="2"/>
    </row>
    <row r="36" spans="2:26" x14ac:dyDescent="0.35">
      <c r="B36">
        <f t="shared" si="0"/>
        <v>28</v>
      </c>
      <c r="C36" s="23" t="s">
        <v>1138</v>
      </c>
      <c r="D36" s="7">
        <v>2021</v>
      </c>
      <c r="E36" s="7">
        <f>D36</f>
        <v>2021</v>
      </c>
      <c r="F36" t="s">
        <v>915</v>
      </c>
      <c r="G36" t="str">
        <f>KeyChips!C11</f>
        <v>Nvidia A100 used for GTP-4 training</v>
      </c>
      <c r="H36" s="34">
        <f>KeyChips!R11</f>
        <v>240</v>
      </c>
      <c r="I36" s="34">
        <v>128</v>
      </c>
      <c r="J36" s="34">
        <f>H36*I36</f>
        <v>30720</v>
      </c>
      <c r="K36" s="2">
        <f>J36*T$3</f>
        <v>61838.961038961046</v>
      </c>
      <c r="L36" s="148">
        <f>AI_Models!H15</f>
        <v>1800</v>
      </c>
      <c r="M36" s="2">
        <f>I36*KeyChips!J11</f>
        <v>5120</v>
      </c>
      <c r="N36" s="148">
        <f>KeyChips!K11</f>
        <v>1555</v>
      </c>
      <c r="O36" s="218">
        <f>I36*KeyChips!N11/Z2</f>
        <v>0.76800000000000002</v>
      </c>
      <c r="P36" s="34">
        <f>I36*KeyChips!S11</f>
        <v>2560</v>
      </c>
      <c r="Q36" s="34">
        <f>I36*KeyChips!T11</f>
        <v>10240</v>
      </c>
      <c r="R36" s="118">
        <f>I36*KeyChips!U11</f>
        <v>39936</v>
      </c>
      <c r="S36" s="118" t="s">
        <v>45</v>
      </c>
      <c r="T36" s="134">
        <f>P36/K36</f>
        <v>4.1397849462365584E-2</v>
      </c>
      <c r="U36" s="134">
        <f>R36/K36</f>
        <v>0.64580645161290318</v>
      </c>
      <c r="V36" s="2">
        <f>V$15*(R$15/R36)</f>
        <v>17578.125</v>
      </c>
      <c r="W36" s="178">
        <f>W$15*(R$15/R36)</f>
        <v>48.159246575342465</v>
      </c>
      <c r="X36">
        <f t="shared" si="1"/>
        <v>28</v>
      </c>
      <c r="Y36" s="24">
        <f>R17/P17</f>
        <v>16.017699115044248</v>
      </c>
    </row>
    <row r="37" spans="2:26" x14ac:dyDescent="0.35">
      <c r="B37">
        <f t="shared" si="0"/>
        <v>29</v>
      </c>
      <c r="C37" s="23" t="str">
        <f>KeyChips!C33</f>
        <v xml:space="preserve">Tesla HW4 or AI4 </v>
      </c>
      <c r="D37" s="7">
        <f>KeyChips!D33</f>
        <v>2023</v>
      </c>
      <c r="E37" s="7">
        <f>D37</f>
        <v>2023</v>
      </c>
      <c r="F37" t="s">
        <v>1084</v>
      </c>
      <c r="G37" t="s">
        <v>929</v>
      </c>
      <c r="H37" s="2">
        <f>KeyChips!R33</f>
        <v>100</v>
      </c>
      <c r="I37" s="2">
        <v>1</v>
      </c>
      <c r="J37" s="2">
        <f>H37*I37</f>
        <v>100</v>
      </c>
      <c r="K37" s="2">
        <f>J37*T$3</f>
        <v>201.2987012987013</v>
      </c>
      <c r="L37" s="184">
        <f>M37/KeyChips!Q88</f>
        <v>5.2426666666666666</v>
      </c>
      <c r="M37" s="2">
        <f>KeyChips!J33</f>
        <v>128</v>
      </c>
      <c r="N37" s="148">
        <f>KeyChips!K33</f>
        <v>204.8</v>
      </c>
      <c r="O37" s="588">
        <f>KeyChips!N33/Z2</f>
        <v>1.8E-3</v>
      </c>
      <c r="P37" s="151" t="s">
        <v>45</v>
      </c>
      <c r="Q37" s="89" t="s">
        <v>45</v>
      </c>
      <c r="R37" s="148">
        <f>KeyChips!U33</f>
        <v>185</v>
      </c>
      <c r="S37" s="118" t="s">
        <v>45</v>
      </c>
      <c r="T37" s="212" t="s">
        <v>45</v>
      </c>
      <c r="U37" s="134">
        <f>R37/K37</f>
        <v>0.91903225806451616</v>
      </c>
      <c r="V37" s="2">
        <f>V$15*(R$15/R37)</f>
        <v>3794594.5945945946</v>
      </c>
      <c r="W37" s="178">
        <f>W$15*(R$15/R37)</f>
        <v>10396.149574231766</v>
      </c>
      <c r="X37">
        <f t="shared" si="1"/>
        <v>29</v>
      </c>
      <c r="Y37" s="24">
        <f>Q30/P30</f>
        <v>7.979166666666667</v>
      </c>
    </row>
    <row r="38" spans="2:26" x14ac:dyDescent="0.35">
      <c r="B38">
        <f t="shared" si="0"/>
        <v>30</v>
      </c>
      <c r="C38" s="23" t="str">
        <f>KeyChips!C39</f>
        <v>Nvidia drive Jetson Orin AGX 64GB</v>
      </c>
      <c r="D38" s="7" t="s">
        <v>926</v>
      </c>
      <c r="E38" s="7">
        <f>KeyChips!D39</f>
        <v>2022</v>
      </c>
      <c r="F38" t="str">
        <f>F37</f>
        <v>Vision input to driver control</v>
      </c>
      <c r="G38" t="s">
        <v>927</v>
      </c>
      <c r="H38" s="2">
        <f>KeyChips!R39</f>
        <v>60</v>
      </c>
      <c r="I38" s="2">
        <v>1</v>
      </c>
      <c r="J38" s="2">
        <f t="shared" ref="J38" si="18">H38*I38</f>
        <v>60</v>
      </c>
      <c r="K38" s="2">
        <f>J38*T$3</f>
        <v>120.77922077922079</v>
      </c>
      <c r="L38" s="184">
        <f>M38/KeyChips!Q88</f>
        <v>2.6213333333333333</v>
      </c>
      <c r="M38" s="2">
        <f>KeyChips!J39</f>
        <v>64</v>
      </c>
      <c r="N38" s="148">
        <f>KeyChips!K39</f>
        <v>204.8</v>
      </c>
      <c r="O38" s="588">
        <f>KeyChips!N39/Z2</f>
        <v>1.5989999999999999E-3</v>
      </c>
      <c r="P38" s="151" t="str">
        <f>KeyChips!S39</f>
        <v>-</v>
      </c>
      <c r="Q38" s="349" t="str">
        <f>KeyChips!T39</f>
        <v>-</v>
      </c>
      <c r="R38" s="148">
        <f>KeyChips!U39</f>
        <v>275</v>
      </c>
      <c r="S38" s="118" t="str">
        <f>KeyChips!V33</f>
        <v>-</v>
      </c>
      <c r="T38" s="212" t="s">
        <v>45</v>
      </c>
      <c r="U38" s="134">
        <f>R38/K38</f>
        <v>2.2768817204301071</v>
      </c>
      <c r="V38" s="2">
        <f>V$15*(R$15/R38)</f>
        <v>2552727.2727272729</v>
      </c>
      <c r="W38" s="178">
        <f t="shared" ref="W38" si="19">W$15*(R$15/R38)</f>
        <v>6993.7733499377327</v>
      </c>
      <c r="X38">
        <f t="shared" si="1"/>
        <v>30</v>
      </c>
      <c r="Y38" s="24"/>
    </row>
    <row r="39" spans="2:26" x14ac:dyDescent="0.35">
      <c r="B39">
        <f t="shared" si="0"/>
        <v>31</v>
      </c>
      <c r="C39" s="236" t="str">
        <f>KeyChips!C53</f>
        <v>Comparing biological brains with existing supercomputers and likely forthcoming supercomputers</v>
      </c>
      <c r="D39" s="199"/>
      <c r="E39" s="199"/>
      <c r="F39" s="237"/>
      <c r="G39" s="237"/>
      <c r="H39" s="239"/>
      <c r="I39" s="239"/>
      <c r="J39" s="239"/>
      <c r="K39" s="239"/>
      <c r="L39" s="239"/>
      <c r="M39" s="239"/>
      <c r="N39" s="201"/>
      <c r="O39" s="589"/>
      <c r="P39" s="239"/>
      <c r="Q39" s="239"/>
      <c r="R39" s="239"/>
      <c r="S39" s="239"/>
      <c r="T39" s="266"/>
      <c r="U39" s="266"/>
      <c r="V39" s="266"/>
      <c r="W39" s="267"/>
      <c r="X39">
        <f t="shared" si="1"/>
        <v>31</v>
      </c>
    </row>
    <row r="40" spans="2:26" x14ac:dyDescent="0.35">
      <c r="B40">
        <f t="shared" si="0"/>
        <v>32</v>
      </c>
      <c r="C40" s="636" t="str">
        <f>AI_Models!C58</f>
        <v>Human brain 100% functional simulation</v>
      </c>
      <c r="D40" s="313" t="str">
        <f>AI_Models!D58</f>
        <v xml:space="preserve"> -300,000BC</v>
      </c>
      <c r="E40" s="313" t="str">
        <f>D40</f>
        <v xml:space="preserve"> -300,000BC</v>
      </c>
      <c r="F40" s="124" t="str">
        <f>AI_Models!E58</f>
        <v>Motion, sensing, thought, etc.</v>
      </c>
      <c r="G40" s="124" t="s">
        <v>921</v>
      </c>
      <c r="H40" s="571">
        <f>AI_Models!M58</f>
        <v>20</v>
      </c>
      <c r="I40" s="315">
        <v>1</v>
      </c>
      <c r="J40" s="571">
        <f>H40*I40</f>
        <v>20</v>
      </c>
      <c r="K40" s="572">
        <f>J40</f>
        <v>20</v>
      </c>
      <c r="L40" s="148">
        <f>AI_Models!H58</f>
        <v>258000</v>
      </c>
      <c r="M40" s="315">
        <f>AI_Models!I58</f>
        <v>151575</v>
      </c>
      <c r="N40" s="233">
        <f>AI_Models!J58</f>
        <v>0.04</v>
      </c>
      <c r="O40" s="590">
        <f>AI_Models!Y58</f>
        <v>0.2</v>
      </c>
      <c r="P40" s="313" t="s">
        <v>45</v>
      </c>
      <c r="Q40" s="313" t="s">
        <v>45</v>
      </c>
      <c r="R40" s="118" t="s">
        <v>45</v>
      </c>
      <c r="S40" s="118">
        <f>AI_Models!L58</f>
        <v>12900</v>
      </c>
      <c r="T40" s="336" t="s">
        <v>45</v>
      </c>
      <c r="U40" s="336">
        <f>S40/(K40)</f>
        <v>645</v>
      </c>
      <c r="V40" s="315">
        <f>V$15*(R$15/S40)</f>
        <v>54418.604651162786</v>
      </c>
      <c r="W40" s="337">
        <f>W$15*(R$15/S40)</f>
        <v>149.09206753743229</v>
      </c>
      <c r="X40">
        <f t="shared" si="1"/>
        <v>32</v>
      </c>
    </row>
    <row r="41" spans="2:26" x14ac:dyDescent="0.35">
      <c r="B41">
        <f t="shared" si="0"/>
        <v>33</v>
      </c>
      <c r="C41" s="636" t="str">
        <f>AI_Models!C61</f>
        <v>Dog/wolf brain 4.1% of human brain</v>
      </c>
      <c r="D41" s="313" t="str">
        <f>AI_Models!D61</f>
        <v xml:space="preserve"> -2,500,000BC</v>
      </c>
      <c r="E41" s="313" t="str">
        <f>AI_Models!D61</f>
        <v xml:space="preserve"> -2,500,000BC</v>
      </c>
      <c r="F41" s="124" t="str">
        <f>AI_Models!E61</f>
        <v>Motion, sensing, thought, etc.</v>
      </c>
      <c r="G41" s="124" t="s">
        <v>1081</v>
      </c>
      <c r="H41" s="571">
        <f>AI_Models!M61</f>
        <v>0.82093023255813957</v>
      </c>
      <c r="I41" s="315">
        <v>1</v>
      </c>
      <c r="J41" s="571">
        <f>H41*I41</f>
        <v>0.82093023255813957</v>
      </c>
      <c r="K41" s="572">
        <f>J41</f>
        <v>0.82093023255813957</v>
      </c>
      <c r="L41" s="148">
        <f>AI_Models!H61</f>
        <v>10590</v>
      </c>
      <c r="M41" s="315">
        <f>AI_Models!I61</f>
        <v>6221.625</v>
      </c>
      <c r="N41" s="233">
        <f>AI_Models!J61</f>
        <v>0.04</v>
      </c>
      <c r="O41" s="591" t="s">
        <v>18</v>
      </c>
      <c r="P41" s="313" t="s">
        <v>45</v>
      </c>
      <c r="Q41" s="313" t="s">
        <v>45</v>
      </c>
      <c r="R41" s="118" t="s">
        <v>45</v>
      </c>
      <c r="S41" s="118">
        <f>AI_Models!L61</f>
        <v>529.5</v>
      </c>
      <c r="T41" s="336" t="s">
        <v>45</v>
      </c>
      <c r="U41" s="336">
        <f>S41/(K41)</f>
        <v>645</v>
      </c>
      <c r="V41" s="315">
        <f>V$15*(R$15/S41)</f>
        <v>1325779.0368271954</v>
      </c>
      <c r="W41" s="337">
        <f>W$15*(R$15/S41)</f>
        <v>3632.2713337731384</v>
      </c>
      <c r="X41">
        <f t="shared" si="1"/>
        <v>33</v>
      </c>
    </row>
    <row r="42" spans="2:26" x14ac:dyDescent="0.35">
      <c r="B42">
        <f t="shared" si="0"/>
        <v>34</v>
      </c>
      <c r="C42" s="23" t="str">
        <f t="shared" ref="C42:I42" si="20">C11</f>
        <v>Nvidia GB200 NVL72 training cluster</v>
      </c>
      <c r="D42" s="295" t="str">
        <f t="shared" si="20"/>
        <v>Mar., 2024</v>
      </c>
      <c r="E42" s="295" t="str">
        <f t="shared" si="20"/>
        <v>Volume 2025</v>
      </c>
      <c r="F42" s="308" t="str">
        <f t="shared" si="20"/>
        <v>AI training and inference</v>
      </c>
      <c r="G42" s="308" t="str">
        <f t="shared" si="20"/>
        <v>Nvidia GB200</v>
      </c>
      <c r="H42" s="294">
        <f t="shared" si="20"/>
        <v>2700</v>
      </c>
      <c r="I42" s="294">
        <f t="shared" si="20"/>
        <v>36</v>
      </c>
      <c r="J42" s="294">
        <f>H42*I42</f>
        <v>97200</v>
      </c>
      <c r="K42" s="99">
        <f>J42*T$3</f>
        <v>195662.33766233767</v>
      </c>
      <c r="L42" s="148">
        <f>M42*(1/M$3)</f>
        <v>15552</v>
      </c>
      <c r="M42" s="294">
        <f t="shared" ref="M42:S42" si="21">M11</f>
        <v>31104</v>
      </c>
      <c r="N42" s="148">
        <f t="shared" si="21"/>
        <v>16000</v>
      </c>
      <c r="O42" s="592">
        <f t="shared" si="21"/>
        <v>2.34</v>
      </c>
      <c r="P42" s="99">
        <f t="shared" si="21"/>
        <v>6480</v>
      </c>
      <c r="Q42" s="99">
        <f t="shared" si="21"/>
        <v>360000</v>
      </c>
      <c r="R42" s="148">
        <f t="shared" si="21"/>
        <v>720000</v>
      </c>
      <c r="S42" s="148">
        <f t="shared" si="21"/>
        <v>1440000</v>
      </c>
      <c r="T42" s="309">
        <f>P42/K42</f>
        <v>3.3118279569892474E-2</v>
      </c>
      <c r="U42" s="309">
        <f>S42/K42</f>
        <v>7.3596176821983272</v>
      </c>
      <c r="V42" s="99">
        <f>V$15*(R$15/S42)</f>
        <v>487.5</v>
      </c>
      <c r="W42" s="310">
        <f>W$15*(R$15/S42)</f>
        <v>1.3356164383561644</v>
      </c>
      <c r="X42">
        <f t="shared" si="1"/>
        <v>34</v>
      </c>
      <c r="Z42" s="2"/>
    </row>
    <row r="43" spans="2:26" x14ac:dyDescent="0.35">
      <c r="B43">
        <f t="shared" si="0"/>
        <v>35</v>
      </c>
      <c r="C43" s="23" t="str">
        <f>KeyChips!C57</f>
        <v>Min. AGI computer GB200 +40TB HBM</v>
      </c>
      <c r="D43" s="295" t="s">
        <v>18</v>
      </c>
      <c r="E43" s="295" t="str">
        <f>KeyChips!D57</f>
        <v>Doable 2025</v>
      </c>
      <c r="F43" s="308" t="str">
        <f>KeyChips!E57</f>
        <v>Minimum computer to run AGI</v>
      </c>
      <c r="G43" s="308" t="str">
        <f>KeyChips!F57</f>
        <v>1GB200+40TB HBM</v>
      </c>
      <c r="H43" s="294">
        <f>KeyChips!R57</f>
        <v>22700</v>
      </c>
      <c r="I43" s="294">
        <v>1</v>
      </c>
      <c r="J43" s="294">
        <f>H43*I43</f>
        <v>22700</v>
      </c>
      <c r="K43" s="99">
        <f>J43</f>
        <v>22700</v>
      </c>
      <c r="L43" s="148">
        <f>M43*(1/M$3)</f>
        <v>20432</v>
      </c>
      <c r="M43" s="294">
        <f>KeyChips!J57</f>
        <v>40864</v>
      </c>
      <c r="N43" s="148">
        <f>KeyChips!K57</f>
        <v>16000</v>
      </c>
      <c r="O43" s="592">
        <f>KeyChips!N57/Z2</f>
        <v>0.46500000000000002</v>
      </c>
      <c r="P43" s="99">
        <f>KeyChips!S57</f>
        <v>180</v>
      </c>
      <c r="Q43" s="99">
        <f>KeyChips!T57</f>
        <v>10000</v>
      </c>
      <c r="R43" s="148">
        <f>KeyChips!U57</f>
        <v>20000</v>
      </c>
      <c r="S43" s="148">
        <f>KeyChips!V57</f>
        <v>40000</v>
      </c>
      <c r="T43" s="309">
        <f>P43/K43</f>
        <v>7.9295154185022032E-3</v>
      </c>
      <c r="U43" s="309">
        <f>S43/K43</f>
        <v>1.7621145374449338</v>
      </c>
      <c r="V43" s="99">
        <f>V$15*(R$15/S43)</f>
        <v>17550</v>
      </c>
      <c r="W43" s="310">
        <f>W$15*(R$15/S43)</f>
        <v>48.082191780821915</v>
      </c>
      <c r="X43">
        <f t="shared" si="1"/>
        <v>35</v>
      </c>
      <c r="Z43" s="2"/>
    </row>
    <row r="44" spans="2:26" x14ac:dyDescent="0.35">
      <c r="B44">
        <f t="shared" si="0"/>
        <v>36</v>
      </c>
      <c r="C44" s="23" t="str">
        <f>KeyChips!C58</f>
        <v>15, 4 TB SSD disks doing 7.4GB/s each</v>
      </c>
      <c r="D44" s="295">
        <v>2024</v>
      </c>
      <c r="E44" s="295" t="str">
        <f>KeyChips!D58</f>
        <v>Reality 2024</v>
      </c>
      <c r="F44" s="308" t="str">
        <f>KeyChips!E58</f>
        <v>SSD for minimum AGI, 6.1 min. boot time</v>
      </c>
      <c r="G44" s="308"/>
      <c r="H44" s="294">
        <v>10</v>
      </c>
      <c r="I44" s="294">
        <v>15</v>
      </c>
      <c r="J44" s="294">
        <f>H44*I44</f>
        <v>150</v>
      </c>
      <c r="K44" s="99">
        <f>J44</f>
        <v>150</v>
      </c>
      <c r="L44" s="118" t="s">
        <v>45</v>
      </c>
      <c r="M44" s="294">
        <f>KeyChips!J58</f>
        <v>60000</v>
      </c>
      <c r="N44" s="148">
        <f>KeyChips!K58</f>
        <v>111</v>
      </c>
      <c r="O44" s="592">
        <f>KeyChips!N58/Z2</f>
        <v>4.0350000000000004E-3</v>
      </c>
      <c r="P44" s="294" t="s">
        <v>45</v>
      </c>
      <c r="Q44" s="294" t="s">
        <v>45</v>
      </c>
      <c r="R44" s="118" t="s">
        <v>45</v>
      </c>
      <c r="S44" s="118" t="s">
        <v>45</v>
      </c>
      <c r="T44" s="611" t="s">
        <v>45</v>
      </c>
      <c r="U44" s="611" t="s">
        <v>45</v>
      </c>
      <c r="V44" s="294" t="s">
        <v>45</v>
      </c>
      <c r="W44" s="610" t="s">
        <v>45</v>
      </c>
      <c r="X44">
        <f t="shared" si="1"/>
        <v>36</v>
      </c>
      <c r="Z44" s="2"/>
    </row>
    <row r="45" spans="2:26" ht="15" thickBot="1" x14ac:dyDescent="0.4">
      <c r="B45">
        <f t="shared" si="0"/>
        <v>37</v>
      </c>
      <c r="C45" s="27" t="str">
        <f>AI_Models!C69</f>
        <v>Artificial human beings - An artificial species capable of building their own technological civilization without any further help from biological humans</v>
      </c>
      <c r="D45" s="196" t="str">
        <f>KeyChips!D59</f>
        <v>2045 singularity year as predicted by Raymond Kurzweil and arrival of artificial super intelligence in supercomputers that far exceeds the combined intelligence of mankind. The term singularity is taken from physics and is meant to say that technological development at that point becomes extremely rapid, unreversible and also unpredictable like passing the event horison in a black hole singularity in physics</v>
      </c>
      <c r="E45" s="204">
        <v>2045</v>
      </c>
      <c r="F45" s="204" t="str">
        <f>AI_Models!E69</f>
        <v>First non-biological humanoid species</v>
      </c>
      <c r="G45" s="204" t="s">
        <v>329</v>
      </c>
      <c r="H45" s="155">
        <v>100</v>
      </c>
      <c r="I45" s="155" t="s">
        <v>75</v>
      </c>
      <c r="J45" s="155">
        <v>100</v>
      </c>
      <c r="K45" s="155">
        <f>J45+50</f>
        <v>150</v>
      </c>
      <c r="L45" s="150">
        <f>L43</f>
        <v>20432</v>
      </c>
      <c r="M45" s="155">
        <f>M43</f>
        <v>40864</v>
      </c>
      <c r="N45" s="161" t="str">
        <f>KeyChips!K59</f>
        <v>&gt;16,000</v>
      </c>
      <c r="O45" s="593">
        <f>KeyChips!N59/Z2</f>
        <v>0.02</v>
      </c>
      <c r="P45" s="157" t="s">
        <v>45</v>
      </c>
      <c r="Q45" s="157" t="s">
        <v>45</v>
      </c>
      <c r="R45" s="161" t="str">
        <f>R40</f>
        <v>-</v>
      </c>
      <c r="S45" s="161">
        <f>AI_Models!L69</f>
        <v>12900</v>
      </c>
      <c r="T45" s="570" t="s">
        <v>45</v>
      </c>
      <c r="U45" s="156">
        <f>S45/(J45)</f>
        <v>129</v>
      </c>
      <c r="V45" s="155">
        <f>V$15*(R$15/S45)</f>
        <v>54418.604651162786</v>
      </c>
      <c r="W45" s="274">
        <f>W$15*(R$15/S45)</f>
        <v>149.09206753743229</v>
      </c>
      <c r="X45">
        <f t="shared" si="1"/>
        <v>37</v>
      </c>
    </row>
    <row r="46" spans="2:26" ht="15.5" thickTop="1" thickBot="1" x14ac:dyDescent="0.4">
      <c r="B46">
        <f t="shared" si="0"/>
        <v>38</v>
      </c>
      <c r="C46" s="552" t="str">
        <f>AI_Models!C72</f>
        <v>Video file size for FHD1080p, 0.1fps for 16 years non-stop, H264 or 50 million FHD images &gt;Max size human memory?&lt;</v>
      </c>
      <c r="D46" s="560"/>
      <c r="E46" s="553"/>
      <c r="F46" s="553"/>
      <c r="G46" s="553"/>
      <c r="H46" s="554"/>
      <c r="I46" s="554"/>
      <c r="J46" s="554"/>
      <c r="K46" s="554"/>
      <c r="L46" s="554"/>
      <c r="M46" s="554">
        <f>AI_Models!I72</f>
        <v>13175.04</v>
      </c>
      <c r="N46" s="579">
        <f>AI_Models!J72</f>
        <v>2.611111111111111E-5</v>
      </c>
      <c r="O46" s="556"/>
      <c r="P46" s="555"/>
      <c r="Q46" s="555"/>
      <c r="R46" s="554"/>
      <c r="S46" s="555"/>
      <c r="T46" s="567"/>
      <c r="U46" s="567"/>
      <c r="V46" s="554"/>
      <c r="W46" s="568"/>
      <c r="X46">
        <f t="shared" si="1"/>
        <v>38</v>
      </c>
    </row>
    <row r="47" spans="2:26" ht="15" thickTop="1" x14ac:dyDescent="0.35">
      <c r="B47">
        <f t="shared" si="0"/>
        <v>39</v>
      </c>
      <c r="C47" s="44" t="s">
        <v>198</v>
      </c>
      <c r="D47" s="31"/>
      <c r="E47" s="31"/>
      <c r="F47" s="31"/>
      <c r="G47" s="31"/>
      <c r="H47" s="31"/>
      <c r="I47" s="31"/>
      <c r="J47" s="31"/>
      <c r="K47" s="31"/>
      <c r="L47" s="31"/>
      <c r="M47" s="31"/>
      <c r="N47" s="31"/>
      <c r="O47" s="31"/>
      <c r="P47" s="31"/>
      <c r="Q47" s="31"/>
      <c r="R47" s="31"/>
      <c r="S47" s="31"/>
      <c r="T47" s="31"/>
      <c r="U47" s="31"/>
      <c r="V47" s="31"/>
      <c r="W47" s="31"/>
      <c r="X47">
        <f t="shared" si="1"/>
        <v>39</v>
      </c>
    </row>
    <row r="48" spans="2:26" x14ac:dyDescent="0.35">
      <c r="K48" s="6"/>
      <c r="P48" s="6"/>
      <c r="Q48" s="6"/>
      <c r="R48" s="6"/>
      <c r="S48" s="6"/>
      <c r="T48" s="12"/>
      <c r="U48" s="12"/>
      <c r="V48" s="12"/>
      <c r="W48" s="12"/>
      <c r="X48" s="8"/>
    </row>
    <row r="49" spans="2:27" x14ac:dyDescent="0.35">
      <c r="F49">
        <v>1</v>
      </c>
      <c r="G49" s="169" t="s">
        <v>588</v>
      </c>
      <c r="K49" s="6"/>
      <c r="P49" s="6"/>
      <c r="Q49" s="6"/>
      <c r="R49" s="6"/>
      <c r="S49" s="6"/>
      <c r="T49" s="12"/>
      <c r="U49" s="12"/>
      <c r="V49" s="12"/>
      <c r="W49" s="12"/>
      <c r="X49" s="8"/>
    </row>
    <row r="50" spans="2:27" x14ac:dyDescent="0.35">
      <c r="F50">
        <v>31</v>
      </c>
      <c r="G50" s="169" t="s">
        <v>589</v>
      </c>
      <c r="K50" s="6"/>
      <c r="P50" s="6"/>
      <c r="Q50" s="6"/>
      <c r="R50" s="6"/>
      <c r="S50" s="6"/>
      <c r="T50" s="12"/>
      <c r="U50" s="12"/>
      <c r="V50" s="12"/>
      <c r="W50" s="12"/>
      <c r="X50" s="8"/>
    </row>
    <row r="51" spans="2:27" x14ac:dyDescent="0.35">
      <c r="F51">
        <f>F50*24</f>
        <v>744</v>
      </c>
      <c r="G51" s="169" t="s">
        <v>590</v>
      </c>
      <c r="K51" s="6"/>
      <c r="P51" s="6"/>
      <c r="Q51" s="6"/>
      <c r="R51" s="6"/>
      <c r="S51" s="6"/>
      <c r="U51" s="12"/>
      <c r="V51" s="12"/>
      <c r="W51" s="12"/>
      <c r="X51" s="8"/>
    </row>
    <row r="52" spans="2:27" ht="24" thickBot="1" x14ac:dyDescent="0.6">
      <c r="C52" s="11" t="s">
        <v>38</v>
      </c>
      <c r="U52" s="12"/>
      <c r="V52" s="12"/>
      <c r="W52" s="12"/>
      <c r="X52" s="8"/>
    </row>
    <row r="53" spans="2:27" ht="15" thickTop="1" x14ac:dyDescent="0.35">
      <c r="C53" s="18" t="str">
        <f t="shared" ref="C53:W53" si="22">C6</f>
        <v>AI supercomputer</v>
      </c>
      <c r="D53" s="19" t="str">
        <f t="shared" si="22"/>
        <v xml:space="preserve">Year </v>
      </c>
      <c r="E53" s="19" t="str">
        <f t="shared" si="22"/>
        <v>Year</v>
      </c>
      <c r="F53" s="19" t="str">
        <f t="shared" si="22"/>
        <v>Main use</v>
      </c>
      <c r="G53" s="19" t="str">
        <f t="shared" si="22"/>
        <v xml:space="preserve">Name of </v>
      </c>
      <c r="H53" s="19" t="str">
        <f t="shared" si="22"/>
        <v>Watt</v>
      </c>
      <c r="I53" s="19" t="str">
        <f t="shared" si="22"/>
        <v xml:space="preserve"># of </v>
      </c>
      <c r="J53" s="19" t="str">
        <f t="shared" si="22"/>
        <v>Power</v>
      </c>
      <c r="K53" s="19" t="str">
        <f t="shared" si="22"/>
        <v>Power</v>
      </c>
      <c r="L53" s="19" t="str">
        <f t="shared" si="22"/>
        <v>Max AI model</v>
      </c>
      <c r="M53" s="19" t="str">
        <f t="shared" si="22"/>
        <v>Associated</v>
      </c>
      <c r="N53" s="19" t="str">
        <f t="shared" si="22"/>
        <v>Memory</v>
      </c>
      <c r="O53" s="19" t="str">
        <f t="shared" si="22"/>
        <v>Price</v>
      </c>
      <c r="P53" s="19" t="str">
        <f t="shared" si="22"/>
        <v>TFLOPS</v>
      </c>
      <c r="Q53" s="19" t="str">
        <f t="shared" si="22"/>
        <v>TFLOPS</v>
      </c>
      <c r="R53" s="19" t="str">
        <f t="shared" si="22"/>
        <v>TFLOPS</v>
      </c>
      <c r="S53" s="19" t="str">
        <f t="shared" si="22"/>
        <v>TFLOPS</v>
      </c>
      <c r="T53" s="19" t="str">
        <f t="shared" si="22"/>
        <v>TFLOPS</v>
      </c>
      <c r="U53" s="19" t="str">
        <f t="shared" si="22"/>
        <v>TFLOPS per</v>
      </c>
      <c r="V53" s="19" t="str">
        <f t="shared" si="22"/>
        <v>Time to train</v>
      </c>
      <c r="W53" s="20" t="str">
        <f t="shared" si="22"/>
        <v>Time to train</v>
      </c>
      <c r="Z53" t="s">
        <v>132</v>
      </c>
    </row>
    <row r="54" spans="2:27" x14ac:dyDescent="0.35">
      <c r="C54" s="21" t="str">
        <f>C7</f>
        <v>name</v>
      </c>
      <c r="D54" s="13" t="str">
        <f>D7</f>
        <v>announced</v>
      </c>
      <c r="E54" s="13" t="str">
        <f>E7</f>
        <v>operational</v>
      </c>
      <c r="F54" s="13"/>
      <c r="G54" s="13" t="str">
        <f t="shared" ref="G54:W54" si="23">G7</f>
        <v>chips</v>
      </c>
      <c r="H54" s="13" t="str">
        <f t="shared" si="23"/>
        <v>per</v>
      </c>
      <c r="I54" s="13" t="str">
        <f t="shared" si="23"/>
        <v>chips</v>
      </c>
      <c r="J54" s="13" t="str">
        <f t="shared" si="23"/>
        <v>in watt</v>
      </c>
      <c r="K54" s="13" t="str">
        <f t="shared" si="23"/>
        <v>in watt</v>
      </c>
      <c r="L54" s="13" t="str">
        <f t="shared" si="23"/>
        <v>in billion</v>
      </c>
      <c r="M54" s="13" t="str">
        <f t="shared" si="23"/>
        <v>cluster memory</v>
      </c>
      <c r="N54" s="13" t="str">
        <f t="shared" si="23"/>
        <v>bandwidth</v>
      </c>
      <c r="O54" s="13" t="str">
        <f t="shared" si="23"/>
        <v>million</v>
      </c>
      <c r="P54" s="13" t="str">
        <f t="shared" si="23"/>
        <v>FP32</v>
      </c>
      <c r="Q54" s="13" t="str">
        <f t="shared" si="23"/>
        <v>FP16</v>
      </c>
      <c r="R54" s="13" t="str">
        <f t="shared" si="23"/>
        <v>FP8/BF16</v>
      </c>
      <c r="S54" s="13" t="str">
        <f t="shared" si="23"/>
        <v>FP4</v>
      </c>
      <c r="T54" s="13" t="str">
        <f t="shared" si="23"/>
        <v>per Watt</v>
      </c>
      <c r="U54" s="13" t="str">
        <f t="shared" si="23"/>
        <v>watt system</v>
      </c>
      <c r="V54" s="13" t="str">
        <f t="shared" si="23"/>
        <v>GPT-4 model</v>
      </c>
      <c r="W54" s="22" t="str">
        <f t="shared" si="23"/>
        <v>GPT-4 model</v>
      </c>
    </row>
    <row r="55" spans="2:27" ht="15" thickBot="1" x14ac:dyDescent="0.4">
      <c r="C55" s="210"/>
      <c r="D55" s="202" t="str">
        <f>D8</f>
        <v>expected</v>
      </c>
      <c r="E55" s="202" t="str">
        <f>E8</f>
        <v>expected</v>
      </c>
      <c r="F55" s="202"/>
      <c r="G55" s="202" t="str">
        <f t="shared" ref="G55:W55" si="24">G8</f>
        <v>used</v>
      </c>
      <c r="H55" s="202" t="str">
        <f t="shared" si="24"/>
        <v>chip</v>
      </c>
      <c r="I55" s="202" t="str">
        <f t="shared" si="24"/>
        <v>used</v>
      </c>
      <c r="J55" s="202" t="str">
        <f t="shared" si="24"/>
        <v>chips only</v>
      </c>
      <c r="K55" s="202" t="str">
        <f t="shared" si="24"/>
        <v>system</v>
      </c>
      <c r="L55" s="202" t="str">
        <f t="shared" si="24"/>
        <v>parameters</v>
      </c>
      <c r="M55" s="202" t="str">
        <f t="shared" si="24"/>
        <v>RAM in GB</v>
      </c>
      <c r="N55" s="202" t="str">
        <f t="shared" si="24"/>
        <v>GB/s</v>
      </c>
      <c r="O55" s="202" t="str">
        <f t="shared" si="24"/>
        <v>USD</v>
      </c>
      <c r="P55" s="202" t="str">
        <f t="shared" si="24"/>
        <v>CPU</v>
      </c>
      <c r="Q55" s="202" t="str">
        <f t="shared" si="24"/>
        <v xml:space="preserve"> AI computation</v>
      </c>
      <c r="R55" s="202" t="str">
        <f t="shared" si="24"/>
        <v xml:space="preserve"> AI computation</v>
      </c>
      <c r="S55" s="202" t="str">
        <f t="shared" si="24"/>
        <v xml:space="preserve"> AI computation</v>
      </c>
      <c r="T55" s="202" t="str">
        <f t="shared" si="24"/>
        <v>system FP32</v>
      </c>
      <c r="U55" s="202" t="str">
        <f t="shared" si="24"/>
        <v>using best FP</v>
      </c>
      <c r="V55" s="202" t="str">
        <f t="shared" si="24"/>
        <v>in days</v>
      </c>
      <c r="W55" s="211" t="str">
        <f t="shared" si="24"/>
        <v>in years</v>
      </c>
    </row>
    <row r="56" spans="2:27" ht="15" thickTop="1" x14ac:dyDescent="0.35">
      <c r="B56">
        <v>1</v>
      </c>
      <c r="C56" s="236" t="str">
        <f t="shared" ref="C56:C88" si="25">C9</f>
        <v>Computers used for training (estimation of parameters) in AI models</v>
      </c>
      <c r="D56" s="243"/>
      <c r="E56" s="243"/>
      <c r="F56" s="243"/>
      <c r="G56" s="243"/>
      <c r="H56" s="243"/>
      <c r="I56" s="243"/>
      <c r="J56" s="243"/>
      <c r="K56" s="243"/>
      <c r="L56" s="243"/>
      <c r="M56" s="243"/>
      <c r="N56" s="243"/>
      <c r="O56" s="243"/>
      <c r="P56" s="243"/>
      <c r="Q56" s="243"/>
      <c r="R56" s="243"/>
      <c r="S56" s="243"/>
      <c r="T56" s="243"/>
      <c r="U56" s="243"/>
      <c r="V56" s="243"/>
      <c r="W56" s="244"/>
      <c r="X56">
        <v>1</v>
      </c>
    </row>
    <row r="57" spans="2:27" x14ac:dyDescent="0.35">
      <c r="B57">
        <f>B56+1</f>
        <v>2</v>
      </c>
      <c r="C57" s="23" t="str">
        <f t="shared" si="25"/>
        <v>Nvidia DGX GH200</v>
      </c>
      <c r="D57" s="39" t="s">
        <v>94</v>
      </c>
      <c r="E57" s="152" t="s">
        <v>414</v>
      </c>
      <c r="G57" t="s">
        <v>94</v>
      </c>
      <c r="H57" s="39" t="s">
        <v>93</v>
      </c>
      <c r="I57" s="39" t="s">
        <v>94</v>
      </c>
      <c r="J57" s="169" t="s">
        <v>138</v>
      </c>
      <c r="K57" s="169" t="s">
        <v>138</v>
      </c>
      <c r="L57" s="116" t="s">
        <v>391</v>
      </c>
      <c r="M57" s="39" t="s">
        <v>94</v>
      </c>
      <c r="N57" s="116" t="s">
        <v>485</v>
      </c>
      <c r="O57" s="38" t="s">
        <v>138</v>
      </c>
      <c r="P57" s="38" t="s">
        <v>138</v>
      </c>
      <c r="Q57" s="289" t="s">
        <v>93</v>
      </c>
      <c r="R57" s="181" t="s">
        <v>138</v>
      </c>
      <c r="S57" s="181"/>
      <c r="T57" s="38" t="s">
        <v>138</v>
      </c>
      <c r="U57" s="38" t="s">
        <v>138</v>
      </c>
      <c r="V57" s="38" t="s">
        <v>138</v>
      </c>
      <c r="W57" s="45" t="s">
        <v>138</v>
      </c>
      <c r="X57">
        <f>X56+1</f>
        <v>2</v>
      </c>
    </row>
    <row r="58" spans="2:27" x14ac:dyDescent="0.35">
      <c r="B58">
        <f t="shared" ref="B58:B94" si="26">B57+1</f>
        <v>3</v>
      </c>
      <c r="C58" s="23" t="str">
        <f t="shared" si="25"/>
        <v>Nvidia GB200 NVL72 training cluster</v>
      </c>
      <c r="D58" s="39" t="s">
        <v>776</v>
      </c>
      <c r="E58" s="39" t="s">
        <v>777</v>
      </c>
      <c r="F58" s="39" t="s">
        <v>778</v>
      </c>
      <c r="G58" s="39" t="s">
        <v>779</v>
      </c>
      <c r="H58" s="39" t="s">
        <v>859</v>
      </c>
      <c r="I58" s="39" t="s">
        <v>780</v>
      </c>
      <c r="J58" s="39" t="s">
        <v>781</v>
      </c>
      <c r="K58" s="39" t="s">
        <v>782</v>
      </c>
      <c r="L58" s="35" t="s">
        <v>784</v>
      </c>
      <c r="M58" s="39" t="s">
        <v>783</v>
      </c>
      <c r="N58" s="35" t="s">
        <v>785</v>
      </c>
      <c r="O58" s="38" t="s">
        <v>138</v>
      </c>
      <c r="P58" s="38" t="s">
        <v>138</v>
      </c>
      <c r="Q58" s="39" t="s">
        <v>786</v>
      </c>
      <c r="R58" s="181" t="s">
        <v>138</v>
      </c>
      <c r="S58" s="181"/>
      <c r="T58" s="38" t="s">
        <v>138</v>
      </c>
      <c r="U58" s="38" t="s">
        <v>138</v>
      </c>
      <c r="V58" s="38" t="s">
        <v>138</v>
      </c>
      <c r="W58" s="45" t="s">
        <v>138</v>
      </c>
      <c r="X58">
        <f t="shared" ref="X58:X94" si="27">X57+1</f>
        <v>3</v>
      </c>
    </row>
    <row r="59" spans="2:27" x14ac:dyDescent="0.35">
      <c r="B59">
        <f t="shared" si="26"/>
        <v>4</v>
      </c>
      <c r="C59" s="23" t="str">
        <f t="shared" si="25"/>
        <v xml:space="preserve">Nvidia max config X800 </v>
      </c>
      <c r="D59" s="39" t="s">
        <v>787</v>
      </c>
      <c r="E59" s="39" t="s">
        <v>788</v>
      </c>
      <c r="F59" s="39" t="s">
        <v>789</v>
      </c>
      <c r="G59" s="39" t="s">
        <v>790</v>
      </c>
      <c r="H59" s="39" t="s">
        <v>791</v>
      </c>
      <c r="I59" s="39" t="s">
        <v>792</v>
      </c>
      <c r="J59" s="39" t="s">
        <v>793</v>
      </c>
      <c r="K59" s="39" t="s">
        <v>794</v>
      </c>
      <c r="L59" s="35" t="s">
        <v>796</v>
      </c>
      <c r="M59" s="39" t="s">
        <v>795</v>
      </c>
      <c r="N59" s="35" t="s">
        <v>797</v>
      </c>
      <c r="O59" s="39" t="s">
        <v>798</v>
      </c>
      <c r="P59" s="39" t="s">
        <v>799</v>
      </c>
      <c r="Q59" s="39" t="s">
        <v>800</v>
      </c>
      <c r="R59" s="181" t="s">
        <v>138</v>
      </c>
      <c r="S59" s="181" t="s">
        <v>138</v>
      </c>
      <c r="T59" s="38" t="s">
        <v>138</v>
      </c>
      <c r="U59" s="38" t="s">
        <v>138</v>
      </c>
      <c r="V59" s="38" t="s">
        <v>138</v>
      </c>
      <c r="W59" s="45" t="s">
        <v>138</v>
      </c>
      <c r="X59">
        <f t="shared" si="27"/>
        <v>4</v>
      </c>
    </row>
    <row r="60" spans="2:27" x14ac:dyDescent="0.35">
      <c r="B60">
        <f t="shared" si="26"/>
        <v>5</v>
      </c>
      <c r="C60" s="23" t="str">
        <f t="shared" si="25"/>
        <v>Nvidia Spectrum X800 ultra</v>
      </c>
      <c r="D60" s="39" t="s">
        <v>846</v>
      </c>
      <c r="E60" s="39" t="s">
        <v>846</v>
      </c>
      <c r="F60" s="39" t="s">
        <v>846</v>
      </c>
      <c r="G60" s="169" t="s">
        <v>847</v>
      </c>
      <c r="H60" s="169" t="s">
        <v>236</v>
      </c>
      <c r="I60" s="39" t="s">
        <v>846</v>
      </c>
      <c r="J60" s="39"/>
      <c r="K60" s="169" t="s">
        <v>138</v>
      </c>
      <c r="L60" s="116" t="s">
        <v>391</v>
      </c>
      <c r="M60" s="169" t="s">
        <v>138</v>
      </c>
      <c r="N60" s="116" t="s">
        <v>485</v>
      </c>
      <c r="O60" s="38" t="s">
        <v>138</v>
      </c>
      <c r="P60" s="38" t="s">
        <v>138</v>
      </c>
      <c r="Q60" s="289" t="s">
        <v>93</v>
      </c>
      <c r="R60" s="181" t="s">
        <v>138</v>
      </c>
      <c r="S60" s="181"/>
      <c r="T60" s="38" t="s">
        <v>138</v>
      </c>
      <c r="U60" s="38" t="s">
        <v>138</v>
      </c>
      <c r="V60" s="38" t="s">
        <v>138</v>
      </c>
      <c r="W60" s="45" t="s">
        <v>138</v>
      </c>
      <c r="X60">
        <f t="shared" si="27"/>
        <v>5</v>
      </c>
    </row>
    <row r="61" spans="2:27" x14ac:dyDescent="0.35">
      <c r="B61">
        <f t="shared" si="26"/>
        <v>6</v>
      </c>
      <c r="C61" s="23" t="str">
        <f t="shared" si="25"/>
        <v xml:space="preserve">Nvidia Spectrum X1600 </v>
      </c>
      <c r="D61" s="39" t="s">
        <v>846</v>
      </c>
      <c r="E61" s="39" t="s">
        <v>846</v>
      </c>
      <c r="F61" s="39" t="s">
        <v>846</v>
      </c>
      <c r="G61" s="169" t="s">
        <v>848</v>
      </c>
      <c r="H61" s="169" t="s">
        <v>236</v>
      </c>
      <c r="I61" s="39" t="s">
        <v>846</v>
      </c>
      <c r="J61" s="39"/>
      <c r="K61" s="169" t="s">
        <v>138</v>
      </c>
      <c r="L61" s="116" t="s">
        <v>391</v>
      </c>
      <c r="M61" s="169" t="s">
        <v>138</v>
      </c>
      <c r="N61" s="116" t="s">
        <v>485</v>
      </c>
      <c r="O61" s="38" t="s">
        <v>138</v>
      </c>
      <c r="P61" s="38" t="s">
        <v>138</v>
      </c>
      <c r="Q61" s="289" t="s">
        <v>93</v>
      </c>
      <c r="R61" s="181" t="s">
        <v>138</v>
      </c>
      <c r="S61" s="181"/>
      <c r="T61" s="38" t="s">
        <v>138</v>
      </c>
      <c r="U61" s="38" t="s">
        <v>138</v>
      </c>
      <c r="V61" s="38" t="s">
        <v>138</v>
      </c>
      <c r="W61" s="45" t="s">
        <v>138</v>
      </c>
      <c r="X61">
        <f t="shared" si="27"/>
        <v>6</v>
      </c>
    </row>
    <row r="62" spans="2:27" x14ac:dyDescent="0.35">
      <c r="B62">
        <f t="shared" si="26"/>
        <v>7</v>
      </c>
      <c r="C62" s="23" t="str">
        <f t="shared" si="25"/>
        <v>OpenAI GPT-4 training cluster</v>
      </c>
      <c r="D62" s="152" t="s">
        <v>460</v>
      </c>
      <c r="E62" s="171" t="s">
        <v>530</v>
      </c>
      <c r="F62" s="170" t="s">
        <v>172</v>
      </c>
      <c r="G62" s="170" t="s">
        <v>460</v>
      </c>
      <c r="H62" s="171" t="s">
        <v>236</v>
      </c>
      <c r="I62" s="39" t="s">
        <v>460</v>
      </c>
      <c r="J62" s="169" t="s">
        <v>138</v>
      </c>
      <c r="K62" s="169" t="s">
        <v>138</v>
      </c>
      <c r="L62" s="116" t="s">
        <v>138</v>
      </c>
      <c r="M62" s="169" t="s">
        <v>138</v>
      </c>
      <c r="N62" s="116" t="s">
        <v>485</v>
      </c>
      <c r="O62" s="38" t="s">
        <v>138</v>
      </c>
      <c r="P62" s="38" t="s">
        <v>138</v>
      </c>
      <c r="Q62" s="12" t="s">
        <v>138</v>
      </c>
      <c r="R62" s="181" t="s">
        <v>138</v>
      </c>
      <c r="S62" s="181"/>
      <c r="T62" s="38" t="s">
        <v>138</v>
      </c>
      <c r="U62" s="38" t="s">
        <v>138</v>
      </c>
      <c r="V62" s="284" t="s">
        <v>460</v>
      </c>
      <c r="W62" s="285" t="s">
        <v>460</v>
      </c>
      <c r="X62">
        <f t="shared" si="27"/>
        <v>7</v>
      </c>
      <c r="Z62" t="s">
        <v>201</v>
      </c>
      <c r="AA62" t="s">
        <v>45</v>
      </c>
    </row>
    <row r="63" spans="2:27" x14ac:dyDescent="0.35">
      <c r="B63">
        <f t="shared" si="26"/>
        <v>8</v>
      </c>
      <c r="C63" s="23" t="str">
        <f t="shared" si="25"/>
        <v>OpenAI GPT-4o</v>
      </c>
      <c r="D63" t="s">
        <v>528</v>
      </c>
      <c r="E63" t="s">
        <v>529</v>
      </c>
      <c r="H63" s="169" t="s">
        <v>236</v>
      </c>
      <c r="I63" t="s">
        <v>907</v>
      </c>
      <c r="J63" s="38" t="s">
        <v>138</v>
      </c>
      <c r="K63" s="38" t="s">
        <v>138</v>
      </c>
      <c r="L63" s="116" t="s">
        <v>138</v>
      </c>
      <c r="M63" s="38" t="s">
        <v>138</v>
      </c>
      <c r="N63" s="116" t="s">
        <v>485</v>
      </c>
      <c r="O63" s="38" t="s">
        <v>138</v>
      </c>
      <c r="P63" s="38" t="s">
        <v>138</v>
      </c>
      <c r="Q63" s="38" t="s">
        <v>138</v>
      </c>
      <c r="R63" s="117" t="s">
        <v>138</v>
      </c>
      <c r="S63" s="117"/>
      <c r="T63" s="38" t="s">
        <v>138</v>
      </c>
      <c r="U63" s="38" t="s">
        <v>138</v>
      </c>
      <c r="V63" s="38" t="s">
        <v>138</v>
      </c>
      <c r="W63" s="45" t="s">
        <v>138</v>
      </c>
      <c r="X63">
        <f t="shared" si="27"/>
        <v>8</v>
      </c>
    </row>
    <row r="64" spans="2:27" x14ac:dyDescent="0.35">
      <c r="B64">
        <f t="shared" si="26"/>
        <v>9</v>
      </c>
      <c r="C64" s="23" t="str">
        <f t="shared" si="25"/>
        <v>Tesla FSD HW3 training cluster 1</v>
      </c>
      <c r="D64" s="39" t="s">
        <v>133</v>
      </c>
      <c r="E64" s="39" t="s">
        <v>133</v>
      </c>
      <c r="F64" s="39" t="s">
        <v>133</v>
      </c>
      <c r="G64" s="39" t="s">
        <v>133</v>
      </c>
      <c r="H64" s="39"/>
      <c r="I64" s="39" t="s">
        <v>133</v>
      </c>
      <c r="J64" s="169" t="s">
        <v>138</v>
      </c>
      <c r="K64" t="s">
        <v>138</v>
      </c>
      <c r="L64" s="116" t="s">
        <v>391</v>
      </c>
      <c r="M64" s="39" t="s">
        <v>133</v>
      </c>
      <c r="N64" s="116" t="s">
        <v>485</v>
      </c>
      <c r="O64" s="38"/>
      <c r="P64" s="38" t="s">
        <v>138</v>
      </c>
      <c r="Q64" s="12" t="s">
        <v>45</v>
      </c>
      <c r="R64" s="181" t="s">
        <v>138</v>
      </c>
      <c r="S64" s="181"/>
      <c r="T64" s="38" t="s">
        <v>138</v>
      </c>
      <c r="U64" s="38" t="s">
        <v>138</v>
      </c>
      <c r="V64" s="38" t="s">
        <v>138</v>
      </c>
      <c r="W64" s="45" t="s">
        <v>138</v>
      </c>
      <c r="X64">
        <f t="shared" si="27"/>
        <v>9</v>
      </c>
    </row>
    <row r="65" spans="2:27" x14ac:dyDescent="0.35">
      <c r="B65">
        <f t="shared" si="26"/>
        <v>10</v>
      </c>
      <c r="C65" s="23" t="str">
        <f t="shared" si="25"/>
        <v>Tesla FSD HW3 training  c. Fremont</v>
      </c>
      <c r="D65" s="39" t="s">
        <v>599</v>
      </c>
      <c r="E65" s="39" t="s">
        <v>600</v>
      </c>
      <c r="F65" s="39" t="s">
        <v>601</v>
      </c>
      <c r="G65" s="39" t="s">
        <v>600</v>
      </c>
      <c r="H65" s="169" t="s">
        <v>236</v>
      </c>
      <c r="I65" s="39" t="s">
        <v>599</v>
      </c>
      <c r="J65" t="s">
        <v>138</v>
      </c>
      <c r="K65" t="s">
        <v>138</v>
      </c>
      <c r="L65" s="116" t="s">
        <v>138</v>
      </c>
      <c r="M65" s="38" t="s">
        <v>138</v>
      </c>
      <c r="N65" s="116" t="s">
        <v>485</v>
      </c>
      <c r="O65" s="38" t="s">
        <v>138</v>
      </c>
      <c r="P65" s="38" t="s">
        <v>138</v>
      </c>
      <c r="Q65" s="38" t="s">
        <v>138</v>
      </c>
      <c r="R65" s="117" t="s">
        <v>138</v>
      </c>
      <c r="S65" s="117"/>
      <c r="T65" s="38" t="s">
        <v>138</v>
      </c>
      <c r="U65" s="38" t="s">
        <v>138</v>
      </c>
      <c r="V65" s="38" t="s">
        <v>138</v>
      </c>
      <c r="W65" s="45" t="s">
        <v>138</v>
      </c>
      <c r="X65">
        <f t="shared" si="27"/>
        <v>10</v>
      </c>
    </row>
    <row r="66" spans="2:27" x14ac:dyDescent="0.35">
      <c r="B66">
        <f t="shared" si="26"/>
        <v>11</v>
      </c>
      <c r="C66" s="23" t="str">
        <f t="shared" si="25"/>
        <v>Tesla FSD HW4 training c. Austin</v>
      </c>
      <c r="D66" s="39" t="s">
        <v>841</v>
      </c>
      <c r="E66" s="169" t="s">
        <v>842</v>
      </c>
      <c r="F66" s="39" t="s">
        <v>843</v>
      </c>
      <c r="G66" s="39"/>
      <c r="H66" s="169" t="s">
        <v>236</v>
      </c>
      <c r="I66" s="39" t="s">
        <v>841</v>
      </c>
      <c r="J66" t="s">
        <v>138</v>
      </c>
      <c r="K66" t="s">
        <v>138</v>
      </c>
      <c r="L66" s="116" t="s">
        <v>138</v>
      </c>
      <c r="M66" s="38" t="s">
        <v>138</v>
      </c>
      <c r="N66" s="116" t="s">
        <v>485</v>
      </c>
      <c r="O66" s="38" t="s">
        <v>138</v>
      </c>
      <c r="P66" s="38" t="s">
        <v>138</v>
      </c>
      <c r="Q66" s="38" t="s">
        <v>138</v>
      </c>
      <c r="R66" s="117" t="s">
        <v>138</v>
      </c>
      <c r="S66" s="117"/>
      <c r="T66" s="38" t="s">
        <v>138</v>
      </c>
      <c r="U66" s="38" t="s">
        <v>138</v>
      </c>
      <c r="V66" s="38" t="s">
        <v>138</v>
      </c>
      <c r="W66" s="45" t="s">
        <v>138</v>
      </c>
      <c r="X66">
        <f t="shared" si="27"/>
        <v>11</v>
      </c>
    </row>
    <row r="67" spans="2:27" x14ac:dyDescent="0.35">
      <c r="B67">
        <f t="shared" si="26"/>
        <v>12</v>
      </c>
      <c r="C67" s="23" t="str">
        <f t="shared" si="25"/>
        <v>Tesla FSD HW3 training c. Dojo2</v>
      </c>
      <c r="D67" s="39" t="s">
        <v>602</v>
      </c>
      <c r="E67" s="39" t="s">
        <v>602</v>
      </c>
      <c r="F67" s="39"/>
      <c r="G67" s="169" t="s">
        <v>236</v>
      </c>
      <c r="H67" s="169" t="s">
        <v>236</v>
      </c>
      <c r="I67" s="169" t="s">
        <v>236</v>
      </c>
      <c r="J67" t="s">
        <v>138</v>
      </c>
      <c r="K67" t="s">
        <v>138</v>
      </c>
      <c r="L67" s="116" t="s">
        <v>516</v>
      </c>
      <c r="M67" s="38" t="s">
        <v>138</v>
      </c>
      <c r="N67" s="116" t="s">
        <v>485</v>
      </c>
      <c r="O67" s="286" t="s">
        <v>603</v>
      </c>
      <c r="P67" s="38"/>
      <c r="Q67" s="38"/>
      <c r="R67" s="222" t="s">
        <v>602</v>
      </c>
      <c r="S67" s="222"/>
      <c r="T67" s="38" t="s">
        <v>138</v>
      </c>
      <c r="U67" s="38" t="s">
        <v>138</v>
      </c>
      <c r="V67" s="38" t="s">
        <v>138</v>
      </c>
      <c r="W67" s="45" t="s">
        <v>138</v>
      </c>
      <c r="X67">
        <f t="shared" si="27"/>
        <v>12</v>
      </c>
    </row>
    <row r="68" spans="2:27" x14ac:dyDescent="0.35">
      <c r="B68">
        <f t="shared" si="26"/>
        <v>13</v>
      </c>
      <c r="C68" s="23" t="str">
        <f t="shared" si="25"/>
        <v>xAI Grok training, 100k H100</v>
      </c>
      <c r="D68" s="152" t="s">
        <v>851</v>
      </c>
      <c r="E68" s="152" t="s">
        <v>979</v>
      </c>
      <c r="F68" s="152" t="s">
        <v>851</v>
      </c>
      <c r="G68" s="152" t="s">
        <v>851</v>
      </c>
      <c r="H68" s="169" t="s">
        <v>236</v>
      </c>
      <c r="I68" s="152" t="s">
        <v>851</v>
      </c>
      <c r="J68" t="s">
        <v>138</v>
      </c>
      <c r="K68" s="38" t="s">
        <v>138</v>
      </c>
      <c r="L68" s="116" t="s">
        <v>138</v>
      </c>
      <c r="M68" s="38" t="s">
        <v>138</v>
      </c>
      <c r="N68" s="116" t="s">
        <v>485</v>
      </c>
      <c r="O68" s="38" t="s">
        <v>138</v>
      </c>
      <c r="P68" s="38" t="s">
        <v>138</v>
      </c>
      <c r="Q68" s="38" t="s">
        <v>138</v>
      </c>
      <c r="R68" s="117" t="s">
        <v>138</v>
      </c>
      <c r="S68" s="117"/>
      <c r="T68" s="38" t="s">
        <v>138</v>
      </c>
      <c r="U68" s="38" t="s">
        <v>138</v>
      </c>
      <c r="V68" s="38" t="s">
        <v>138</v>
      </c>
      <c r="W68" s="45" t="s">
        <v>138</v>
      </c>
      <c r="X68">
        <f t="shared" si="27"/>
        <v>13</v>
      </c>
      <c r="Z68" s="38" t="s">
        <v>989</v>
      </c>
    </row>
    <row r="69" spans="2:27" x14ac:dyDescent="0.35">
      <c r="B69">
        <f t="shared" si="26"/>
        <v>14</v>
      </c>
      <c r="C69" s="23" t="str">
        <f t="shared" si="25"/>
        <v>xAI Grok training, 300k B200</v>
      </c>
      <c r="D69" s="152" t="s">
        <v>979</v>
      </c>
      <c r="E69" s="152" t="s">
        <v>979</v>
      </c>
      <c r="F69" s="152" t="s">
        <v>979</v>
      </c>
      <c r="G69" s="152" t="s">
        <v>979</v>
      </c>
      <c r="H69" s="169" t="s">
        <v>236</v>
      </c>
      <c r="I69" s="152" t="s">
        <v>979</v>
      </c>
      <c r="J69" t="s">
        <v>138</v>
      </c>
      <c r="K69" s="38" t="s">
        <v>138</v>
      </c>
      <c r="L69" s="116" t="s">
        <v>138</v>
      </c>
      <c r="M69" s="38" t="s">
        <v>138</v>
      </c>
      <c r="N69" s="116" t="s">
        <v>485</v>
      </c>
      <c r="O69" s="38" t="s">
        <v>138</v>
      </c>
      <c r="P69" s="38" t="s">
        <v>45</v>
      </c>
      <c r="Q69" s="38" t="s">
        <v>138</v>
      </c>
      <c r="R69" s="117" t="s">
        <v>138</v>
      </c>
      <c r="S69" s="117"/>
      <c r="T69" s="38" t="s">
        <v>45</v>
      </c>
      <c r="U69" s="38" t="s">
        <v>138</v>
      </c>
      <c r="V69" s="38" t="s">
        <v>138</v>
      </c>
      <c r="W69" s="45" t="s">
        <v>138</v>
      </c>
      <c r="X69">
        <f t="shared" si="27"/>
        <v>14</v>
      </c>
    </row>
    <row r="70" spans="2:27" x14ac:dyDescent="0.35">
      <c r="B70">
        <f t="shared" si="26"/>
        <v>15</v>
      </c>
      <c r="C70" s="23" t="str">
        <f t="shared" si="25"/>
        <v>Meta supercomputer H100 based</v>
      </c>
      <c r="D70" s="152" t="s">
        <v>893</v>
      </c>
      <c r="E70" s="152" t="s">
        <v>893</v>
      </c>
      <c r="F70" s="152" t="s">
        <v>893</v>
      </c>
      <c r="G70" s="152" t="s">
        <v>893</v>
      </c>
      <c r="H70" s="169" t="s">
        <v>236</v>
      </c>
      <c r="I70" s="152" t="s">
        <v>893</v>
      </c>
      <c r="J70" t="s">
        <v>138</v>
      </c>
      <c r="K70" s="38" t="s">
        <v>138</v>
      </c>
      <c r="L70" s="116" t="s">
        <v>138</v>
      </c>
      <c r="M70" s="38" t="s">
        <v>138</v>
      </c>
      <c r="N70" s="116" t="s">
        <v>485</v>
      </c>
      <c r="O70" s="38" t="s">
        <v>138</v>
      </c>
      <c r="P70" s="38" t="s">
        <v>138</v>
      </c>
      <c r="Q70" s="38" t="s">
        <v>138</v>
      </c>
      <c r="R70" s="117" t="s">
        <v>138</v>
      </c>
      <c r="S70" s="117"/>
      <c r="T70" s="38" t="s">
        <v>138</v>
      </c>
      <c r="U70" s="38" t="s">
        <v>138</v>
      </c>
      <c r="V70" s="38" t="s">
        <v>138</v>
      </c>
      <c r="W70" s="45" t="s">
        <v>138</v>
      </c>
      <c r="X70">
        <f t="shared" si="27"/>
        <v>15</v>
      </c>
    </row>
    <row r="71" spans="2:27" x14ac:dyDescent="0.35">
      <c r="B71">
        <f t="shared" si="26"/>
        <v>16</v>
      </c>
      <c r="C71" s="23" t="str">
        <f t="shared" si="25"/>
        <v>Meta supercomputer AI300 based</v>
      </c>
      <c r="D71" s="152" t="s">
        <v>893</v>
      </c>
      <c r="E71" s="152" t="s">
        <v>893</v>
      </c>
      <c r="F71" s="152" t="s">
        <v>893</v>
      </c>
      <c r="G71" s="152" t="s">
        <v>913</v>
      </c>
      <c r="H71" s="169" t="s">
        <v>236</v>
      </c>
      <c r="I71" s="152" t="s">
        <v>893</v>
      </c>
      <c r="J71" t="s">
        <v>138</v>
      </c>
      <c r="K71" s="38" t="s">
        <v>138</v>
      </c>
      <c r="L71" s="116" t="s">
        <v>138</v>
      </c>
      <c r="M71" s="38" t="s">
        <v>138</v>
      </c>
      <c r="N71" s="116" t="s">
        <v>485</v>
      </c>
      <c r="O71" s="38" t="s">
        <v>138</v>
      </c>
      <c r="P71" s="38" t="s">
        <v>138</v>
      </c>
      <c r="Q71" s="38" t="s">
        <v>138</v>
      </c>
      <c r="R71" s="117" t="s">
        <v>138</v>
      </c>
      <c r="S71" s="117"/>
      <c r="T71" s="38" t="s">
        <v>138</v>
      </c>
      <c r="U71" s="38" t="s">
        <v>138</v>
      </c>
      <c r="V71" s="38" t="s">
        <v>138</v>
      </c>
      <c r="W71" s="45" t="s">
        <v>138</v>
      </c>
      <c r="X71">
        <f t="shared" si="27"/>
        <v>16</v>
      </c>
    </row>
    <row r="72" spans="2:27" x14ac:dyDescent="0.35">
      <c r="B72">
        <f t="shared" si="26"/>
        <v>17</v>
      </c>
      <c r="C72" s="23" t="str">
        <f t="shared" si="25"/>
        <v>Google, PaLM training cluster</v>
      </c>
      <c r="D72" s="152" t="s">
        <v>649</v>
      </c>
      <c r="E72" s="152" t="s">
        <v>649</v>
      </c>
      <c r="F72" s="152" t="s">
        <v>649</v>
      </c>
      <c r="G72" s="152" t="s">
        <v>649</v>
      </c>
      <c r="H72" s="169" t="s">
        <v>236</v>
      </c>
      <c r="I72" s="152" t="s">
        <v>649</v>
      </c>
      <c r="J72" t="s">
        <v>138</v>
      </c>
      <c r="K72" t="s">
        <v>138</v>
      </c>
      <c r="L72" s="116" t="s">
        <v>516</v>
      </c>
      <c r="M72" t="s">
        <v>138</v>
      </c>
      <c r="N72" s="116" t="s">
        <v>485</v>
      </c>
      <c r="O72" t="s">
        <v>391</v>
      </c>
      <c r="P72" s="234" t="s">
        <v>45</v>
      </c>
      <c r="Q72" s="287" t="s">
        <v>45</v>
      </c>
      <c r="R72" s="117" t="s">
        <v>138</v>
      </c>
      <c r="S72" s="117"/>
      <c r="T72" s="38" t="s">
        <v>45</v>
      </c>
      <c r="U72" s="38" t="s">
        <v>138</v>
      </c>
      <c r="V72" s="38" t="s">
        <v>138</v>
      </c>
      <c r="W72" s="45" t="s">
        <v>138</v>
      </c>
      <c r="X72">
        <f t="shared" si="27"/>
        <v>17</v>
      </c>
    </row>
    <row r="73" spans="2:27" x14ac:dyDescent="0.35">
      <c r="B73">
        <f t="shared" si="26"/>
        <v>18</v>
      </c>
      <c r="C73" s="23" t="str">
        <f t="shared" si="25"/>
        <v>Google A3, VM</v>
      </c>
      <c r="D73" s="152" t="s">
        <v>609</v>
      </c>
      <c r="E73" s="152" t="s">
        <v>609</v>
      </c>
      <c r="F73" s="152" t="s">
        <v>609</v>
      </c>
      <c r="G73" s="169" t="s">
        <v>236</v>
      </c>
      <c r="H73" s="169" t="s">
        <v>236</v>
      </c>
      <c r="I73" t="s">
        <v>138</v>
      </c>
      <c r="J73" t="s">
        <v>138</v>
      </c>
      <c r="K73" t="s">
        <v>138</v>
      </c>
      <c r="L73" s="116" t="s">
        <v>516</v>
      </c>
      <c r="M73" t="s">
        <v>138</v>
      </c>
      <c r="N73" s="116" t="s">
        <v>485</v>
      </c>
      <c r="O73" t="s">
        <v>391</v>
      </c>
      <c r="P73" s="38" t="s">
        <v>138</v>
      </c>
      <c r="Q73" s="38" t="s">
        <v>138</v>
      </c>
      <c r="R73" s="163" t="s">
        <v>609</v>
      </c>
      <c r="S73" s="163"/>
      <c r="T73" s="38" t="s">
        <v>138</v>
      </c>
      <c r="U73" s="38" t="s">
        <v>138</v>
      </c>
      <c r="V73" s="38" t="s">
        <v>138</v>
      </c>
      <c r="W73" s="45" t="s">
        <v>138</v>
      </c>
      <c r="X73">
        <f t="shared" si="27"/>
        <v>18</v>
      </c>
    </row>
    <row r="74" spans="2:27" x14ac:dyDescent="0.35">
      <c r="B74">
        <f t="shared" si="26"/>
        <v>19</v>
      </c>
      <c r="C74" s="23" t="str">
        <f t="shared" si="25"/>
        <v>Stability.ai, Ezra-1</v>
      </c>
      <c r="D74" s="152" t="s">
        <v>645</v>
      </c>
      <c r="E74" s="152" t="s">
        <v>645</v>
      </c>
      <c r="F74" s="152" t="s">
        <v>645</v>
      </c>
      <c r="G74" s="39" t="s">
        <v>644</v>
      </c>
      <c r="H74" s="169" t="s">
        <v>236</v>
      </c>
      <c r="I74" s="152" t="s">
        <v>644</v>
      </c>
      <c r="J74" t="s">
        <v>138</v>
      </c>
      <c r="K74" s="152" t="s">
        <v>646</v>
      </c>
      <c r="L74" s="116" t="s">
        <v>516</v>
      </c>
      <c r="M74" t="s">
        <v>138</v>
      </c>
      <c r="N74" s="116" t="s">
        <v>485</v>
      </c>
      <c r="O74" t="s">
        <v>391</v>
      </c>
      <c r="P74" s="38" t="s">
        <v>138</v>
      </c>
      <c r="Q74" s="38" t="s">
        <v>138</v>
      </c>
      <c r="R74" s="117" t="s">
        <v>138</v>
      </c>
      <c r="S74" s="117"/>
      <c r="T74" s="38" t="s">
        <v>138</v>
      </c>
      <c r="U74" s="38" t="s">
        <v>138</v>
      </c>
      <c r="V74" s="38" t="s">
        <v>138</v>
      </c>
      <c r="W74" s="45" t="s">
        <v>138</v>
      </c>
      <c r="X74">
        <f t="shared" si="27"/>
        <v>19</v>
      </c>
    </row>
    <row r="75" spans="2:27" x14ac:dyDescent="0.35">
      <c r="B75">
        <f t="shared" si="26"/>
        <v>20</v>
      </c>
      <c r="C75" s="23" t="str">
        <f t="shared" si="25"/>
        <v>NVIDIA Eos</v>
      </c>
      <c r="D75" s="152" t="s">
        <v>670</v>
      </c>
      <c r="E75" s="152" t="s">
        <v>670</v>
      </c>
      <c r="F75" s="152" t="s">
        <v>670</v>
      </c>
      <c r="G75" s="152" t="s">
        <v>670</v>
      </c>
      <c r="H75" s="169" t="s">
        <v>236</v>
      </c>
      <c r="I75" s="152" t="s">
        <v>670</v>
      </c>
      <c r="J75" t="s">
        <v>138</v>
      </c>
      <c r="K75" t="s">
        <v>138</v>
      </c>
      <c r="L75" s="116" t="s">
        <v>516</v>
      </c>
      <c r="M75" t="s">
        <v>138</v>
      </c>
      <c r="N75" s="116" t="s">
        <v>485</v>
      </c>
      <c r="O75" t="s">
        <v>391</v>
      </c>
      <c r="P75" s="38" t="s">
        <v>138</v>
      </c>
      <c r="Q75" s="38" t="s">
        <v>138</v>
      </c>
      <c r="R75" s="117" t="s">
        <v>138</v>
      </c>
      <c r="S75" s="117"/>
      <c r="T75" s="38" t="s">
        <v>138</v>
      </c>
      <c r="U75" s="38" t="s">
        <v>138</v>
      </c>
      <c r="V75" s="38" t="s">
        <v>138</v>
      </c>
      <c r="W75" s="45" t="s">
        <v>138</v>
      </c>
      <c r="X75">
        <f t="shared" si="27"/>
        <v>20</v>
      </c>
    </row>
    <row r="76" spans="2:27" ht="15" thickBot="1" x14ac:dyDescent="0.4">
      <c r="B76">
        <f t="shared" si="26"/>
        <v>21</v>
      </c>
      <c r="C76" s="23" t="str">
        <f t="shared" si="25"/>
        <v>Frontier</v>
      </c>
      <c r="D76" s="152" t="s">
        <v>645</v>
      </c>
      <c r="E76" s="152" t="s">
        <v>645</v>
      </c>
      <c r="F76" s="152" t="s">
        <v>645</v>
      </c>
      <c r="G76" s="39" t="s">
        <v>644</v>
      </c>
      <c r="H76" s="169" t="s">
        <v>236</v>
      </c>
      <c r="I76" s="152" t="s">
        <v>644</v>
      </c>
      <c r="J76" t="s">
        <v>138</v>
      </c>
      <c r="K76" s="152" t="s">
        <v>669</v>
      </c>
      <c r="L76" s="116" t="s">
        <v>516</v>
      </c>
      <c r="M76" t="s">
        <v>138</v>
      </c>
      <c r="N76" s="116" t="s">
        <v>485</v>
      </c>
      <c r="O76" t="s">
        <v>391</v>
      </c>
      <c r="P76" s="38" t="s">
        <v>138</v>
      </c>
      <c r="Q76" s="38" t="s">
        <v>138</v>
      </c>
      <c r="R76" s="117" t="s">
        <v>138</v>
      </c>
      <c r="S76" s="117"/>
      <c r="T76" s="38" t="s">
        <v>138</v>
      </c>
      <c r="U76" s="38" t="s">
        <v>45</v>
      </c>
      <c r="V76" s="38" t="s">
        <v>45</v>
      </c>
      <c r="W76" s="45" t="s">
        <v>45</v>
      </c>
      <c r="X76">
        <f t="shared" si="27"/>
        <v>21</v>
      </c>
    </row>
    <row r="77" spans="2:27" ht="15" thickTop="1" x14ac:dyDescent="0.35">
      <c r="B77">
        <f t="shared" si="26"/>
        <v>22</v>
      </c>
      <c r="C77" s="23" t="str">
        <f t="shared" si="25"/>
        <v>El Capitan</v>
      </c>
      <c r="D77" s="39" t="s">
        <v>333</v>
      </c>
      <c r="E77" s="39" t="s">
        <v>161</v>
      </c>
      <c r="F77" s="39" t="s">
        <v>161</v>
      </c>
      <c r="G77" s="39" t="s">
        <v>161</v>
      </c>
      <c r="H77" s="169" t="s">
        <v>236</v>
      </c>
      <c r="I77" s="169" t="s">
        <v>138</v>
      </c>
      <c r="J77" s="169" t="s">
        <v>138</v>
      </c>
      <c r="K77" s="39" t="s">
        <v>333</v>
      </c>
      <c r="L77" s="116" t="s">
        <v>391</v>
      </c>
      <c r="M77" s="39"/>
      <c r="N77" s="116" t="s">
        <v>485</v>
      </c>
      <c r="O77" s="286" t="s">
        <v>333</v>
      </c>
      <c r="P77" s="38" t="s">
        <v>138</v>
      </c>
      <c r="Q77" s="288" t="s">
        <v>161</v>
      </c>
      <c r="R77" s="181" t="s">
        <v>45</v>
      </c>
      <c r="S77" s="181"/>
      <c r="T77" s="38" t="s">
        <v>138</v>
      </c>
      <c r="U77" s="38" t="s">
        <v>138</v>
      </c>
      <c r="V77" s="38" t="s">
        <v>45</v>
      </c>
      <c r="W77" s="45" t="s">
        <v>45</v>
      </c>
      <c r="X77">
        <f t="shared" si="27"/>
        <v>22</v>
      </c>
      <c r="Z77" s="50" t="s">
        <v>334</v>
      </c>
      <c r="AA77" t="s">
        <v>45</v>
      </c>
    </row>
    <row r="78" spans="2:27" x14ac:dyDescent="0.35">
      <c r="B78">
        <f t="shared" si="26"/>
        <v>23</v>
      </c>
      <c r="C78" s="23" t="str">
        <f t="shared" si="25"/>
        <v>Cerebras CG-1</v>
      </c>
      <c r="D78" s="39" t="s">
        <v>54</v>
      </c>
      <c r="E78" s="39" t="s">
        <v>123</v>
      </c>
      <c r="F78" s="39"/>
      <c r="G78" s="39" t="s">
        <v>124</v>
      </c>
      <c r="H78" s="39" t="s">
        <v>140</v>
      </c>
      <c r="I78" s="39" t="s">
        <v>139</v>
      </c>
      <c r="J78" s="169" t="s">
        <v>138</v>
      </c>
      <c r="K78" s="39" t="s">
        <v>462</v>
      </c>
      <c r="L78" s="116" t="s">
        <v>391</v>
      </c>
      <c r="M78" s="39" t="s">
        <v>139</v>
      </c>
      <c r="N78" s="116" t="s">
        <v>485</v>
      </c>
      <c r="O78" s="286" t="s">
        <v>464</v>
      </c>
      <c r="P78" s="39" t="s">
        <v>55</v>
      </c>
      <c r="Q78" s="289" t="s">
        <v>139</v>
      </c>
      <c r="R78" s="182" t="s">
        <v>45</v>
      </c>
      <c r="S78" s="182"/>
      <c r="T78" s="38" t="s">
        <v>138</v>
      </c>
      <c r="U78" s="38" t="s">
        <v>138</v>
      </c>
      <c r="V78" s="38" t="s">
        <v>45</v>
      </c>
      <c r="W78" s="45" t="s">
        <v>45</v>
      </c>
      <c r="X78">
        <f t="shared" si="27"/>
        <v>23</v>
      </c>
      <c r="Z78" s="54"/>
    </row>
    <row r="79" spans="2:27" x14ac:dyDescent="0.35">
      <c r="B79">
        <f t="shared" si="26"/>
        <v>24</v>
      </c>
      <c r="C79" s="23" t="str">
        <f t="shared" si="25"/>
        <v>Cerebras Condor Galaxy 3</v>
      </c>
      <c r="D79" s="39" t="s">
        <v>735</v>
      </c>
      <c r="E79" s="39" t="s">
        <v>736</v>
      </c>
      <c r="F79" s="39" t="s">
        <v>737</v>
      </c>
      <c r="G79" s="39" t="s">
        <v>738</v>
      </c>
      <c r="H79" s="169" t="s">
        <v>236</v>
      </c>
      <c r="I79" s="39" t="s">
        <v>739</v>
      </c>
      <c r="J79" s="169" t="s">
        <v>138</v>
      </c>
      <c r="K79" s="39" t="s">
        <v>750</v>
      </c>
      <c r="L79" s="116" t="s">
        <v>391</v>
      </c>
      <c r="M79" s="39" t="s">
        <v>751</v>
      </c>
      <c r="N79" s="116"/>
      <c r="O79" s="286" t="s">
        <v>749</v>
      </c>
      <c r="P79" s="39"/>
      <c r="Q79" s="289" t="s">
        <v>739</v>
      </c>
      <c r="R79" s="182"/>
      <c r="S79" s="182"/>
      <c r="T79" s="38"/>
      <c r="U79" s="38"/>
      <c r="V79" s="38" t="s">
        <v>45</v>
      </c>
      <c r="W79" s="45" t="s">
        <v>45</v>
      </c>
      <c r="X79">
        <f t="shared" si="27"/>
        <v>24</v>
      </c>
    </row>
    <row r="80" spans="2:27" x14ac:dyDescent="0.35">
      <c r="B80">
        <f t="shared" si="26"/>
        <v>25</v>
      </c>
      <c r="C80" s="23" t="str">
        <f t="shared" si="25"/>
        <v>Cerebras CG-3 Max</v>
      </c>
      <c r="D80" s="39" t="s">
        <v>741</v>
      </c>
      <c r="E80" s="39" t="s">
        <v>742</v>
      </c>
      <c r="F80" s="39" t="s">
        <v>743</v>
      </c>
      <c r="G80" s="39" t="s">
        <v>744</v>
      </c>
      <c r="H80" s="39" t="s">
        <v>745</v>
      </c>
      <c r="I80" s="39" t="s">
        <v>746</v>
      </c>
      <c r="J80" s="39" t="s">
        <v>747</v>
      </c>
      <c r="K80" s="39" t="s">
        <v>748</v>
      </c>
      <c r="L80" s="116"/>
      <c r="M80" s="169" t="s">
        <v>45</v>
      </c>
      <c r="N80" s="116"/>
      <c r="O80" s="290" t="s">
        <v>138</v>
      </c>
      <c r="P80" s="286" t="s">
        <v>742</v>
      </c>
      <c r="Q80" s="286" t="s">
        <v>743</v>
      </c>
      <c r="R80" s="182"/>
      <c r="S80" s="182"/>
      <c r="T80" s="38"/>
      <c r="U80" s="38"/>
      <c r="V80" s="38" t="s">
        <v>45</v>
      </c>
      <c r="W80" s="45" t="s">
        <v>45</v>
      </c>
      <c r="X80">
        <f t="shared" si="27"/>
        <v>25</v>
      </c>
    </row>
    <row r="81" spans="2:27" x14ac:dyDescent="0.35">
      <c r="B81">
        <f t="shared" si="26"/>
        <v>26</v>
      </c>
      <c r="C81" s="23" t="str">
        <f t="shared" si="25"/>
        <v>Inflection AI (Pi, LLM)</v>
      </c>
      <c r="D81" s="39" t="s">
        <v>209</v>
      </c>
      <c r="E81" s="39" t="s">
        <v>209</v>
      </c>
      <c r="F81" s="39" t="s">
        <v>209</v>
      </c>
      <c r="G81" s="39" t="s">
        <v>209</v>
      </c>
      <c r="H81" s="39" t="s">
        <v>209</v>
      </c>
      <c r="I81" s="39" t="s">
        <v>209</v>
      </c>
      <c r="J81" s="169" t="s">
        <v>138</v>
      </c>
      <c r="K81" s="39" t="s">
        <v>497</v>
      </c>
      <c r="L81" s="116" t="s">
        <v>391</v>
      </c>
      <c r="M81" s="38" t="s">
        <v>138</v>
      </c>
      <c r="N81" s="116" t="s">
        <v>485</v>
      </c>
      <c r="O81" s="38" t="s">
        <v>138</v>
      </c>
      <c r="P81" s="38" t="s">
        <v>138</v>
      </c>
      <c r="Q81" s="12" t="s">
        <v>138</v>
      </c>
      <c r="R81" s="181" t="s">
        <v>138</v>
      </c>
      <c r="S81" s="181"/>
      <c r="T81" s="38" t="s">
        <v>138</v>
      </c>
      <c r="U81" s="38" t="s">
        <v>138</v>
      </c>
      <c r="V81" s="38" t="s">
        <v>138</v>
      </c>
      <c r="W81" s="45" t="s">
        <v>138</v>
      </c>
      <c r="X81">
        <f t="shared" si="27"/>
        <v>26</v>
      </c>
    </row>
    <row r="82" spans="2:27" x14ac:dyDescent="0.35">
      <c r="B82">
        <f t="shared" si="26"/>
        <v>27</v>
      </c>
      <c r="C82" s="236" t="str">
        <f t="shared" si="25"/>
        <v>Computers used for inference of AI models i.e. running finished models</v>
      </c>
      <c r="D82" s="268"/>
      <c r="E82" s="268"/>
      <c r="F82" s="268"/>
      <c r="G82" s="269"/>
      <c r="H82" s="269"/>
      <c r="I82" s="269"/>
      <c r="J82" s="237"/>
      <c r="K82" s="237"/>
      <c r="L82" s="269"/>
      <c r="M82" s="270"/>
      <c r="N82" s="269"/>
      <c r="O82" s="573"/>
      <c r="P82" s="270"/>
      <c r="Q82" s="270"/>
      <c r="R82" s="573"/>
      <c r="S82" s="573"/>
      <c r="T82" s="270"/>
      <c r="U82" s="270"/>
      <c r="V82" s="270"/>
      <c r="W82" s="272"/>
      <c r="X82">
        <f t="shared" si="27"/>
        <v>27</v>
      </c>
    </row>
    <row r="83" spans="2:27" x14ac:dyDescent="0.35">
      <c r="B83">
        <f t="shared" si="26"/>
        <v>28</v>
      </c>
      <c r="C83" s="23" t="str">
        <f t="shared" si="25"/>
        <v>GPT-4 inference cluster, 128*A100</v>
      </c>
      <c r="D83" t="s">
        <v>1124</v>
      </c>
      <c r="E83" s="170" t="s">
        <v>172</v>
      </c>
      <c r="F83" s="170" t="s">
        <v>172</v>
      </c>
      <c r="G83" s="39" t="s">
        <v>191</v>
      </c>
      <c r="H83" s="169" t="s">
        <v>236</v>
      </c>
      <c r="I83" s="39" t="s">
        <v>191</v>
      </c>
      <c r="J83" s="38" t="s">
        <v>138</v>
      </c>
      <c r="K83" s="38" t="s">
        <v>138</v>
      </c>
      <c r="L83" s="105" t="s">
        <v>191</v>
      </c>
      <c r="M83" s="38" t="s">
        <v>138</v>
      </c>
      <c r="N83" s="116" t="s">
        <v>485</v>
      </c>
      <c r="O83" s="38" t="s">
        <v>138</v>
      </c>
      <c r="P83" s="38" t="s">
        <v>138</v>
      </c>
      <c r="Q83" s="38" t="s">
        <v>138</v>
      </c>
      <c r="R83" s="117" t="s">
        <v>138</v>
      </c>
      <c r="S83" s="117"/>
      <c r="T83" s="38" t="s">
        <v>138</v>
      </c>
      <c r="U83" s="38" t="s">
        <v>138</v>
      </c>
      <c r="V83" s="38" t="s">
        <v>138</v>
      </c>
      <c r="W83" s="45" t="s">
        <v>138</v>
      </c>
      <c r="X83">
        <f t="shared" si="27"/>
        <v>28</v>
      </c>
      <c r="Z83" t="s">
        <v>167</v>
      </c>
      <c r="AA83" t="s">
        <v>45</v>
      </c>
    </row>
    <row r="84" spans="2:27" x14ac:dyDescent="0.35">
      <c r="B84">
        <f t="shared" si="26"/>
        <v>29</v>
      </c>
      <c r="C84" s="23" t="str">
        <f t="shared" si="25"/>
        <v xml:space="preserve">Tesla HW4 or AI4 </v>
      </c>
      <c r="D84" s="152" t="s">
        <v>63</v>
      </c>
      <c r="E84" s="152" t="s">
        <v>63</v>
      </c>
      <c r="F84" s="152" t="s">
        <v>515</v>
      </c>
      <c r="G84" s="152" t="s">
        <v>515</v>
      </c>
      <c r="H84" s="169" t="s">
        <v>236</v>
      </c>
      <c r="I84" s="152" t="s">
        <v>515</v>
      </c>
      <c r="J84" s="152" t="s">
        <v>515</v>
      </c>
      <c r="K84" s="152" t="s">
        <v>515</v>
      </c>
      <c r="L84" s="116" t="s">
        <v>516</v>
      </c>
      <c r="M84" s="152" t="s">
        <v>193</v>
      </c>
      <c r="N84" s="116" t="s">
        <v>485</v>
      </c>
      <c r="O84" t="s">
        <v>391</v>
      </c>
      <c r="P84" s="152" t="s">
        <v>64</v>
      </c>
      <c r="Q84" t="s">
        <v>45</v>
      </c>
      <c r="R84" s="163" t="s">
        <v>278</v>
      </c>
      <c r="S84" s="163"/>
      <c r="T84" s="38" t="s">
        <v>138</v>
      </c>
      <c r="U84" s="38" t="s">
        <v>138</v>
      </c>
      <c r="V84" s="38" t="s">
        <v>138</v>
      </c>
      <c r="W84" s="45" t="s">
        <v>138</v>
      </c>
      <c r="X84">
        <f t="shared" si="27"/>
        <v>29</v>
      </c>
    </row>
    <row r="85" spans="2:27" x14ac:dyDescent="0.35">
      <c r="B85">
        <f t="shared" si="26"/>
        <v>30</v>
      </c>
      <c r="C85" s="23" t="str">
        <f t="shared" si="25"/>
        <v>Nvidia drive Jetson Orin AGX 64GB</v>
      </c>
      <c r="D85" s="152" t="s">
        <v>71</v>
      </c>
      <c r="E85" s="152" t="s">
        <v>71</v>
      </c>
      <c r="F85" s="152" t="s">
        <v>71</v>
      </c>
      <c r="G85" s="152" t="s">
        <v>71</v>
      </c>
      <c r="H85" s="169" t="s">
        <v>236</v>
      </c>
      <c r="I85" s="169" t="s">
        <v>236</v>
      </c>
      <c r="J85" t="s">
        <v>138</v>
      </c>
      <c r="K85" s="38" t="s">
        <v>138</v>
      </c>
      <c r="L85" s="116" t="s">
        <v>138</v>
      </c>
      <c r="M85" s="38" t="s">
        <v>138</v>
      </c>
      <c r="N85" s="116" t="s">
        <v>485</v>
      </c>
      <c r="O85" s="38" t="s">
        <v>138</v>
      </c>
      <c r="P85" s="38" t="s">
        <v>138</v>
      </c>
      <c r="Q85" s="38" t="s">
        <v>138</v>
      </c>
      <c r="R85" s="117" t="s">
        <v>138</v>
      </c>
      <c r="S85" s="117"/>
      <c r="T85" s="38" t="s">
        <v>138</v>
      </c>
      <c r="U85" s="38" t="s">
        <v>138</v>
      </c>
      <c r="V85" s="38" t="s">
        <v>138</v>
      </c>
      <c r="W85" s="45" t="s">
        <v>138</v>
      </c>
      <c r="X85">
        <f t="shared" si="27"/>
        <v>30</v>
      </c>
    </row>
    <row r="86" spans="2:27" x14ac:dyDescent="0.35">
      <c r="B86">
        <f t="shared" si="26"/>
        <v>31</v>
      </c>
      <c r="C86" s="236" t="str">
        <f t="shared" si="25"/>
        <v>Comparing biological brains with existing supercomputers and likely forthcoming supercomputers</v>
      </c>
      <c r="D86" s="268"/>
      <c r="E86" s="268"/>
      <c r="F86" s="268"/>
      <c r="G86" s="269"/>
      <c r="H86" s="269"/>
      <c r="I86" s="268"/>
      <c r="J86" s="268"/>
      <c r="K86" s="269"/>
      <c r="L86" s="269"/>
      <c r="M86" s="269"/>
      <c r="N86" s="269"/>
      <c r="O86" s="270"/>
      <c r="P86" s="270"/>
      <c r="Q86" s="271"/>
      <c r="R86" s="245"/>
      <c r="S86" s="245"/>
      <c r="T86" s="270"/>
      <c r="U86" s="270"/>
      <c r="V86" s="270"/>
      <c r="W86" s="272"/>
      <c r="X86">
        <f t="shared" si="27"/>
        <v>31</v>
      </c>
    </row>
    <row r="87" spans="2:27" x14ac:dyDescent="0.35">
      <c r="B87">
        <f t="shared" si="26"/>
        <v>32</v>
      </c>
      <c r="C87" s="23" t="str">
        <f t="shared" si="25"/>
        <v>Human brain 100% functional simulation</v>
      </c>
      <c r="D87" s="328" t="s">
        <v>147</v>
      </c>
      <c r="E87" s="328"/>
      <c r="F87" s="321" t="s">
        <v>304</v>
      </c>
      <c r="G87" s="338" t="s">
        <v>45</v>
      </c>
      <c r="H87" s="328" t="s">
        <v>153</v>
      </c>
      <c r="I87" s="338" t="s">
        <v>45</v>
      </c>
      <c r="J87" s="328" t="s">
        <v>153</v>
      </c>
      <c r="K87" s="328" t="s">
        <v>170</v>
      </c>
      <c r="L87" s="116" t="s">
        <v>332</v>
      </c>
      <c r="M87" s="339" t="s">
        <v>332</v>
      </c>
      <c r="N87" s="116" t="s">
        <v>485</v>
      </c>
      <c r="O87" s="339" t="s">
        <v>267</v>
      </c>
      <c r="P87" s="340" t="s">
        <v>45</v>
      </c>
      <c r="Q87" s="341" t="s">
        <v>45</v>
      </c>
      <c r="R87" s="116" t="s">
        <v>332</v>
      </c>
      <c r="S87" s="116" t="s">
        <v>332</v>
      </c>
      <c r="T87" s="340" t="s">
        <v>45</v>
      </c>
      <c r="U87" s="342" t="s">
        <v>138</v>
      </c>
      <c r="V87" s="342" t="s">
        <v>138</v>
      </c>
      <c r="W87" s="343" t="s">
        <v>138</v>
      </c>
      <c r="X87">
        <f t="shared" si="27"/>
        <v>32</v>
      </c>
    </row>
    <row r="88" spans="2:27" x14ac:dyDescent="0.35">
      <c r="B88">
        <f t="shared" si="26"/>
        <v>33</v>
      </c>
      <c r="C88" s="23" t="str">
        <f t="shared" si="25"/>
        <v>Dog/wolf brain 4.1% of human brain</v>
      </c>
      <c r="D88" s="152" t="s">
        <v>1073</v>
      </c>
      <c r="E88" s="328" t="s">
        <v>1073</v>
      </c>
      <c r="F88" s="321" t="s">
        <v>304</v>
      </c>
      <c r="G88" s="338" t="s">
        <v>45</v>
      </c>
      <c r="H88" s="328" t="s">
        <v>153</v>
      </c>
      <c r="I88" s="338" t="s">
        <v>45</v>
      </c>
      <c r="J88" s="328" t="s">
        <v>153</v>
      </c>
      <c r="K88" s="339" t="s">
        <v>1125</v>
      </c>
      <c r="L88" s="116" t="s">
        <v>332</v>
      </c>
      <c r="M88" s="339" t="s">
        <v>332</v>
      </c>
      <c r="N88" s="116" t="s">
        <v>485</v>
      </c>
      <c r="O88" s="339" t="s">
        <v>267</v>
      </c>
      <c r="P88" s="340" t="s">
        <v>45</v>
      </c>
      <c r="Q88" s="341" t="s">
        <v>45</v>
      </c>
      <c r="R88" s="116" t="s">
        <v>332</v>
      </c>
      <c r="S88" s="116" t="s">
        <v>332</v>
      </c>
      <c r="T88" s="340" t="s">
        <v>45</v>
      </c>
      <c r="U88" s="342" t="s">
        <v>138</v>
      </c>
      <c r="V88" s="342" t="s">
        <v>138</v>
      </c>
      <c r="W88" s="343" t="s">
        <v>138</v>
      </c>
      <c r="X88">
        <f t="shared" si="27"/>
        <v>33</v>
      </c>
    </row>
    <row r="89" spans="2:27" x14ac:dyDescent="0.35">
      <c r="B89">
        <f t="shared" si="26"/>
        <v>34</v>
      </c>
      <c r="C89" s="23" t="str">
        <f t="shared" ref="C89:C91" si="28">C42</f>
        <v>Nvidia GB200 NVL72 training cluster</v>
      </c>
      <c r="D89" s="130" t="s">
        <v>236</v>
      </c>
      <c r="E89" s="130" t="s">
        <v>236</v>
      </c>
      <c r="F89" s="130" t="s">
        <v>236</v>
      </c>
      <c r="G89" s="130" t="s">
        <v>236</v>
      </c>
      <c r="H89" s="130" t="s">
        <v>236</v>
      </c>
      <c r="I89" s="130" t="s">
        <v>236</v>
      </c>
      <c r="J89" s="130" t="s">
        <v>236</v>
      </c>
      <c r="K89" s="130" t="s">
        <v>236</v>
      </c>
      <c r="L89" s="116" t="s">
        <v>236</v>
      </c>
      <c r="M89" s="130" t="s">
        <v>236</v>
      </c>
      <c r="N89" s="116" t="s">
        <v>236</v>
      </c>
      <c r="O89" s="130" t="s">
        <v>236</v>
      </c>
      <c r="P89" s="130" t="s">
        <v>236</v>
      </c>
      <c r="Q89" s="130" t="s">
        <v>236</v>
      </c>
      <c r="R89" s="116" t="s">
        <v>236</v>
      </c>
      <c r="S89" s="116" t="s">
        <v>236</v>
      </c>
      <c r="T89" s="130" t="s">
        <v>236</v>
      </c>
      <c r="U89" s="130" t="s">
        <v>236</v>
      </c>
      <c r="V89" s="130" t="s">
        <v>236</v>
      </c>
      <c r="W89" s="275" t="s">
        <v>236</v>
      </c>
      <c r="X89">
        <f t="shared" si="27"/>
        <v>34</v>
      </c>
    </row>
    <row r="90" spans="2:27" x14ac:dyDescent="0.35">
      <c r="B90">
        <f t="shared" si="26"/>
        <v>35</v>
      </c>
      <c r="C90" s="23" t="str">
        <f t="shared" si="28"/>
        <v>Min. AGI computer GB200 +40TB HBM</v>
      </c>
      <c r="D90" s="300" t="s">
        <v>911</v>
      </c>
      <c r="E90" s="300" t="s">
        <v>910</v>
      </c>
      <c r="F90" s="300" t="s">
        <v>236</v>
      </c>
      <c r="G90" s="300" t="s">
        <v>236</v>
      </c>
      <c r="H90" s="300" t="s">
        <v>236</v>
      </c>
      <c r="I90" s="300" t="s">
        <v>236</v>
      </c>
      <c r="J90" s="300" t="s">
        <v>236</v>
      </c>
      <c r="K90" s="300" t="s">
        <v>236</v>
      </c>
      <c r="L90" s="116" t="s">
        <v>236</v>
      </c>
      <c r="M90" s="300" t="s">
        <v>236</v>
      </c>
      <c r="N90" s="116" t="s">
        <v>236</v>
      </c>
      <c r="O90" s="300" t="s">
        <v>236</v>
      </c>
      <c r="P90" s="300" t="s">
        <v>236</v>
      </c>
      <c r="Q90" s="300" t="s">
        <v>236</v>
      </c>
      <c r="R90" s="116" t="s">
        <v>236</v>
      </c>
      <c r="S90" s="116" t="s">
        <v>236</v>
      </c>
      <c r="T90" s="300" t="s">
        <v>236</v>
      </c>
      <c r="U90" s="300" t="s">
        <v>236</v>
      </c>
      <c r="V90" s="300" t="s">
        <v>236</v>
      </c>
      <c r="W90" s="311" t="s">
        <v>236</v>
      </c>
      <c r="X90">
        <f t="shared" si="27"/>
        <v>35</v>
      </c>
    </row>
    <row r="91" spans="2:27" x14ac:dyDescent="0.35">
      <c r="B91">
        <f t="shared" si="26"/>
        <v>36</v>
      </c>
      <c r="C91" s="23" t="str">
        <f t="shared" si="28"/>
        <v>15, 4 TB SSD disks doing 7.4GB/s each</v>
      </c>
      <c r="D91" s="300" t="s">
        <v>1224</v>
      </c>
      <c r="E91" s="300" t="s">
        <v>236</v>
      </c>
      <c r="F91" s="300" t="s">
        <v>236</v>
      </c>
      <c r="G91" s="300"/>
      <c r="H91" s="1" t="s">
        <v>1223</v>
      </c>
      <c r="I91" s="1" t="s">
        <v>1223</v>
      </c>
      <c r="J91" s="1" t="s">
        <v>1223</v>
      </c>
      <c r="K91" s="1" t="s">
        <v>1223</v>
      </c>
      <c r="L91" s="116"/>
      <c r="M91" s="300" t="s">
        <v>236</v>
      </c>
      <c r="N91" s="116" t="s">
        <v>236</v>
      </c>
      <c r="O91" s="300" t="s">
        <v>236</v>
      </c>
      <c r="P91" s="300" t="s">
        <v>45</v>
      </c>
      <c r="Q91" s="300" t="s">
        <v>45</v>
      </c>
      <c r="R91" s="116" t="s">
        <v>45</v>
      </c>
      <c r="S91" s="116" t="s">
        <v>45</v>
      </c>
      <c r="T91" s="300" t="s">
        <v>45</v>
      </c>
      <c r="U91" s="300" t="s">
        <v>45</v>
      </c>
      <c r="V91" s="300" t="s">
        <v>45</v>
      </c>
      <c r="W91" s="311" t="s">
        <v>45</v>
      </c>
      <c r="X91">
        <f t="shared" si="27"/>
        <v>36</v>
      </c>
    </row>
    <row r="92" spans="2:27" ht="15" thickBot="1" x14ac:dyDescent="0.4">
      <c r="B92">
        <f t="shared" si="26"/>
        <v>37</v>
      </c>
      <c r="C92" s="27" t="str">
        <f>C45</f>
        <v>Artificial human beings - An artificial species capable of building their own technological civilization without any further help from biological humans</v>
      </c>
      <c r="D92" s="273" t="s">
        <v>303</v>
      </c>
      <c r="E92" s="273" t="s">
        <v>303</v>
      </c>
      <c r="F92" s="252" t="s">
        <v>914</v>
      </c>
      <c r="G92" s="252" t="s">
        <v>45</v>
      </c>
      <c r="H92" s="252" t="s">
        <v>904</v>
      </c>
      <c r="I92" s="252" t="s">
        <v>1126</v>
      </c>
      <c r="J92" s="252" t="s">
        <v>904</v>
      </c>
      <c r="K92" s="252" t="s">
        <v>904</v>
      </c>
      <c r="L92" s="183" t="s">
        <v>391</v>
      </c>
      <c r="M92" s="252" t="s">
        <v>332</v>
      </c>
      <c r="N92" s="183" t="s">
        <v>485</v>
      </c>
      <c r="O92" s="254" t="s">
        <v>45</v>
      </c>
      <c r="P92" s="252" t="s">
        <v>332</v>
      </c>
      <c r="Q92" s="252" t="s">
        <v>332</v>
      </c>
      <c r="R92" s="183" t="s">
        <v>332</v>
      </c>
      <c r="S92" s="183"/>
      <c r="T92" s="254" t="s">
        <v>138</v>
      </c>
      <c r="U92" s="254" t="s">
        <v>138</v>
      </c>
      <c r="V92" s="254" t="s">
        <v>138</v>
      </c>
      <c r="W92" s="256" t="s">
        <v>138</v>
      </c>
      <c r="X92">
        <f t="shared" si="27"/>
        <v>37</v>
      </c>
    </row>
    <row r="93" spans="2:27" ht="15.5" thickTop="1" thickBot="1" x14ac:dyDescent="0.4">
      <c r="B93">
        <f t="shared" si="26"/>
        <v>38</v>
      </c>
      <c r="C93" s="27" t="str">
        <f>C46</f>
        <v>Video file size for FHD1080p, 0.1fps for 16 years non-stop, H264 or 50 million FHD images &gt;Max size human memory?&lt;</v>
      </c>
      <c r="D93" s="563"/>
      <c r="E93" s="563"/>
      <c r="F93" s="562"/>
      <c r="G93" s="562"/>
      <c r="H93" s="562"/>
      <c r="I93" s="562"/>
      <c r="J93" s="562"/>
      <c r="K93" s="562"/>
      <c r="L93" s="562"/>
      <c r="M93" s="569" t="s">
        <v>332</v>
      </c>
      <c r="N93" s="562"/>
      <c r="O93" s="565"/>
      <c r="P93" s="562"/>
      <c r="Q93" s="562"/>
      <c r="R93" s="562"/>
      <c r="S93" s="562"/>
      <c r="T93" s="565"/>
      <c r="U93" s="565"/>
      <c r="V93" s="565"/>
      <c r="W93" s="566"/>
      <c r="X93">
        <f t="shared" si="27"/>
        <v>38</v>
      </c>
    </row>
    <row r="94" spans="2:27" ht="15" thickTop="1" x14ac:dyDescent="0.35">
      <c r="B94">
        <f t="shared" si="26"/>
        <v>39</v>
      </c>
      <c r="X94">
        <f t="shared" si="27"/>
        <v>39</v>
      </c>
    </row>
    <row r="107" spans="3:13" x14ac:dyDescent="0.35">
      <c r="C107" s="8"/>
    </row>
    <row r="108" spans="3:13" x14ac:dyDescent="0.35">
      <c r="C108" s="8"/>
      <c r="D108" s="152"/>
    </row>
    <row r="109" spans="3:13" x14ac:dyDescent="0.35">
      <c r="F109" s="8"/>
      <c r="I109" s="152"/>
    </row>
    <row r="110" spans="3:13" x14ac:dyDescent="0.35">
      <c r="F110" s="8"/>
    </row>
    <row r="111" spans="3:13" x14ac:dyDescent="0.35">
      <c r="F111" s="131"/>
      <c r="G111" s="12"/>
    </row>
    <row r="112" spans="3:13" x14ac:dyDescent="0.35">
      <c r="F112" s="131"/>
      <c r="G112" s="12"/>
      <c r="M112" s="8"/>
    </row>
    <row r="113" spans="3:10" x14ac:dyDescent="0.35">
      <c r="F113" s="131"/>
      <c r="G113" s="12"/>
      <c r="J113" s="152"/>
    </row>
    <row r="114" spans="3:10" x14ac:dyDescent="0.35">
      <c r="F114" s="131"/>
      <c r="G114" s="12"/>
      <c r="J114" s="152"/>
    </row>
    <row r="115" spans="3:10" x14ac:dyDescent="0.35">
      <c r="F115" s="12"/>
      <c r="G115" s="12"/>
      <c r="J115" s="152"/>
    </row>
    <row r="116" spans="3:10" x14ac:dyDescent="0.35">
      <c r="F116" s="12"/>
      <c r="G116" s="12"/>
      <c r="J116" s="152"/>
    </row>
    <row r="118" spans="3:10" x14ac:dyDescent="0.35">
      <c r="F118" s="12"/>
      <c r="G118" s="12"/>
    </row>
    <row r="119" spans="3:10" x14ac:dyDescent="0.35">
      <c r="F119" s="12"/>
      <c r="G119" s="12"/>
    </row>
    <row r="120" spans="3:10" x14ac:dyDescent="0.35">
      <c r="F120" s="12"/>
      <c r="G120" s="12"/>
    </row>
    <row r="121" spans="3:10" x14ac:dyDescent="0.35">
      <c r="F121" s="12"/>
      <c r="G121" s="12"/>
    </row>
    <row r="122" spans="3:10" x14ac:dyDescent="0.35">
      <c r="F122" s="12"/>
      <c r="G122" s="12"/>
    </row>
    <row r="123" spans="3:10" x14ac:dyDescent="0.35">
      <c r="C123" s="8"/>
    </row>
    <row r="124" spans="3:10" x14ac:dyDescent="0.35">
      <c r="D124" s="152"/>
    </row>
    <row r="125" spans="3:10" x14ac:dyDescent="0.35">
      <c r="F125" s="8"/>
      <c r="G125" s="8"/>
      <c r="H125" s="8"/>
      <c r="I125" s="8"/>
    </row>
    <row r="126" spans="3:10" x14ac:dyDescent="0.35">
      <c r="F126" s="8"/>
      <c r="G126" s="8"/>
      <c r="H126" s="8"/>
    </row>
    <row r="127" spans="3:10" x14ac:dyDescent="0.35">
      <c r="H127" s="131"/>
    </row>
    <row r="129" spans="4:7" x14ac:dyDescent="0.35">
      <c r="F129" s="152"/>
      <c r="G129" s="152"/>
    </row>
    <row r="131" spans="4:7" x14ac:dyDescent="0.35">
      <c r="D131" s="152"/>
    </row>
  </sheetData>
  <phoneticPr fontId="4" type="noConversion"/>
  <hyperlinks>
    <hyperlink ref="D57" r:id="rId1" xr:uid="{97073CAA-4918-4D40-ADA0-76B1BAD8CA30}"/>
    <hyperlink ref="E78" r:id="rId2" xr:uid="{852A09E7-7DBE-4E62-BF0A-1B58D7DAE1B9}"/>
    <hyperlink ref="AC2" r:id="rId3" xr:uid="{9491CDC2-E659-4BDB-BD66-CA5EC8707D58}"/>
    <hyperlink ref="D64" r:id="rId4" xr:uid="{B3166E38-AF33-48D5-A651-1280EEF49E94}"/>
    <hyperlink ref="E64" r:id="rId5" xr:uid="{C84FF0A1-0E82-4FFC-B35B-143967BC8496}"/>
    <hyperlink ref="G64:J64" r:id="rId6" display="https://en.wikipedia.org/wiki/Tesla_Dojo" xr:uid="{2A0510F1-F9FE-4DF7-86B6-2BB676A9589A}"/>
    <hyperlink ref="D78" r:id="rId7" xr:uid="{3664A37B-EC5C-4C5F-919D-3EB388E38CE3}"/>
    <hyperlink ref="Q78" r:id="rId8" xr:uid="{8FE55DF0-2B64-4252-800B-B42F9B101640}"/>
    <hyperlink ref="I78" r:id="rId9" xr:uid="{C33B5DA4-C0F8-4FC3-BE4D-887A13F3D3C5}"/>
    <hyperlink ref="H78" r:id="rId10" xr:uid="{DC44DB62-A672-4DB1-9D85-EB8B4CDF5E6E}"/>
    <hyperlink ref="P78" r:id="rId11" xr:uid="{C830E188-05CF-42B3-86BD-2D8CE57A69FA}"/>
    <hyperlink ref="M78" r:id="rId12" xr:uid="{C3AD38DC-4D7A-4792-818F-357CC4192771}"/>
    <hyperlink ref="M57" r:id="rId13" xr:uid="{08475DC6-3C0C-4437-8311-E2B06ACB2153}"/>
    <hyperlink ref="I57" r:id="rId14" xr:uid="{28524060-30F3-448C-8915-757CDF104BBD}"/>
    <hyperlink ref="H57" r:id="rId15" xr:uid="{58A0F25F-9B5C-4FB9-9D4A-067E5BB562CA}"/>
    <hyperlink ref="Q57" r:id="rId16" xr:uid="{48680C8B-1AE2-4D2A-A0F1-AC49E4C82E04}"/>
    <hyperlink ref="G77" r:id="rId17" xr:uid="{E1E6A597-D21C-4AD1-86E5-8BF426DD6EF5}"/>
    <hyperlink ref="E77" r:id="rId18" xr:uid="{44D68A3C-6F18-4C84-ABF6-B7A33832B071}"/>
    <hyperlink ref="M64" r:id="rId19" xr:uid="{989C9FB4-A5C8-4249-9D8E-A6762755E8AD}"/>
    <hyperlink ref="D81" r:id="rId20" xr:uid="{296FE5BB-2ABA-4CA8-8B79-1EE176489EEE}"/>
    <hyperlink ref="E81:I81" r:id="rId21" display="https://www.tomshardware.com/news/startup-builds-supercomputer-with-22000-nvidias-h100-compute-gpus" xr:uid="{D025B833-ACAB-41F2-95A8-AA9DC0206DED}"/>
    <hyperlink ref="D92" r:id="rId22" xr:uid="{13DE2428-5FA1-4CD6-9C2D-66DB738FB435}"/>
    <hyperlink ref="D77" r:id="rId23" xr:uid="{198349DB-1A97-45FE-AA4B-30DCD2CC426B}"/>
    <hyperlink ref="O77" r:id="rId24" xr:uid="{DAC15F2E-9113-409C-A5A7-9550B859D827}"/>
    <hyperlink ref="K77" r:id="rId25" xr:uid="{44887330-4152-4129-AFB6-5DA4FD86CA94}"/>
    <hyperlink ref="F77" r:id="rId26" xr:uid="{1CEEF87B-7C51-453C-964F-95EC93F5D5F0}"/>
    <hyperlink ref="Q77" r:id="rId27" xr:uid="{53388E71-0C0A-4F28-B58C-83D55428B8E2}"/>
    <hyperlink ref="D87" r:id="rId28" xr:uid="{4079349A-803D-4387-B728-C18C34EBD8EC}"/>
    <hyperlink ref="H87" r:id="rId29" xr:uid="{C2223223-FD55-428B-87FF-72621D2EE9A7}"/>
    <hyperlink ref="E92" r:id="rId30" xr:uid="{4BC4B772-EBFA-4E36-88F2-03CA8D9DEE00}"/>
    <hyperlink ref="J87" r:id="rId31" xr:uid="{595E8ACC-588B-465C-AF78-3EDD8164CA86}"/>
    <hyperlink ref="K87" r:id="rId32" xr:uid="{96130983-FEC1-4A16-BA48-AD26056BD093}"/>
    <hyperlink ref="H88" r:id="rId33" xr:uid="{CAB50DB6-5B6E-4E48-9A94-408BF80ED9A7}"/>
    <hyperlink ref="J88" r:id="rId34" xr:uid="{5ECC00AB-1F61-434B-9ABF-DBD4C9CD59FA}"/>
    <hyperlink ref="G62" r:id="rId35" xr:uid="{D0FFAC24-B8A5-4E54-AF90-ED7698C49DD9}"/>
    <hyperlink ref="I62" r:id="rId36" xr:uid="{AECB9171-445D-4C84-8EF1-2B2CF6728BB7}"/>
    <hyperlink ref="F62" r:id="rId37" xr:uid="{DA9C0038-FBBC-4B81-9039-FCB569FF7C72}"/>
    <hyperlink ref="K78" r:id="rId38" xr:uid="{CB1CBC7D-660E-407C-9A4A-BD129E61FCFF}"/>
    <hyperlink ref="E83:F83" r:id="rId39" display="https://en.wikipedia.org/wiki/GPT-4" xr:uid="{38D2DE39-7942-434E-912A-FB6322CD18B1}"/>
    <hyperlink ref="F83" r:id="rId40" xr:uid="{44879956-B2B1-44DE-BC27-74E660AE05FD}"/>
    <hyperlink ref="E83" r:id="rId41" xr:uid="{461B7718-F6DF-4490-82A7-3B03C37D0A0D}"/>
    <hyperlink ref="G83" r:id="rId42" xr:uid="{7AE733CB-D9B6-4394-ADF2-ECA98B06E12F}"/>
    <hyperlink ref="I83" r:id="rId43" xr:uid="{4B39D2FF-DB72-4B1D-884E-F5D24DE792A6}"/>
    <hyperlink ref="L83" r:id="rId44" xr:uid="{FE12DC52-71BB-40BC-98D5-0F12A35C8574}"/>
    <hyperlink ref="O78" r:id="rId45" xr:uid="{3DF92935-EF91-40E7-ACD9-0FFB598CC73E}"/>
    <hyperlink ref="K81" r:id="rId46" xr:uid="{CDB807F9-0915-4D56-9364-59379E2EDC42}"/>
    <hyperlink ref="D84" r:id="rId47" xr:uid="{15AFE7A5-181C-4DC9-B900-248CD17B723A}"/>
    <hyperlink ref="E84" r:id="rId48" xr:uid="{9ADAAB81-D2E0-4519-A382-1C4037190C5C}"/>
    <hyperlink ref="G84" r:id="rId49" location="Memory_controller?utm_content=cmp-true" xr:uid="{770FB5B2-DD36-4226-A1FF-BA384A803EA2}"/>
    <hyperlink ref="D62" r:id="rId50" xr:uid="{4A82A1D3-6F10-4F58-AE38-7C6C1C448F4A}"/>
    <hyperlink ref="W62" r:id="rId51" xr:uid="{47BAC3EB-6514-4ED3-ACC4-CF5DCD249EE0}"/>
    <hyperlink ref="V62" r:id="rId52" xr:uid="{4E05A348-A8A8-4174-B3A3-268611938BED}"/>
    <hyperlink ref="G65" r:id="rId53" xr:uid="{4CB1A2F4-35D5-4416-B72A-A0786FB38A29}"/>
    <hyperlink ref="F64" r:id="rId54" xr:uid="{CA3FCEF5-F2AD-4136-9566-084E699F0B5D}"/>
    <hyperlink ref="F84" r:id="rId55" location="Memory_controller?utm_content=cmp-true" xr:uid="{21AD2C50-5476-4837-A415-A3E45B585C02}"/>
    <hyperlink ref="I84:J84" r:id="rId56" location="Memory_controller?utm_content=cmp-true" display="https://en.wikichip.org/wiki/tesla_(car_company)/fsd_chip#Memory_controller?utm_content=cmp-true" xr:uid="{7E741B65-9200-426C-8AFA-9709E1505BC9}"/>
    <hyperlink ref="D65" r:id="rId57" xr:uid="{42000859-BEEC-4B91-BAFB-B48A5B007E8A}"/>
    <hyperlink ref="E65" r:id="rId58" xr:uid="{ED2689D1-8D98-47C7-9D78-D8B634C710BB}"/>
    <hyperlink ref="F65" r:id="rId59" xr:uid="{334A777D-D946-4447-B604-9D16755A119E}"/>
    <hyperlink ref="I65" r:id="rId60" xr:uid="{F905DE50-9AB5-4590-A07A-8A6DCE4AF590}"/>
    <hyperlink ref="R67" r:id="rId61" xr:uid="{24F513DB-8E0D-49E9-BE26-B1377F44BED6}"/>
    <hyperlink ref="O67" r:id="rId62" xr:uid="{DE3DC3D0-B9B4-429C-AF0E-EFF0C11CB7B2}"/>
    <hyperlink ref="D67" r:id="rId63" xr:uid="{1C5BEDAC-B8C8-40E1-8EFC-7C6EC7EE204E}"/>
    <hyperlink ref="E67" r:id="rId64" xr:uid="{5311EB46-78F4-4538-84F3-4D9CBE5014B0}"/>
    <hyperlink ref="D73" r:id="rId65" xr:uid="{C15E23C0-D68F-470A-A57E-2712C8CD5FA6}"/>
    <hyperlink ref="R73" r:id="rId66" xr:uid="{8A6E5F88-8C5F-49DD-A973-8A6D44A81AC7}"/>
    <hyperlink ref="E73:F73" r:id="rId67" display="https://www.tomshardware.com/news/google-a3-supercomputer-h100-googleio" xr:uid="{9220DA8E-675B-4AA1-A7C0-3BE6C4B2F244}"/>
    <hyperlink ref="G74" r:id="rId68" xr:uid="{7E154624-4CC8-4369-9B50-F6F3C0D4318C}"/>
    <hyperlink ref="D74" r:id="rId69" xr:uid="{186A0B8B-ACA1-4AE5-89AC-E91A12D7E27D}"/>
    <hyperlink ref="E74:F74" r:id="rId70" display="https://stability.ai/about" xr:uid="{0023280B-5433-4DFB-A0E9-12703E05C5DC}"/>
    <hyperlink ref="I74" r:id="rId71" xr:uid="{DEBBAEEC-7A6A-4E1E-AA9E-6AE06D5AA4B7}"/>
    <hyperlink ref="K74" r:id="rId72" xr:uid="{49E9B061-65E2-41BB-A2A5-81CC86CFF0A7}"/>
    <hyperlink ref="I72" r:id="rId73" xr:uid="{E9F91C35-8536-439E-932B-AA0AA7287164}"/>
    <hyperlink ref="G76" r:id="rId74" xr:uid="{1BF7E1E5-207B-482E-9AF9-EC15360FD820}"/>
    <hyperlink ref="D76" r:id="rId75" xr:uid="{B3763669-37E0-4D61-A252-D083CEBED18D}"/>
    <hyperlink ref="E76:F76" r:id="rId76" display="https://stability.ai/about" xr:uid="{411FAF4C-C08E-49B6-9ADE-68924D0F3B2E}"/>
    <hyperlink ref="I76" r:id="rId77" xr:uid="{A40BAF64-CC8E-47E5-BB2D-97DA03E6C25C}"/>
    <hyperlink ref="K76" r:id="rId78" display="https://youtu.be/1WOjjgyZPj8?si=_G-vzWiiSfFmYcEz&amp;t=4488" xr:uid="{2EBA74B2-F01E-460F-99A3-F622C9FEC726}"/>
    <hyperlink ref="D75" r:id="rId79" xr:uid="{5E6F1301-DE5F-4052-841F-09AC855A647C}"/>
    <hyperlink ref="G75" r:id="rId80" xr:uid="{8FB188D4-12F1-49BB-B43F-389A2150A9E6}"/>
    <hyperlink ref="F75" r:id="rId81" xr:uid="{8BC57B17-AE4D-4477-9E6C-7002F845DE61}"/>
    <hyperlink ref="E75" r:id="rId82" xr:uid="{399A3F54-D9C5-43ED-8715-A2E26D723BFF}"/>
    <hyperlink ref="I75" r:id="rId83" xr:uid="{E786E0B0-8CE5-402E-BD02-B8D277663BE5}"/>
    <hyperlink ref="M58" r:id="rId84" xr:uid="{5D0A8864-FAD2-4428-8C4E-07CDA37599CF}"/>
    <hyperlink ref="G59" r:id="rId85" xr:uid="{D6136FB3-37F4-409F-B840-C078E3DF794D}"/>
    <hyperlink ref="D59" r:id="rId86" xr:uid="{4D9D0DFD-80ED-4109-BBFB-9689ADB4A8EC}"/>
    <hyperlink ref="E61" r:id="rId87" xr:uid="{2B46D30D-17BA-4DC3-967E-0432FE96AB66}"/>
    <hyperlink ref="F61" r:id="rId88" xr:uid="{AACB36A8-B7DE-42C2-82C7-247657B61BA7}"/>
    <hyperlink ref="I61" r:id="rId89" xr:uid="{DAB15E9D-3D49-4370-BDC6-C0BEA8387BA4}"/>
    <hyperlink ref="Q60" r:id="rId90" xr:uid="{03235893-541F-48CF-A3E8-7B3AC6ED47C4}"/>
    <hyperlink ref="Q61" r:id="rId91" xr:uid="{182937CA-FD28-438C-B21E-8EDBB48B0ACE}"/>
    <hyperlink ref="D58" r:id="rId92" xr:uid="{2876B6A4-3A62-46C3-8064-7FC310D70877}"/>
    <hyperlink ref="E58" r:id="rId93" xr:uid="{64D6B60F-026E-42E7-80B0-78F5CE177B90}"/>
    <hyperlink ref="E57" r:id="rId94" xr:uid="{54302B85-3DB5-4125-B1E9-FB17080633DB}"/>
    <hyperlink ref="M79" r:id="rId95" xr:uid="{DD125F58-6538-44B2-9927-1A98F8A41E93}"/>
    <hyperlink ref="O3" r:id="rId96" xr:uid="{9D15F2A2-DC2E-4106-9C9D-EC9C917679D7}"/>
    <hyperlink ref="P84" r:id="rId97" xr:uid="{D94164E4-8406-4B67-AD91-7AEF1D62BD39}"/>
    <hyperlink ref="R84" r:id="rId98" location="CPU" xr:uid="{A77FA090-B343-431E-8700-3FADFE88A3DF}"/>
    <hyperlink ref="M84" r:id="rId99" location="Memory_controller" xr:uid="{792E4888-CA29-40E0-9514-ECB1D7778AF4}"/>
    <hyperlink ref="K84" r:id="rId100" location="Memory_controller?utm_content=cmp-true" xr:uid="{3C8542D8-F718-4EA6-A8E8-29B3249AB994}"/>
    <hyperlink ref="D70" r:id="rId101" xr:uid="{99C03BA7-357C-46B6-8A4D-F4877E2469EA}"/>
    <hyperlink ref="I69" r:id="rId102" xr:uid="{C5731BED-9879-4203-B0B8-F9196129A8DE}"/>
    <hyperlink ref="I70" r:id="rId103" xr:uid="{663314E0-A465-419F-BDDE-8B407E35594B}"/>
    <hyperlink ref="D88" r:id="rId104" xr:uid="{145C0CB4-B0DE-4D8E-ABF2-BDEF6E6D2A6E}"/>
    <hyperlink ref="E88" r:id="rId105" xr:uid="{ABB1E88F-096C-4DED-8C85-389043DA51AA}"/>
  </hyperlinks>
  <pageMargins left="0.7" right="0.7" top="0.75" bottom="0.75" header="0.3" footer="0.3"/>
  <pageSetup paperSize="9" orientation="portrait" verticalDpi="0" r:id="rId10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01B16-6004-41AF-82A7-7495823E751A}">
  <dimension ref="A1:AU93"/>
  <sheetViews>
    <sheetView workbookViewId="0">
      <pane xSplit="2" ySplit="11" topLeftCell="C12" activePane="bottomRight" state="frozen"/>
      <selection pane="topRight" activeCell="C1" sqref="C1"/>
      <selection pane="bottomLeft" activeCell="A13" sqref="A13"/>
      <selection pane="bottomRight" activeCell="O17" sqref="O17"/>
    </sheetView>
  </sheetViews>
  <sheetFormatPr defaultRowHeight="14.5" x14ac:dyDescent="0.35"/>
  <cols>
    <col min="1" max="1" width="5.7265625" customWidth="1"/>
    <col min="2" max="2" width="5.453125" customWidth="1"/>
    <col min="3" max="3" width="23.7265625" customWidth="1"/>
    <col min="4" max="4" width="11.26953125" customWidth="1"/>
    <col min="5" max="5" width="9.6328125" customWidth="1"/>
    <col min="6" max="6" width="11.453125" customWidth="1"/>
    <col min="7" max="7" width="10.1796875" customWidth="1"/>
    <col min="8" max="8" width="12.54296875" customWidth="1"/>
    <col min="9" max="9" width="11.81640625" customWidth="1"/>
    <col min="10" max="10" width="11.453125" customWidth="1"/>
    <col min="11" max="11" width="10.81640625" customWidth="1"/>
    <col min="12" max="12" width="10.36328125" customWidth="1"/>
    <col min="13" max="13" width="8.453125" customWidth="1"/>
    <col min="14" max="14" width="8.81640625" customWidth="1"/>
    <col min="15" max="15" width="9.7265625" customWidth="1"/>
    <col min="16" max="16" width="10.6328125" customWidth="1"/>
    <col min="17" max="17" width="10.81640625" customWidth="1"/>
    <col min="18" max="18" width="13" customWidth="1"/>
    <col min="19" max="19" width="9.7265625" customWidth="1"/>
    <col min="20" max="20" width="10.90625" customWidth="1"/>
    <col min="21" max="21" width="13.6328125" customWidth="1"/>
    <col min="22" max="22" width="15.453125" customWidth="1"/>
    <col min="23" max="23" width="14.81640625" customWidth="1"/>
    <col min="24" max="24" width="6.6328125" customWidth="1"/>
    <col min="25" max="25" width="22.7265625" customWidth="1"/>
    <col min="26" max="26" width="7.26953125" customWidth="1"/>
    <col min="27" max="27" width="9.08984375" customWidth="1"/>
    <col min="28" max="28" width="3.90625" customWidth="1"/>
    <col min="29" max="29" width="5.453125" customWidth="1"/>
    <col min="30" max="30" width="23.54296875" customWidth="1"/>
    <col min="31" max="31" width="11.7265625" customWidth="1"/>
    <col min="32" max="32" width="9" customWidth="1"/>
    <col min="33" max="33" width="10.36328125" customWidth="1"/>
    <col min="34" max="34" width="10.08984375" customWidth="1"/>
    <col min="35" max="35" width="11.1796875" customWidth="1"/>
    <col min="36" max="36" width="12.1796875" customWidth="1"/>
    <col min="37" max="37" width="11" customWidth="1"/>
    <col min="38" max="38" width="9.7265625" customWidth="1"/>
    <col min="39" max="39" width="8.26953125" customWidth="1"/>
    <col min="40" max="40" width="9.26953125" customWidth="1"/>
    <col min="41" max="41" width="10.453125" customWidth="1"/>
    <col min="42" max="42" width="10.90625" customWidth="1"/>
    <col min="43" max="43" width="12.90625" customWidth="1"/>
    <col min="44" max="44" width="10.54296875" customWidth="1"/>
    <col min="45" max="45" width="13.36328125" customWidth="1"/>
    <col min="46" max="46" width="15" customWidth="1"/>
    <col min="47" max="47" width="14" customWidth="1"/>
  </cols>
  <sheetData>
    <row r="1" spans="1:29" ht="28.5" x14ac:dyDescent="0.65">
      <c r="A1" s="9" t="str">
        <f>AI_Models!A1</f>
        <v>New AI chips by Nvidia will cause Russia to lose war in Ukraine #72/99</v>
      </c>
    </row>
    <row r="2" spans="1:29" ht="15.5" x14ac:dyDescent="0.35">
      <c r="A2" s="10" t="str">
        <f>KeyChips!A2</f>
        <v>Proprietary. © H. Mathiesen. This material can be used by others free of charge provided that the author H. Mathiesen is attributed and a clickable link is made visible to the location of used material on www.hmexperience.dk</v>
      </c>
      <c r="Y2" s="2">
        <v>1000</v>
      </c>
      <c r="Z2" t="s">
        <v>408</v>
      </c>
      <c r="AA2" t="s">
        <v>407</v>
      </c>
      <c r="AB2" s="14" t="s">
        <v>129</v>
      </c>
      <c r="AC2" t="s">
        <v>45</v>
      </c>
    </row>
    <row r="3" spans="1:29" ht="15.5" x14ac:dyDescent="0.35">
      <c r="A3" s="615" t="str">
        <f>AI_Models!A3</f>
        <v>Links to all sources are available in sources table below</v>
      </c>
      <c r="B3" s="616"/>
      <c r="C3" s="616"/>
      <c r="D3" s="616"/>
      <c r="E3" s="616"/>
      <c r="O3" s="131">
        <f>AI_Supercomputers!T3</f>
        <v>2.0129870129870131</v>
      </c>
      <c r="P3" t="s">
        <v>200</v>
      </c>
      <c r="Q3" s="131">
        <f>1/0.3</f>
        <v>3.3333333333333335</v>
      </c>
      <c r="R3" s="12" t="s">
        <v>1208</v>
      </c>
      <c r="S3" s="131"/>
      <c r="Y3" s="2">
        <v>1000000</v>
      </c>
      <c r="Z3" t="s">
        <v>331</v>
      </c>
      <c r="AA3" t="s">
        <v>385</v>
      </c>
    </row>
    <row r="4" spans="1:29" ht="24" thickBot="1" x14ac:dyDescent="0.6">
      <c r="B4" s="30" t="s">
        <v>1030</v>
      </c>
      <c r="C4" s="31"/>
      <c r="D4" s="31"/>
      <c r="E4" s="31"/>
      <c r="F4" s="31"/>
      <c r="G4" s="31"/>
      <c r="H4" s="31"/>
      <c r="I4" s="31"/>
      <c r="J4" s="31"/>
      <c r="K4" s="31"/>
      <c r="L4" s="31"/>
      <c r="M4" s="31"/>
      <c r="N4" s="31"/>
      <c r="O4" s="31"/>
      <c r="P4" s="31"/>
      <c r="Q4" s="31"/>
      <c r="R4" s="31"/>
      <c r="S4" s="31"/>
      <c r="T4" s="31"/>
      <c r="U4" s="31"/>
      <c r="V4" s="31"/>
      <c r="W4" s="31"/>
      <c r="X4" s="31"/>
      <c r="Y4" s="2">
        <v>1000000000</v>
      </c>
      <c r="Z4" t="s">
        <v>242</v>
      </c>
      <c r="AA4" t="s">
        <v>241</v>
      </c>
    </row>
    <row r="5" spans="1:29" ht="15" thickTop="1" x14ac:dyDescent="0.35">
      <c r="B5" s="83" t="s">
        <v>7</v>
      </c>
      <c r="C5" s="19" t="s">
        <v>1003</v>
      </c>
      <c r="D5" s="84" t="s">
        <v>244</v>
      </c>
      <c r="E5" s="84" t="s">
        <v>527</v>
      </c>
      <c r="F5" s="84" t="s">
        <v>527</v>
      </c>
      <c r="G5" s="84" t="s">
        <v>527</v>
      </c>
      <c r="H5" s="84" t="s">
        <v>1037</v>
      </c>
      <c r="I5" s="84" t="s">
        <v>1036</v>
      </c>
      <c r="J5" s="84" t="s">
        <v>996</v>
      </c>
      <c r="K5" s="84" t="s">
        <v>986</v>
      </c>
      <c r="L5" s="84" t="s">
        <v>998</v>
      </c>
      <c r="M5" s="84" t="s">
        <v>409</v>
      </c>
      <c r="N5" s="197" t="s">
        <v>961</v>
      </c>
      <c r="O5" s="84" t="s">
        <v>1002</v>
      </c>
      <c r="P5" s="84" t="s">
        <v>593</v>
      </c>
      <c r="Q5" s="84" t="s">
        <v>1210</v>
      </c>
      <c r="R5" s="84" t="s">
        <v>397</v>
      </c>
      <c r="S5" s="84" t="s">
        <v>318</v>
      </c>
      <c r="T5" s="84" t="s">
        <v>1026</v>
      </c>
      <c r="U5" s="197" t="s">
        <v>581</v>
      </c>
      <c r="V5" s="197" t="s">
        <v>935</v>
      </c>
      <c r="W5" s="85" t="s">
        <v>1027</v>
      </c>
      <c r="Y5" s="2">
        <v>1000000000000</v>
      </c>
      <c r="Z5" t="s">
        <v>130</v>
      </c>
      <c r="AA5" t="s">
        <v>127</v>
      </c>
    </row>
    <row r="6" spans="1:29" x14ac:dyDescent="0.35">
      <c r="B6" s="21">
        <v>1993</v>
      </c>
      <c r="C6" s="13" t="s">
        <v>942</v>
      </c>
      <c r="D6" s="186">
        <v>0.124</v>
      </c>
      <c r="E6" s="135" t="s">
        <v>26</v>
      </c>
      <c r="F6" s="136" t="s">
        <v>973</v>
      </c>
      <c r="G6" s="136" t="s">
        <v>752</v>
      </c>
      <c r="H6" s="137" t="s">
        <v>398</v>
      </c>
      <c r="I6" s="136" t="s">
        <v>1038</v>
      </c>
      <c r="J6" s="136" t="s">
        <v>997</v>
      </c>
      <c r="K6" s="136" t="s">
        <v>573</v>
      </c>
      <c r="L6" s="136" t="s">
        <v>1004</v>
      </c>
      <c r="M6" s="136" t="s">
        <v>1000</v>
      </c>
      <c r="N6" s="207" t="s">
        <v>962</v>
      </c>
      <c r="O6" s="135" t="s">
        <v>1001</v>
      </c>
      <c r="P6" s="135" t="s">
        <v>1204</v>
      </c>
      <c r="Q6" s="135" t="s">
        <v>1202</v>
      </c>
      <c r="R6" s="137" t="s">
        <v>398</v>
      </c>
      <c r="S6" s="165" t="s">
        <v>1011</v>
      </c>
      <c r="T6" s="165" t="s">
        <v>1211</v>
      </c>
      <c r="U6" s="198" t="s">
        <v>580</v>
      </c>
      <c r="V6" s="198" t="s">
        <v>936</v>
      </c>
      <c r="W6" s="166" t="s">
        <v>1028</v>
      </c>
      <c r="Y6" s="2">
        <v>1000000000000000</v>
      </c>
      <c r="Z6" t="s">
        <v>150</v>
      </c>
      <c r="AA6" t="s">
        <v>149</v>
      </c>
    </row>
    <row r="7" spans="1:29" ht="15" thickBot="1" x14ac:dyDescent="0.4">
      <c r="B7" s="21">
        <v>2023</v>
      </c>
      <c r="C7" s="13" t="str">
        <f>C14</f>
        <v>Tesla, H100</v>
      </c>
      <c r="D7" s="186">
        <f>E14*Y3</f>
        <v>670000</v>
      </c>
      <c r="E7" s="142" t="s">
        <v>995</v>
      </c>
      <c r="F7" s="142" t="s">
        <v>995</v>
      </c>
      <c r="G7" s="142" t="s">
        <v>995</v>
      </c>
      <c r="H7" s="137" t="s">
        <v>1039</v>
      </c>
      <c r="I7" s="137" t="s">
        <v>1037</v>
      </c>
      <c r="J7" s="137" t="s">
        <v>995</v>
      </c>
      <c r="K7" s="137" t="s">
        <v>584</v>
      </c>
      <c r="L7" s="136" t="s">
        <v>465</v>
      </c>
      <c r="M7" s="136" t="s">
        <v>999</v>
      </c>
      <c r="N7" s="208" t="s">
        <v>949</v>
      </c>
      <c r="O7" s="135" t="s">
        <v>995</v>
      </c>
      <c r="P7" s="135" t="s">
        <v>1203</v>
      </c>
      <c r="Q7" s="135" t="s">
        <v>1209</v>
      </c>
      <c r="R7" s="137" t="s">
        <v>574</v>
      </c>
      <c r="S7" s="142" t="s">
        <v>584</v>
      </c>
      <c r="T7" s="165" t="s">
        <v>1212</v>
      </c>
      <c r="U7" s="167">
        <f>AI_Models!I67</f>
        <v>40864</v>
      </c>
      <c r="V7" s="142">
        <f>AI_Models!I110</f>
        <v>12900</v>
      </c>
      <c r="W7" s="168" t="s">
        <v>1006</v>
      </c>
      <c r="X7" s="490">
        <v>8.3000000000000001E-3</v>
      </c>
      <c r="Y7" s="2">
        <v>1E+18</v>
      </c>
      <c r="Z7" t="s">
        <v>131</v>
      </c>
      <c r="AA7" t="s">
        <v>128</v>
      </c>
    </row>
    <row r="8" spans="1:29" ht="15" thickTop="1" x14ac:dyDescent="0.35">
      <c r="B8" s="433" t="s">
        <v>1015</v>
      </c>
      <c r="C8" s="443"/>
      <c r="D8" s="491">
        <f>((D7/D6)^(1/($B7-$B6)))-1</f>
        <v>0.67657030812935703</v>
      </c>
      <c r="E8" s="499" t="s">
        <v>45</v>
      </c>
      <c r="F8" s="499" t="s">
        <v>45</v>
      </c>
      <c r="G8" s="499" t="s">
        <v>45</v>
      </c>
      <c r="H8" s="499" t="s">
        <v>45</v>
      </c>
      <c r="I8" s="499" t="s">
        <v>45</v>
      </c>
      <c r="J8" s="499" t="s">
        <v>45</v>
      </c>
      <c r="K8" s="499" t="s">
        <v>45</v>
      </c>
      <c r="L8" s="499" t="s">
        <v>45</v>
      </c>
      <c r="M8" s="499" t="s">
        <v>45</v>
      </c>
      <c r="N8" s="499" t="s">
        <v>45</v>
      </c>
      <c r="O8" s="499" t="s">
        <v>45</v>
      </c>
      <c r="P8" s="499" t="s">
        <v>45</v>
      </c>
      <c r="Q8" s="499" t="s">
        <v>45</v>
      </c>
      <c r="R8" s="499" t="s">
        <v>45</v>
      </c>
      <c r="S8" s="499" t="s">
        <v>45</v>
      </c>
      <c r="T8" s="499" t="s">
        <v>45</v>
      </c>
      <c r="U8" s="499" t="s">
        <v>45</v>
      </c>
      <c r="V8" s="499" t="s">
        <v>45</v>
      </c>
      <c r="W8" s="435" t="s">
        <v>45</v>
      </c>
    </row>
    <row r="9" spans="1:29" x14ac:dyDescent="0.35">
      <c r="B9" s="426" t="s">
        <v>1008</v>
      </c>
      <c r="C9" s="110"/>
      <c r="D9" s="498" t="s">
        <v>45</v>
      </c>
      <c r="E9" s="421">
        <f>((E20/E14)^(1/($B20-$B14)))-1</f>
        <v>1.6329294958601404</v>
      </c>
      <c r="F9" s="421">
        <f>((F20/F14)^(1/($B20-$B14)))-1</f>
        <v>1.9252656649632458</v>
      </c>
      <c r="G9" s="498" t="s">
        <v>45</v>
      </c>
      <c r="H9" s="498" t="s">
        <v>45</v>
      </c>
      <c r="I9" s="498" t="s">
        <v>45</v>
      </c>
      <c r="J9" s="421">
        <f t="shared" ref="J9:U9" si="0">((J20/J14)^(1/($B20-$B14)))-1</f>
        <v>0.89609623132278227</v>
      </c>
      <c r="K9" s="421">
        <f t="shared" si="0"/>
        <v>8.8866888787002996E-2</v>
      </c>
      <c r="L9" s="421">
        <f t="shared" si="0"/>
        <v>1.0645964042411995</v>
      </c>
      <c r="M9" s="498" t="s">
        <v>45</v>
      </c>
      <c r="N9" s="421">
        <f t="shared" si="0"/>
        <v>0.29091831925428391</v>
      </c>
      <c r="O9" s="421">
        <f t="shared" si="0"/>
        <v>1.4477053600835883</v>
      </c>
      <c r="P9" s="421">
        <f>((P20/P14)^(1/($B20-$B14)))-1</f>
        <v>-5.0000000000000044E-2</v>
      </c>
      <c r="Q9" s="421">
        <f>((Q20/Q14)^(1/($B20-$B14)))-1</f>
        <v>1.3253200920794086</v>
      </c>
      <c r="R9" s="498" t="s">
        <v>45</v>
      </c>
      <c r="S9" s="421">
        <f t="shared" ref="S9" si="1">((S20/S14)^(1/($B20-$B14)))-1</f>
        <v>0.71221468546646571</v>
      </c>
      <c r="T9" s="421">
        <f t="shared" si="0"/>
        <v>2.2465238123284887</v>
      </c>
      <c r="U9" s="421">
        <f t="shared" si="0"/>
        <v>2.2465238123284887</v>
      </c>
      <c r="V9" s="421">
        <f>((V20/V14)^(1/($B20-$B14)))-1</f>
        <v>2.2834996901437252</v>
      </c>
      <c r="W9" s="432">
        <f>((W20/W14)^(1/($B20-$B14)))-1</f>
        <v>8.2999999999999741E-3</v>
      </c>
    </row>
    <row r="10" spans="1:29" x14ac:dyDescent="0.35">
      <c r="B10" s="426" t="s">
        <v>1009</v>
      </c>
      <c r="C10" s="110"/>
      <c r="D10" s="498" t="s">
        <v>45</v>
      </c>
      <c r="E10" s="421">
        <f>((E36/E20)^(1/($B36-$B20)))-1</f>
        <v>0.41769400847921179</v>
      </c>
      <c r="F10" s="421">
        <f>((F36/F20)^(1/($B36-$B20)))-1</f>
        <v>0.41769400847921179</v>
      </c>
      <c r="G10" s="421">
        <f t="shared" ref="G10:U10" si="2">((G36/G20)^(1/($B36-$B20)))-1</f>
        <v>0.41769400847921179</v>
      </c>
      <c r="H10" s="498" t="s">
        <v>45</v>
      </c>
      <c r="I10" s="421">
        <f t="shared" si="2"/>
        <v>0.15649970813506164</v>
      </c>
      <c r="J10" s="421">
        <f t="shared" si="2"/>
        <v>0.22584899806446534</v>
      </c>
      <c r="K10" s="421">
        <f t="shared" si="2"/>
        <v>-0.11351690916505208</v>
      </c>
      <c r="L10" s="421">
        <f t="shared" si="2"/>
        <v>8.6694408701111225E-2</v>
      </c>
      <c r="M10" s="498" t="s">
        <v>45</v>
      </c>
      <c r="N10" s="421">
        <f t="shared" si="2"/>
        <v>4.6602372183207397E-2</v>
      </c>
      <c r="O10" s="421">
        <f t="shared" si="2"/>
        <v>0.28297646931267728</v>
      </c>
      <c r="P10" s="421">
        <f>((P36/P20)^(1/($B36-$B20)))-1</f>
        <v>-5.0000000000000044E-2</v>
      </c>
      <c r="Q10" s="421">
        <f>((Q36/Q20)^(1/($B36-$B20)))-1</f>
        <v>0.21882764584704351</v>
      </c>
      <c r="R10" s="498" t="s">
        <v>45</v>
      </c>
      <c r="S10" s="421">
        <f t="shared" ref="S10" si="3">((S36/S20)^(1/($B36-$B20)))-1</f>
        <v>0.22007445709997464</v>
      </c>
      <c r="T10" s="421">
        <f t="shared" si="2"/>
        <v>0.49562705080005021</v>
      </c>
      <c r="U10" s="421">
        <f t="shared" si="2"/>
        <v>0.49562705080005021</v>
      </c>
      <c r="V10" s="421">
        <f>((V36/V20)^(1/($B36-$B20)))-1</f>
        <v>0.41769400847921179</v>
      </c>
      <c r="W10" s="432">
        <f>((W36/W20)^(1/($B36-$B20)))-1</f>
        <v>8.2999999999999741E-3</v>
      </c>
    </row>
    <row r="11" spans="1:29" ht="15" thickBot="1" x14ac:dyDescent="0.4">
      <c r="B11" s="73" t="s">
        <v>1024</v>
      </c>
      <c r="C11" s="82"/>
      <c r="D11" s="366" t="s">
        <v>45</v>
      </c>
      <c r="E11" s="95">
        <f>((E36/E14)^(1/($B36-$B14)))-1</f>
        <v>0.67844481008172641</v>
      </c>
      <c r="F11" s="95">
        <f t="shared" ref="F11:V11" si="4">((F36/F14)^(1/($B36-$B14)))-1</f>
        <v>0.72733994269252111</v>
      </c>
      <c r="G11" s="366" t="s">
        <v>45</v>
      </c>
      <c r="H11" s="366" t="s">
        <v>45</v>
      </c>
      <c r="I11" s="366" t="s">
        <v>45</v>
      </c>
      <c r="J11" s="95">
        <f t="shared" si="4"/>
        <v>0.38069548069211057</v>
      </c>
      <c r="K11" s="95">
        <f t="shared" si="4"/>
        <v>-6.2381465010988957E-2</v>
      </c>
      <c r="L11" s="95">
        <f t="shared" si="4"/>
        <v>0.29456567387248511</v>
      </c>
      <c r="M11" s="366" t="s">
        <v>45</v>
      </c>
      <c r="N11" s="95">
        <f t="shared" si="4"/>
        <v>0.10823489088237515</v>
      </c>
      <c r="O11" s="95">
        <f t="shared" si="4"/>
        <v>0.53013490538660957</v>
      </c>
      <c r="P11" s="95">
        <f>((P36/P14)^(1/($B36-$B14)))-1</f>
        <v>-5.0000000000000044E-2</v>
      </c>
      <c r="Q11" s="95">
        <f>((Q36/Q14)^(1/($B36-$B14)))-1</f>
        <v>0.45362816011727891</v>
      </c>
      <c r="R11" s="366" t="s">
        <v>45</v>
      </c>
      <c r="S11" s="95">
        <f t="shared" ref="S11" si="5">((S36/S14)^(1/($B36-$B14)))-1</f>
        <v>0.33820953872965931</v>
      </c>
      <c r="T11" s="95">
        <f t="shared" si="4"/>
        <v>0.84765986234311463</v>
      </c>
      <c r="U11" s="95">
        <f t="shared" si="4"/>
        <v>0.84765986234311463</v>
      </c>
      <c r="V11" s="95">
        <f t="shared" si="4"/>
        <v>0.78262912277429675</v>
      </c>
      <c r="W11" s="77">
        <f t="shared" ref="W11" si="6">((W36/W14)^(1/($B36-$B14)))-1</f>
        <v>8.2999999999999741E-3</v>
      </c>
    </row>
    <row r="12" spans="1:29" ht="15" thickTop="1" x14ac:dyDescent="0.35">
      <c r="B12" s="423">
        <v>2021</v>
      </c>
      <c r="C12" s="226" t="s">
        <v>866</v>
      </c>
      <c r="D12" s="227" t="s">
        <v>45</v>
      </c>
      <c r="E12" s="417">
        <f>AI_Supercomputers!P15/Y$3</f>
        <v>0.5</v>
      </c>
      <c r="F12" s="228">
        <f>I12*J12/Y$3</f>
        <v>7.8</v>
      </c>
      <c r="G12" s="227" t="s">
        <v>45</v>
      </c>
      <c r="H12" s="227" t="s">
        <v>45</v>
      </c>
      <c r="I12" s="227">
        <f>KeyChips!U11</f>
        <v>312</v>
      </c>
      <c r="J12" s="228">
        <f>AI_Supercomputers!I15</f>
        <v>25000</v>
      </c>
      <c r="K12" s="475">
        <f>KeyChips!N11</f>
        <v>6000</v>
      </c>
      <c r="L12" s="596">
        <f t="shared" ref="L12:L19" si="7">J12*K12/Y$4</f>
        <v>0.15</v>
      </c>
      <c r="M12" s="472" t="s">
        <v>45</v>
      </c>
      <c r="N12" s="227">
        <f>KeyChips!R11</f>
        <v>240</v>
      </c>
      <c r="O12" s="228">
        <f t="shared" ref="O12:O36" si="8">J12*N12*O$3/Y$3</f>
        <v>12.077922077922079</v>
      </c>
      <c r="P12" s="227" t="s">
        <v>45</v>
      </c>
      <c r="Q12" s="228"/>
      <c r="R12" s="472" t="s">
        <v>45</v>
      </c>
      <c r="S12" s="227">
        <f>KeyChips!J11</f>
        <v>40</v>
      </c>
      <c r="T12" s="227">
        <f t="shared" ref="T12:T36" si="9">S12*J12/Y$2</f>
        <v>1000</v>
      </c>
      <c r="U12" s="227">
        <f t="shared" ref="U12:U36" si="10">T12/(U$7/Y$2)</f>
        <v>24.471417384494913</v>
      </c>
      <c r="V12" s="227">
        <f>(F12*Y$3)/V$7</f>
        <v>604.65116279069764</v>
      </c>
      <c r="W12" s="477" t="s">
        <v>45</v>
      </c>
    </row>
    <row r="13" spans="1:29" x14ac:dyDescent="0.35">
      <c r="B13" s="423">
        <v>2022</v>
      </c>
      <c r="C13" s="226" t="s">
        <v>671</v>
      </c>
      <c r="D13" s="472">
        <f>(E13-E12)/E12</f>
        <v>-0.38252799999999998</v>
      </c>
      <c r="E13" s="418">
        <f>AI_Supercomputers!P28/Y$3</f>
        <v>0.30873600000000001</v>
      </c>
      <c r="F13" s="228">
        <f>I13*J13/Y$3</f>
        <v>18.238464</v>
      </c>
      <c r="G13" s="227" t="s">
        <v>45</v>
      </c>
      <c r="H13" s="227" t="s">
        <v>45</v>
      </c>
      <c r="I13" s="227">
        <f>KeyChips!U$12</f>
        <v>3958</v>
      </c>
      <c r="J13" s="227">
        <f>AI_Supercomputers!I28</f>
        <v>4608</v>
      </c>
      <c r="K13" s="487">
        <f>KeyChips!N$12</f>
        <v>33000</v>
      </c>
      <c r="L13" s="596">
        <f t="shared" si="7"/>
        <v>0.152064</v>
      </c>
      <c r="M13" s="473">
        <f>(L13-L12)/L12</f>
        <v>1.3760000000000069E-2</v>
      </c>
      <c r="N13" s="228">
        <f>KeyChips!R$12</f>
        <v>700</v>
      </c>
      <c r="O13" s="228">
        <f t="shared" si="8"/>
        <v>6.4930909090909088</v>
      </c>
      <c r="P13" s="227" t="s">
        <v>45</v>
      </c>
      <c r="Q13" s="228"/>
      <c r="R13" s="472" t="s">
        <v>45</v>
      </c>
      <c r="S13" s="227">
        <f>KeyChips!J$12</f>
        <v>80</v>
      </c>
      <c r="T13" s="227">
        <f t="shared" si="9"/>
        <v>368.64</v>
      </c>
      <c r="U13" s="227">
        <f t="shared" si="10"/>
        <v>9.0211433046202032</v>
      </c>
      <c r="V13" s="227">
        <f>(F13*Y$3)/V$7</f>
        <v>1413.8344186046511</v>
      </c>
      <c r="W13" s="477">
        <f>AI_Chip_Prod_TFLOPS_GB_RAM!R11</f>
        <v>7975105156</v>
      </c>
    </row>
    <row r="14" spans="1:29" x14ac:dyDescent="0.35">
      <c r="B14" s="423">
        <v>2023</v>
      </c>
      <c r="C14" s="226" t="s">
        <v>672</v>
      </c>
      <c r="D14" s="472">
        <f t="shared" ref="D14:D16" si="11">(E14-E13)/E13</f>
        <v>1.1701388888888888</v>
      </c>
      <c r="E14" s="418">
        <f>AI_Supercomputers!P18/Y$3</f>
        <v>0.67</v>
      </c>
      <c r="F14" s="228">
        <f>I14*J14/Y$3</f>
        <v>39.58</v>
      </c>
      <c r="G14" s="227" t="s">
        <v>45</v>
      </c>
      <c r="H14" s="227" t="s">
        <v>45</v>
      </c>
      <c r="I14" s="227">
        <f>KeyChips!U$12</f>
        <v>3958</v>
      </c>
      <c r="J14" s="227">
        <f>AI_Supercomputers!I18</f>
        <v>10000</v>
      </c>
      <c r="K14" s="487">
        <f>KeyChips!N$12</f>
        <v>33000</v>
      </c>
      <c r="L14" s="596">
        <f t="shared" si="7"/>
        <v>0.33</v>
      </c>
      <c r="M14" s="473">
        <f>(L14-L13)/L13</f>
        <v>1.1701388888888888</v>
      </c>
      <c r="N14" s="228">
        <f>KeyChips!R$12</f>
        <v>700</v>
      </c>
      <c r="O14" s="228">
        <f t="shared" si="8"/>
        <v>14.090909090909092</v>
      </c>
      <c r="P14" s="598">
        <v>1.5</v>
      </c>
      <c r="Q14" s="597">
        <f t="shared" ref="Q14:Q36" si="12">(O14/Y$2)*P14*Q$3</f>
        <v>7.0454545454545464E-2</v>
      </c>
      <c r="R14" s="472" t="s">
        <v>45</v>
      </c>
      <c r="S14" s="227">
        <f>KeyChips!J$12</f>
        <v>80</v>
      </c>
      <c r="T14" s="227">
        <f t="shared" si="9"/>
        <v>800</v>
      </c>
      <c r="U14" s="227">
        <f t="shared" si="10"/>
        <v>19.577133907595929</v>
      </c>
      <c r="V14" s="227">
        <f>(F14*Y$3)/V$7</f>
        <v>3068.2170542635658</v>
      </c>
      <c r="W14" s="477">
        <f>AI_Chip_Prod_TFLOPS_GB_RAM!R12</f>
        <v>8041298528.7947998</v>
      </c>
    </row>
    <row r="15" spans="1:29" x14ac:dyDescent="0.35">
      <c r="B15" s="423">
        <v>2024</v>
      </c>
      <c r="C15" s="226" t="s">
        <v>982</v>
      </c>
      <c r="D15" s="472">
        <f t="shared" si="11"/>
        <v>9</v>
      </c>
      <c r="E15" s="417">
        <f>$J15*KeyChips!S12/Y$3</f>
        <v>6.7</v>
      </c>
      <c r="F15" s="228">
        <f>I15*J15/Y$3</f>
        <v>395.8</v>
      </c>
      <c r="G15" s="227" t="s">
        <v>45</v>
      </c>
      <c r="H15" s="227" t="s">
        <v>45</v>
      </c>
      <c r="I15" s="227">
        <f>KeyChips!U$12</f>
        <v>3958</v>
      </c>
      <c r="J15" s="228">
        <f>AI_Supercomputers!I21</f>
        <v>100000</v>
      </c>
      <c r="K15" s="487">
        <f>KeyChips!N$12</f>
        <v>33000</v>
      </c>
      <c r="L15" s="597">
        <f t="shared" si="7"/>
        <v>3.3</v>
      </c>
      <c r="M15" s="473">
        <f t="shared" ref="M15:M16" si="13">(L15-L14)/L14</f>
        <v>8.9999999999999982</v>
      </c>
      <c r="N15" s="228">
        <f>KeyChips!R$12</f>
        <v>700</v>
      </c>
      <c r="O15" s="228">
        <f t="shared" si="8"/>
        <v>140.90909090909091</v>
      </c>
      <c r="P15" s="598">
        <f>P14*(1-0.05)</f>
        <v>1.4249999999999998</v>
      </c>
      <c r="Q15" s="597">
        <f t="shared" si="12"/>
        <v>0.6693181818181817</v>
      </c>
      <c r="R15" s="472" t="s">
        <v>45</v>
      </c>
      <c r="S15" s="227">
        <f>KeyChips!J$12</f>
        <v>80</v>
      </c>
      <c r="T15" s="227">
        <f t="shared" si="9"/>
        <v>8000</v>
      </c>
      <c r="U15" s="227">
        <f t="shared" si="10"/>
        <v>195.7713390759593</v>
      </c>
      <c r="V15" s="227">
        <f>(F15*Y$3)/V$7</f>
        <v>30682.17054263566</v>
      </c>
      <c r="W15" s="477">
        <f>AI_Chip_Prod_TFLOPS_GB_RAM!R13</f>
        <v>8108041306.5837965</v>
      </c>
    </row>
    <row r="16" spans="1:29" x14ac:dyDescent="0.35">
      <c r="B16" s="423">
        <v>2025</v>
      </c>
      <c r="C16" s="226" t="s">
        <v>934</v>
      </c>
      <c r="D16" s="472">
        <f t="shared" si="11"/>
        <v>2.5</v>
      </c>
      <c r="E16" s="228">
        <f>$J16*KeyChips!S12/Y$3</f>
        <v>23.45</v>
      </c>
      <c r="F16" s="228">
        <f>I16*J16/Y$3</f>
        <v>1385.3</v>
      </c>
      <c r="G16" s="227" t="s">
        <v>45</v>
      </c>
      <c r="H16" s="227" t="s">
        <v>45</v>
      </c>
      <c r="I16" s="227">
        <f>KeyChips!U$12</f>
        <v>3958</v>
      </c>
      <c r="J16" s="228">
        <f>AI_Supercomputers!I23</f>
        <v>350000</v>
      </c>
      <c r="K16" s="487">
        <f>KeyChips!N$12</f>
        <v>33000</v>
      </c>
      <c r="L16" s="597">
        <f t="shared" si="7"/>
        <v>11.55</v>
      </c>
      <c r="M16" s="473">
        <f t="shared" si="13"/>
        <v>2.5</v>
      </c>
      <c r="N16" s="228">
        <f>KeyChips!R$12</f>
        <v>700</v>
      </c>
      <c r="O16" s="228">
        <f t="shared" si="8"/>
        <v>493.18181818181819</v>
      </c>
      <c r="P16" s="598">
        <f t="shared" ref="P16:P36" si="14">P15*(1-0.05)</f>
        <v>1.3537499999999998</v>
      </c>
      <c r="Q16" s="598">
        <f t="shared" si="12"/>
        <v>2.2254829545454542</v>
      </c>
      <c r="R16" s="472" t="s">
        <v>45</v>
      </c>
      <c r="S16" s="227">
        <f>KeyChips!J$12</f>
        <v>80</v>
      </c>
      <c r="T16" s="227">
        <f t="shared" si="9"/>
        <v>28000</v>
      </c>
      <c r="U16" s="227">
        <f t="shared" si="10"/>
        <v>685.19968676585756</v>
      </c>
      <c r="V16" s="227">
        <f>(F16*Y$3)/V$7</f>
        <v>107387.59689922481</v>
      </c>
      <c r="W16" s="477">
        <f>AI_Chip_Prod_TFLOPS_GB_RAM!R14</f>
        <v>8175338049.428442</v>
      </c>
      <c r="AA16" s="2"/>
    </row>
    <row r="17" spans="2:23" x14ac:dyDescent="0.35">
      <c r="B17" s="423">
        <v>2026</v>
      </c>
      <c r="C17" s="226" t="s">
        <v>861</v>
      </c>
      <c r="D17" s="472">
        <f>(E17-E16)/E16</f>
        <v>0.53518123667377404</v>
      </c>
      <c r="E17" s="228">
        <f>$J17*KeyChips!S$16/Y$3</f>
        <v>36</v>
      </c>
      <c r="F17" s="228">
        <f>$J17*KeyChips!U$16/Y$3</f>
        <v>4000</v>
      </c>
      <c r="G17" s="228">
        <f t="shared" ref="G17:G36" si="15">I17*J17/Y$3</f>
        <v>8000</v>
      </c>
      <c r="H17" s="473">
        <f>Calc_Moores_Law!D15</f>
        <v>0.38704901651406454</v>
      </c>
      <c r="I17" s="228">
        <f>KeyChips!V16</f>
        <v>40000</v>
      </c>
      <c r="J17" s="228">
        <f>AI_Supercomputers!I13</f>
        <v>200000</v>
      </c>
      <c r="K17" s="475">
        <f>KeyChips!N16</f>
        <v>65000</v>
      </c>
      <c r="L17" s="475">
        <f t="shared" si="7"/>
        <v>13</v>
      </c>
      <c r="M17" s="473">
        <f>(L17-L16)/L16</f>
        <v>0.12554112554112548</v>
      </c>
      <c r="N17" s="228">
        <f>KeyChips!R16</f>
        <v>2700</v>
      </c>
      <c r="O17" s="228">
        <f t="shared" si="8"/>
        <v>1087.0129870129872</v>
      </c>
      <c r="P17" s="598">
        <f t="shared" si="14"/>
        <v>1.2860624999999997</v>
      </c>
      <c r="Q17" s="598">
        <f t="shared" si="12"/>
        <v>4.6598887987012985</v>
      </c>
      <c r="R17" s="473">
        <f>Calc_Moores_Law!$Q20</f>
        <v>0.32630024571767025</v>
      </c>
      <c r="S17" s="228">
        <f>KeyChips!J16</f>
        <v>864</v>
      </c>
      <c r="T17" s="227">
        <f t="shared" si="9"/>
        <v>172800</v>
      </c>
      <c r="U17" s="227">
        <f t="shared" si="10"/>
        <v>4228.6609240407206</v>
      </c>
      <c r="V17" s="227">
        <f t="shared" ref="V17:V36" si="16">(G17*Y$3)/V$7</f>
        <v>620155.03875968989</v>
      </c>
      <c r="W17" s="477">
        <f>AI_Chip_Prod_TFLOPS_GB_RAM!R15</f>
        <v>8243193355.238698</v>
      </c>
    </row>
    <row r="18" spans="2:23" x14ac:dyDescent="0.35">
      <c r="B18" s="175">
        <v>2027</v>
      </c>
      <c r="C18" s="8" t="s">
        <v>1201</v>
      </c>
      <c r="D18" s="364">
        <f>(E18-E17)/E17</f>
        <v>1.0805735247710966</v>
      </c>
      <c r="E18" s="2">
        <f>$J18*KeyChips!S$16*Calc_Moores_Law!L16/Y$3</f>
        <v>74.900646891759479</v>
      </c>
      <c r="F18" s="2">
        <f>$J18*KeyChips!U$16*Calc_Moores_Law!L16/Y$3</f>
        <v>8322.2940990843872</v>
      </c>
      <c r="G18" s="2">
        <f t="shared" si="15"/>
        <v>16644.588198168774</v>
      </c>
      <c r="H18" s="59">
        <f>Calc_Moores_Law!D16</f>
        <v>0.38704901651406454</v>
      </c>
      <c r="I18" s="2">
        <f>I17*(1+H17)</f>
        <v>55481.960660562581</v>
      </c>
      <c r="J18" s="2">
        <v>300000</v>
      </c>
      <c r="K18" s="214">
        <f>AI_Chip_Prod_TFLOPS_GB_RAM!F16</f>
        <v>60000</v>
      </c>
      <c r="L18" s="214">
        <f t="shared" si="7"/>
        <v>18</v>
      </c>
      <c r="M18" s="59">
        <f>(L18-L17)/L17</f>
        <v>0.38461538461538464</v>
      </c>
      <c r="N18" s="2">
        <f>AI_Chip_Prod_ElecUse!G17</f>
        <v>2957.5166187406958</v>
      </c>
      <c r="O18" s="2">
        <f t="shared" si="8"/>
        <v>1786.0327632654853</v>
      </c>
      <c r="P18" s="599">
        <f t="shared" si="14"/>
        <v>1.2217593749999995</v>
      </c>
      <c r="Q18" s="599">
        <f t="shared" si="12"/>
        <v>7.2736742419225386</v>
      </c>
      <c r="R18" s="59">
        <f>Calc_Moores_Law!$Q21</f>
        <v>0.32630024571767025</v>
      </c>
      <c r="S18" s="2">
        <f>S17*(1+R17)</f>
        <v>1145.9234123000672</v>
      </c>
      <c r="T18" s="2">
        <f t="shared" si="9"/>
        <v>343777.02369002014</v>
      </c>
      <c r="U18" s="201">
        <f t="shared" si="10"/>
        <v>8412.711033917878</v>
      </c>
      <c r="V18" s="201">
        <f t="shared" si="16"/>
        <v>1290278.1548968041</v>
      </c>
      <c r="W18" s="200">
        <f>AI_Chip_Prod_TFLOPS_GB_RAM!R16</f>
        <v>8311611860.0871792</v>
      </c>
    </row>
    <row r="19" spans="2:23" x14ac:dyDescent="0.35">
      <c r="B19" s="175">
        <v>2028</v>
      </c>
      <c r="C19" s="8" t="s">
        <v>1201</v>
      </c>
      <c r="D19" s="364">
        <f>(E19-E18)/E18</f>
        <v>1.080573524771097</v>
      </c>
      <c r="E19" s="2">
        <f>$J19*KeyChips!S$16*Calc_Moores_Law!L17/Y$3</f>
        <v>155.83630291122333</v>
      </c>
      <c r="F19" s="2">
        <f>$J19*KeyChips!U$16*Calc_Moores_Law!L17/Y$3</f>
        <v>17315.144767913705</v>
      </c>
      <c r="G19" s="2">
        <f t="shared" si="15"/>
        <v>34630.289535827404</v>
      </c>
      <c r="H19" s="59">
        <f>Calc_Moores_Law!D17</f>
        <v>0.38704901651406454</v>
      </c>
      <c r="I19" s="2">
        <f>I18*(1+H18)</f>
        <v>76956.198968505341</v>
      </c>
      <c r="J19" s="2">
        <v>450000</v>
      </c>
      <c r="K19" s="214">
        <f>AI_Chip_Prod_TFLOPS_GB_RAM!F17</f>
        <v>55000</v>
      </c>
      <c r="L19" s="214">
        <f t="shared" si="7"/>
        <v>24.75</v>
      </c>
      <c r="M19" s="59">
        <f>(L19-L18)/L18</f>
        <v>0.375</v>
      </c>
      <c r="N19" s="2">
        <f>AI_Chip_Prod_ElecUse!G18</f>
        <v>3095.3439089452709</v>
      </c>
      <c r="O19" s="2">
        <f t="shared" si="8"/>
        <v>2803.8991902458783</v>
      </c>
      <c r="P19" s="599">
        <f t="shared" si="14"/>
        <v>1.1606714062499994</v>
      </c>
      <c r="Q19" s="599">
        <f t="shared" si="12"/>
        <v>10.848018720419729</v>
      </c>
      <c r="R19" s="59">
        <f>Calc_Moores_Law!$Q22</f>
        <v>0.32630024571767025</v>
      </c>
      <c r="S19" s="2">
        <f t="shared" ref="S19:S36" si="17">S18*(1+R18)</f>
        <v>1519.8385033072102</v>
      </c>
      <c r="T19" s="2">
        <f t="shared" si="9"/>
        <v>683927.32648824458</v>
      </c>
      <c r="U19" s="201">
        <f t="shared" si="10"/>
        <v>16736.671067155556</v>
      </c>
      <c r="V19" s="201">
        <f t="shared" si="16"/>
        <v>2684518.5686687906</v>
      </c>
      <c r="W19" s="200">
        <f>AI_Chip_Prod_TFLOPS_GB_RAM!R17</f>
        <v>8380598238.5259027</v>
      </c>
    </row>
    <row r="20" spans="2:23" x14ac:dyDescent="0.35">
      <c r="B20" s="381">
        <v>2029</v>
      </c>
      <c r="C20" s="422" t="s">
        <v>990</v>
      </c>
      <c r="D20" s="516">
        <f t="shared" ref="D20:D34" si="18">(E20-E19)/E19</f>
        <v>0.43232491057518568</v>
      </c>
      <c r="E20" s="128">
        <f>$J20*KeyChips!S$16*Calc_Moores_Law!L18/Y$3</f>
        <v>223.2082186316855</v>
      </c>
      <c r="F20" s="128">
        <f>$J20*KeyChips!U$16*Calc_Moores_Law!L18/Y$3</f>
        <v>24800.913181298387</v>
      </c>
      <c r="G20" s="128">
        <f t="shared" si="15"/>
        <v>49601.826362596767</v>
      </c>
      <c r="H20" s="189">
        <f>Calc_Moores_Law!D18</f>
        <v>0.38704901651406454</v>
      </c>
      <c r="I20" s="128">
        <f t="shared" ref="I20:I36" si="19">I19*(1+H19)</f>
        <v>106742.020093926</v>
      </c>
      <c r="J20" s="128">
        <f t="shared" ref="J20:J36" si="20">(L20*Y$4)/K20</f>
        <v>464688.84811202186</v>
      </c>
      <c r="K20" s="215">
        <f>AI_Chip_Prod_TFLOPS_GB_RAM!F18</f>
        <v>55000</v>
      </c>
      <c r="L20" s="215">
        <f>L19*(1+M20)</f>
        <v>25.557886646161201</v>
      </c>
      <c r="M20" s="189">
        <f>AI_Chip_Prod_ElecUse!R18</f>
        <v>3.2641884693381806E-2</v>
      </c>
      <c r="N20" s="128">
        <f>AI_Chip_Prod_ElecUse!G19</f>
        <v>3239.5942778249623</v>
      </c>
      <c r="O20" s="128">
        <f t="shared" si="8"/>
        <v>3030.3573592659841</v>
      </c>
      <c r="P20" s="600">
        <f t="shared" si="14"/>
        <v>1.1026378359374993</v>
      </c>
      <c r="Q20" s="215">
        <f t="shared" si="12"/>
        <v>11.137955602461068</v>
      </c>
      <c r="R20" s="189">
        <f>Calc_Moores_Law!$Q23</f>
        <v>0.32630024571767025</v>
      </c>
      <c r="S20" s="128">
        <f t="shared" si="17"/>
        <v>2015.762180387529</v>
      </c>
      <c r="T20" s="128">
        <f t="shared" si="9"/>
        <v>936702.20567205851</v>
      </c>
      <c r="U20" s="127">
        <f t="shared" si="10"/>
        <v>22922.430639977942</v>
      </c>
      <c r="V20" s="127">
        <f t="shared" si="16"/>
        <v>3845102.8188059507</v>
      </c>
      <c r="W20" s="139">
        <f>AI_Chip_Prod_TFLOPS_GB_RAM!R18</f>
        <v>8450157203.9056673</v>
      </c>
    </row>
    <row r="21" spans="2:23" x14ac:dyDescent="0.35">
      <c r="B21" s="175">
        <v>2030</v>
      </c>
      <c r="D21" s="364">
        <f t="shared" si="18"/>
        <v>0.58678407489208984</v>
      </c>
      <c r="E21" s="2">
        <f>$J21*KeyChips!S$16*Calc_Moores_Law!L19/Y$3</f>
        <v>354.18324670979041</v>
      </c>
      <c r="F21" s="2">
        <f>$J21*KeyChips!U$16*Calc_Moores_Law!L19/Y$3</f>
        <v>39353.694078865592</v>
      </c>
      <c r="G21" s="2">
        <f t="shared" si="15"/>
        <v>78707.388157731184</v>
      </c>
      <c r="H21" s="59">
        <f>Calc_Moores_Law!D19</f>
        <v>0.38704901651406454</v>
      </c>
      <c r="I21" s="2">
        <f t="shared" si="19"/>
        <v>148056.41399200456</v>
      </c>
      <c r="J21" s="2">
        <f t="shared" si="20"/>
        <v>531604.04224015307</v>
      </c>
      <c r="K21" s="214">
        <f>AI_Chip_Prod_TFLOPS_GB_RAM!F19</f>
        <v>50000</v>
      </c>
      <c r="L21" s="214">
        <f t="shared" ref="L21:L36" si="21">L20*(1+M21)</f>
        <v>26.580202112007651</v>
      </c>
      <c r="M21" s="364">
        <f>AI_Chip_Prod_ElecUse!R20</f>
        <v>0.04</v>
      </c>
      <c r="N21" s="2">
        <f>AI_Chip_Prod_ElecUse!G20</f>
        <v>3390.5670560827502</v>
      </c>
      <c r="O21" s="2">
        <f t="shared" si="8"/>
        <v>3628.2866056815888</v>
      </c>
      <c r="P21" s="599">
        <f t="shared" si="14"/>
        <v>1.0475059441406243</v>
      </c>
      <c r="Q21" s="214">
        <f t="shared" si="12"/>
        <v>12.668839288324245</v>
      </c>
      <c r="R21" s="59">
        <f>Calc_Moores_Law!$Q24</f>
        <v>0.32630024571767025</v>
      </c>
      <c r="S21" s="2">
        <f t="shared" si="17"/>
        <v>2673.5058751563665</v>
      </c>
      <c r="T21" s="2">
        <f t="shared" si="9"/>
        <v>1421246.5301859223</v>
      </c>
      <c r="U21" s="201">
        <f t="shared" si="10"/>
        <v>34779.917046444847</v>
      </c>
      <c r="V21" s="201">
        <f t="shared" si="16"/>
        <v>6101347.9192039678</v>
      </c>
      <c r="W21" s="200">
        <f>AI_Chip_Prod_TFLOPS_GB_RAM!R19</f>
        <v>8520293508.6980839</v>
      </c>
    </row>
    <row r="22" spans="2:23" x14ac:dyDescent="0.35">
      <c r="B22" s="175">
        <v>2031</v>
      </c>
      <c r="D22" s="364">
        <f t="shared" si="18"/>
        <v>0.44253097717462697</v>
      </c>
      <c r="E22" s="2">
        <f>$J22*KeyChips!S$16*Calc_Moores_Law!L20/Y$3</f>
        <v>510.92030497515594</v>
      </c>
      <c r="F22" s="2">
        <f>$J22*KeyChips!U$16*Calc_Moores_Law!L20/Y$3</f>
        <v>56768.922775017323</v>
      </c>
      <c r="G22" s="2">
        <f t="shared" si="15"/>
        <v>113537.84555003463</v>
      </c>
      <c r="H22" s="59">
        <f>Calc_Moores_Law!D20</f>
        <v>0.38704901651406454</v>
      </c>
      <c r="I22" s="2">
        <f t="shared" si="19"/>
        <v>205361.5034162091</v>
      </c>
      <c r="J22" s="2">
        <f t="shared" si="20"/>
        <v>552868.20392975921</v>
      </c>
      <c r="K22" s="214">
        <f>AI_Chip_Prod_TFLOPS_GB_RAM!F20</f>
        <v>50000</v>
      </c>
      <c r="L22" s="214">
        <f t="shared" si="21"/>
        <v>27.643410196487959</v>
      </c>
      <c r="M22" s="364">
        <f>AI_Chip_Prod_ElecUse!R21</f>
        <v>0.04</v>
      </c>
      <c r="N22" s="2">
        <f>AI_Chip_Prod_ElecUse!G21</f>
        <v>3548.5755239424402</v>
      </c>
      <c r="O22" s="2">
        <f t="shared" si="8"/>
        <v>3949.2683032055847</v>
      </c>
      <c r="P22" s="599">
        <f t="shared" si="14"/>
        <v>0.99513064693359299</v>
      </c>
      <c r="Q22" s="214">
        <f t="shared" si="12"/>
        <v>13.100126404944355</v>
      </c>
      <c r="R22" s="59">
        <f>Calc_Moores_Law!$Q25</f>
        <v>0.32630024571767025</v>
      </c>
      <c r="S22" s="2">
        <f t="shared" si="17"/>
        <v>3545.871499147524</v>
      </c>
      <c r="T22" s="2">
        <f t="shared" si="9"/>
        <v>1960399.6070994143</v>
      </c>
      <c r="U22" s="201">
        <f t="shared" si="10"/>
        <v>47973.757025729603</v>
      </c>
      <c r="V22" s="201">
        <f t="shared" si="16"/>
        <v>8801383.3759716768</v>
      </c>
      <c r="W22" s="200">
        <f>AI_Chip_Prod_TFLOPS_GB_RAM!R20</f>
        <v>8591011944.8202782</v>
      </c>
    </row>
    <row r="23" spans="2:23" x14ac:dyDescent="0.35">
      <c r="B23" s="175">
        <v>2032</v>
      </c>
      <c r="D23" s="364">
        <f t="shared" si="18"/>
        <v>0.60281219686069698</v>
      </c>
      <c r="E23" s="2">
        <f>$J23*KeyChips!S$16*Calc_Moores_Law!L21/Y$3</f>
        <v>818.90929643796699</v>
      </c>
      <c r="F23" s="2">
        <f>$J23*KeyChips!U$16*Calc_Moores_Law!L21/Y$3</f>
        <v>90989.921826440768</v>
      </c>
      <c r="G23" s="2">
        <f t="shared" si="15"/>
        <v>181979.84365288151</v>
      </c>
      <c r="H23" s="59">
        <f>Calc_Moores_Law!D21</f>
        <v>0.38704901651406454</v>
      </c>
      <c r="I23" s="2">
        <f t="shared" si="19"/>
        <v>284846.47134330252</v>
      </c>
      <c r="J23" s="2">
        <f t="shared" si="20"/>
        <v>638869.92454105511</v>
      </c>
      <c r="K23" s="214">
        <f>AI_Chip_Prod_TFLOPS_GB_RAM!F21</f>
        <v>45000</v>
      </c>
      <c r="L23" s="214">
        <f t="shared" si="21"/>
        <v>28.74914660434748</v>
      </c>
      <c r="M23" s="364">
        <f>AI_Chip_Prod_ElecUse!R22</f>
        <v>0.04</v>
      </c>
      <c r="N23" s="2">
        <f>AI_Chip_Prod_ElecUse!G22</f>
        <v>3713.9475612294259</v>
      </c>
      <c r="O23" s="2">
        <f t="shared" si="8"/>
        <v>4776.2734638931461</v>
      </c>
      <c r="P23" s="599">
        <f t="shared" si="14"/>
        <v>0.94537411458691334</v>
      </c>
      <c r="Q23" s="214">
        <f t="shared" si="12"/>
        <v>15.051217656509841</v>
      </c>
      <c r="R23" s="59">
        <f>Calc_Moores_Law!$Q26</f>
        <v>0.32630024571767025</v>
      </c>
      <c r="S23" s="2">
        <f t="shared" si="17"/>
        <v>4702.8902406026446</v>
      </c>
      <c r="T23" s="2">
        <f t="shared" si="9"/>
        <v>3004535.1331386762</v>
      </c>
      <c r="U23" s="201">
        <f t="shared" si="10"/>
        <v>73525.233289415541</v>
      </c>
      <c r="V23" s="201">
        <f t="shared" si="16"/>
        <v>14106964.624254379</v>
      </c>
      <c r="W23" s="200">
        <f>AI_Chip_Prod_TFLOPS_GB_RAM!R21</f>
        <v>8662317343.962286</v>
      </c>
    </row>
    <row r="24" spans="2:23" x14ac:dyDescent="0.35">
      <c r="B24" s="175">
        <v>2033</v>
      </c>
      <c r="D24" s="364">
        <f t="shared" si="18"/>
        <v>0.62284734932145569</v>
      </c>
      <c r="E24" s="2">
        <f>$J24*KeyChips!S$16*Calc_Moores_Law!L22/Y$3</f>
        <v>1328.9647810590529</v>
      </c>
      <c r="F24" s="2">
        <f>$J24*KeyChips!U$16*Calc_Moores_Law!L22/Y$3</f>
        <v>147662.75345100585</v>
      </c>
      <c r="G24" s="2">
        <f t="shared" si="15"/>
        <v>295325.50690201164</v>
      </c>
      <c r="H24" s="59">
        <f>Calc_Moores_Law!D22</f>
        <v>0.15</v>
      </c>
      <c r="I24" s="2">
        <f t="shared" si="19"/>
        <v>395096.0179342294</v>
      </c>
      <c r="J24" s="2">
        <f t="shared" si="20"/>
        <v>747477.81171303452</v>
      </c>
      <c r="K24" s="214">
        <f>AI_Chip_Prod_TFLOPS_GB_RAM!F22</f>
        <v>40000</v>
      </c>
      <c r="L24" s="214">
        <f t="shared" si="21"/>
        <v>29.89911246852138</v>
      </c>
      <c r="M24" s="364">
        <f>AI_Chip_Prod_ElecUse!R23</f>
        <v>0.04</v>
      </c>
      <c r="N24" s="2">
        <f>AI_Chip_Prod_ElecUse!G23</f>
        <v>3887.0263277467552</v>
      </c>
      <c r="O24" s="2">
        <f t="shared" si="8"/>
        <v>5848.6651908823387</v>
      </c>
      <c r="P24" s="599">
        <f t="shared" si="14"/>
        <v>0.89810540885756762</v>
      </c>
      <c r="Q24" s="214">
        <f t="shared" si="12"/>
        <v>17.509059475094691</v>
      </c>
      <c r="R24" s="59">
        <f>Calc_Moores_Law!$Q27</f>
        <v>0.32630024571767025</v>
      </c>
      <c r="S24" s="2">
        <f t="shared" si="17"/>
        <v>6237.4444816945206</v>
      </c>
      <c r="T24" s="2">
        <f t="shared" si="9"/>
        <v>4662351.3518585637</v>
      </c>
      <c r="U24" s="201">
        <f t="shared" si="10"/>
        <v>114094.34592449501</v>
      </c>
      <c r="V24" s="201">
        <f t="shared" si="16"/>
        <v>22893450.147442766</v>
      </c>
      <c r="W24" s="200">
        <f>AI_Chip_Prod_TFLOPS_GB_RAM!R22</f>
        <v>8734214577.9171734</v>
      </c>
    </row>
    <row r="25" spans="2:23" x14ac:dyDescent="0.35">
      <c r="B25" s="175">
        <v>2034</v>
      </c>
      <c r="D25" s="364">
        <f t="shared" si="18"/>
        <v>0.39314285714285679</v>
      </c>
      <c r="E25" s="2">
        <f>$J25*KeyChips!S$16*Calc_Moores_Law!L23/Y$3</f>
        <v>1851.4377921268401</v>
      </c>
      <c r="F25" s="2">
        <f>$J25*KeyChips!U$16*Calc_Moores_Law!L23/Y$3</f>
        <v>205715.31023631559</v>
      </c>
      <c r="G25" s="2">
        <f t="shared" si="15"/>
        <v>411430.62047263107</v>
      </c>
      <c r="H25" s="59">
        <f>Calc_Moores_Law!D23</f>
        <v>0.15</v>
      </c>
      <c r="I25" s="2">
        <f t="shared" si="19"/>
        <v>454360.42062436376</v>
      </c>
      <c r="J25" s="2">
        <f t="shared" si="20"/>
        <v>905515.97761807614</v>
      </c>
      <c r="K25" s="214">
        <f>AI_Chip_Prod_TFLOPS_GB_RAM!F23</f>
        <v>35000</v>
      </c>
      <c r="L25" s="214">
        <f t="shared" si="21"/>
        <v>31.693059216632665</v>
      </c>
      <c r="M25" s="364">
        <f>AI_Chip_Prod_ElecUse!R24</f>
        <v>0.06</v>
      </c>
      <c r="N25" s="2">
        <f>AI_Chip_Prod_ElecUse!G24</f>
        <v>4068.1709753583355</v>
      </c>
      <c r="O25" s="2">
        <f t="shared" si="8"/>
        <v>7415.4291138923145</v>
      </c>
      <c r="P25" s="599">
        <f t="shared" si="14"/>
        <v>0.85320013841468922</v>
      </c>
      <c r="Q25" s="214">
        <f t="shared" si="12"/>
        <v>21.089483821257463</v>
      </c>
      <c r="R25" s="59">
        <f>Calc_Moores_Law!$Q28</f>
        <v>0.32630024571767025</v>
      </c>
      <c r="S25" s="2">
        <f t="shared" si="17"/>
        <v>8272.7241487217689</v>
      </c>
      <c r="T25" s="2">
        <f t="shared" si="9"/>
        <v>7491083.8950944599</v>
      </c>
      <c r="U25" s="201">
        <f t="shared" si="10"/>
        <v>183317.44065912443</v>
      </c>
      <c r="V25" s="201">
        <f t="shared" si="16"/>
        <v>31893846.548265971</v>
      </c>
      <c r="W25" s="200">
        <f>AI_Chip_Prod_TFLOPS_GB_RAM!R23</f>
        <v>8806708558.9138851</v>
      </c>
    </row>
    <row r="26" spans="2:23" x14ac:dyDescent="0.35">
      <c r="B26" s="175">
        <v>2035</v>
      </c>
      <c r="D26" s="364">
        <f t="shared" si="18"/>
        <v>0.42216666666666652</v>
      </c>
      <c r="E26" s="2">
        <f>$J26*KeyChips!S$16*Calc_Moores_Law!L24/Y$3</f>
        <v>2633.0531133697209</v>
      </c>
      <c r="F26" s="2">
        <f>$J26*KeyChips!U$16*Calc_Moores_Law!L24/Y$3</f>
        <v>292561.45704108017</v>
      </c>
      <c r="G26" s="2">
        <f t="shared" si="15"/>
        <v>585122.91408215999</v>
      </c>
      <c r="H26" s="59">
        <f>Calc_Moores_Law!D24</f>
        <v>0.15</v>
      </c>
      <c r="I26" s="2">
        <f t="shared" si="19"/>
        <v>522514.48371801828</v>
      </c>
      <c r="J26" s="2">
        <f t="shared" si="20"/>
        <v>1119821.425654354</v>
      </c>
      <c r="K26" s="214">
        <f>AI_Chip_Prod_TFLOPS_GB_RAM!F24</f>
        <v>30000</v>
      </c>
      <c r="L26" s="214">
        <f t="shared" si="21"/>
        <v>33.594642769630624</v>
      </c>
      <c r="M26" s="364">
        <f>AI_Chip_Prod_ElecUse!R25</f>
        <v>0.06</v>
      </c>
      <c r="N26" s="2">
        <f>AI_Chip_Prod_ElecUse!G25</f>
        <v>4257.7573932569067</v>
      </c>
      <c r="O26" s="2">
        <f t="shared" si="8"/>
        <v>9597.7770506770648</v>
      </c>
      <c r="P26" s="599">
        <f t="shared" si="14"/>
        <v>0.81054013149395476</v>
      </c>
      <c r="Q26" s="214">
        <f t="shared" si="12"/>
        <v>25.9312782423515</v>
      </c>
      <c r="R26" s="59">
        <f>Calc_Moores_Law!$Q29</f>
        <v>0.32630024571767025</v>
      </c>
      <c r="S26" s="2">
        <f t="shared" si="17"/>
        <v>10972.116071204186</v>
      </c>
      <c r="T26" s="2">
        <f t="shared" si="9"/>
        <v>12286810.66130092</v>
      </c>
      <c r="U26" s="201">
        <f t="shared" si="10"/>
        <v>300675.67201695673</v>
      </c>
      <c r="V26" s="201">
        <f t="shared" si="16"/>
        <v>45358365.432725586</v>
      </c>
      <c r="W26" s="200">
        <f>AI_Chip_Prod_TFLOPS_GB_RAM!R24</f>
        <v>8879804239.9528694</v>
      </c>
    </row>
    <row r="27" spans="2:23" x14ac:dyDescent="0.35">
      <c r="B27" s="175">
        <v>2036</v>
      </c>
      <c r="D27" s="364">
        <f t="shared" si="18"/>
        <v>0.46279999999999999</v>
      </c>
      <c r="E27" s="2">
        <f>$J27*KeyChips!S$16*Calc_Moores_Law!L25/Y$3</f>
        <v>3851.6300942372277</v>
      </c>
      <c r="F27" s="2">
        <f>$J27*KeyChips!U$16*Calc_Moores_Law!L25/Y$3</f>
        <v>427958.899359692</v>
      </c>
      <c r="G27" s="2">
        <f t="shared" si="15"/>
        <v>855917.79871938366</v>
      </c>
      <c r="H27" s="59">
        <f>Calc_Moores_Law!D25</f>
        <v>0.15</v>
      </c>
      <c r="I27" s="2">
        <f t="shared" si="19"/>
        <v>600891.65627572103</v>
      </c>
      <c r="J27" s="2">
        <f t="shared" si="20"/>
        <v>1424412.8534323385</v>
      </c>
      <c r="K27" s="214">
        <f>AI_Chip_Prod_TFLOPS_GB_RAM!F25</f>
        <v>25000</v>
      </c>
      <c r="L27" s="214">
        <f t="shared" si="21"/>
        <v>35.610321335808464</v>
      </c>
      <c r="M27" s="364">
        <f>AI_Chip_Prod_ElecUse!R26</f>
        <v>0.06</v>
      </c>
      <c r="N27" s="2">
        <f>AI_Chip_Prod_ElecUse!G26</f>
        <v>4456.1789879632679</v>
      </c>
      <c r="O27" s="2">
        <f t="shared" si="8"/>
        <v>12777.311523191536</v>
      </c>
      <c r="P27" s="599">
        <f t="shared" si="14"/>
        <v>0.770013124919257</v>
      </c>
      <c r="Q27" s="214">
        <f t="shared" si="12"/>
        <v>32.795658580131821</v>
      </c>
      <c r="R27" s="59">
        <f>Calc_Moores_Law!$Q30</f>
        <v>0.2</v>
      </c>
      <c r="S27" s="2">
        <f t="shared" si="17"/>
        <v>14552.32024128091</v>
      </c>
      <c r="T27" s="2">
        <f t="shared" si="9"/>
        <v>20728511.998944115</v>
      </c>
      <c r="U27" s="201">
        <f t="shared" si="10"/>
        <v>507256.06888567237</v>
      </c>
      <c r="V27" s="201">
        <f t="shared" si="16"/>
        <v>66350216.954990983</v>
      </c>
      <c r="W27" s="200">
        <f>AI_Chip_Prod_TFLOPS_GB_RAM!R25</f>
        <v>8953506615.1444778</v>
      </c>
    </row>
    <row r="28" spans="2:23" x14ac:dyDescent="0.35">
      <c r="B28" s="175">
        <v>2037</v>
      </c>
      <c r="D28" s="364">
        <f t="shared" si="18"/>
        <v>0.52375000000000005</v>
      </c>
      <c r="E28" s="2">
        <f>$J28*KeyChips!S$16*Calc_Moores_Law!L26/Y$3</f>
        <v>5868.9213560939761</v>
      </c>
      <c r="F28" s="2">
        <f>$J28*KeyChips!U$16*Calc_Moores_Law!L26/Y$3</f>
        <v>652102.37289933069</v>
      </c>
      <c r="G28" s="2">
        <f t="shared" si="15"/>
        <v>1304204.7457986609</v>
      </c>
      <c r="H28" s="59">
        <f>Calc_Moores_Law!D26</f>
        <v>0.15</v>
      </c>
      <c r="I28" s="2">
        <f t="shared" si="19"/>
        <v>691025.40471707913</v>
      </c>
      <c r="J28" s="2">
        <f t="shared" si="20"/>
        <v>1887347.0307978485</v>
      </c>
      <c r="K28" s="214">
        <f>AI_Chip_Prod_TFLOPS_GB_RAM!F26</f>
        <v>20000</v>
      </c>
      <c r="L28" s="214">
        <f t="shared" si="21"/>
        <v>37.746940615956973</v>
      </c>
      <c r="M28" s="364">
        <f>AI_Chip_Prod_ElecUse!R27</f>
        <v>0.06</v>
      </c>
      <c r="N28" s="2">
        <f>AI_Chip_Prod_ElecUse!G27</f>
        <v>4663.8474996753203</v>
      </c>
      <c r="O28" s="2">
        <f t="shared" si="8"/>
        <v>17718.913029142321</v>
      </c>
      <c r="P28" s="599">
        <f t="shared" si="14"/>
        <v>0.73151246867329411</v>
      </c>
      <c r="Q28" s="214">
        <f t="shared" si="12"/>
        <v>43.205352707184318</v>
      </c>
      <c r="R28" s="59">
        <f>Calc_Moores_Law!$Q31</f>
        <v>0.2</v>
      </c>
      <c r="S28" s="2">
        <f t="shared" si="17"/>
        <v>17462.784289537092</v>
      </c>
      <c r="T28" s="2">
        <f t="shared" si="9"/>
        <v>32958334.078321148</v>
      </c>
      <c r="U28" s="201">
        <f t="shared" si="10"/>
        <v>806537.14952821925</v>
      </c>
      <c r="V28" s="201">
        <f t="shared" si="16"/>
        <v>101101143.08516751</v>
      </c>
      <c r="W28" s="200">
        <f>AI_Chip_Prod_TFLOPS_GB_RAM!R26</f>
        <v>9027820720.0501766</v>
      </c>
    </row>
    <row r="29" spans="2:23" x14ac:dyDescent="0.35">
      <c r="B29" s="175">
        <v>2038</v>
      </c>
      <c r="D29" s="364">
        <f t="shared" si="18"/>
        <v>0.48823529411764727</v>
      </c>
      <c r="E29" s="2">
        <f>$J29*KeyChips!S$16*Calc_Moores_Law!L27/Y$3</f>
        <v>8734.3359005398597</v>
      </c>
      <c r="F29" s="2">
        <f>$J29*KeyChips!U$16*Calc_Moores_Law!L27/Y$3</f>
        <v>970481.76672665111</v>
      </c>
      <c r="G29" s="2">
        <f t="shared" si="15"/>
        <v>1940963.5334533013</v>
      </c>
      <c r="H29" s="59">
        <f>Calc_Moores_Law!D27</f>
        <v>4.6602372183207397E-2</v>
      </c>
      <c r="I29" s="2">
        <f t="shared" si="19"/>
        <v>794679.21542464092</v>
      </c>
      <c r="J29" s="2">
        <f t="shared" si="20"/>
        <v>2442449.0986795691</v>
      </c>
      <c r="K29" s="214">
        <f>AI_Chip_Prod_TFLOPS_GB_RAM!F27</f>
        <v>17000</v>
      </c>
      <c r="L29" s="214">
        <f t="shared" si="21"/>
        <v>41.521634677552676</v>
      </c>
      <c r="M29" s="364">
        <f>AI_Chip_Prod_ElecUse!R28</f>
        <v>0.1</v>
      </c>
      <c r="N29" s="2">
        <f>AI_Chip_Prod_ElecUse!G28</f>
        <v>4881.1938566609106</v>
      </c>
      <c r="O29" s="2">
        <f t="shared" si="8"/>
        <v>23998.967117281325</v>
      </c>
      <c r="P29" s="599">
        <f t="shared" si="14"/>
        <v>0.6949368452396294</v>
      </c>
      <c r="Q29" s="214">
        <f t="shared" si="12"/>
        <v>55.592554991643617</v>
      </c>
      <c r="R29" s="59">
        <f>Calc_Moores_Law!$Q32</f>
        <v>0.2</v>
      </c>
      <c r="S29" s="2">
        <f t="shared" si="17"/>
        <v>20955.341147444509</v>
      </c>
      <c r="T29" s="2">
        <f t="shared" si="9"/>
        <v>51182354.098098733</v>
      </c>
      <c r="U29" s="201">
        <f t="shared" si="10"/>
        <v>1252504.7498555877</v>
      </c>
      <c r="V29" s="201">
        <f t="shared" si="16"/>
        <v>150462289.41498458</v>
      </c>
      <c r="W29" s="200">
        <f>AI_Chip_Prod_TFLOPS_GB_RAM!R27</f>
        <v>9102751632.0265923</v>
      </c>
    </row>
    <row r="30" spans="2:23" x14ac:dyDescent="0.35">
      <c r="B30" s="175">
        <v>2039</v>
      </c>
      <c r="D30" s="364">
        <f t="shared" si="18"/>
        <v>0.15126260940152833</v>
      </c>
      <c r="E30" s="2">
        <f>$J30*KeyChips!S$16*Calc_Moores_Law!L28/Y$3</f>
        <v>10055.514340244967</v>
      </c>
      <c r="F30" s="2">
        <f>$J30*KeyChips!U$16*Calc_Moores_Law!L28/Y$3</f>
        <v>1117279.3711383296</v>
      </c>
      <c r="G30" s="2">
        <f t="shared" si="15"/>
        <v>2234558.7422766583</v>
      </c>
      <c r="H30" s="59">
        <f>Calc_Moores_Law!D28</f>
        <v>4.6602372183207397E-2</v>
      </c>
      <c r="I30" s="2">
        <f t="shared" si="19"/>
        <v>831713.15198811924</v>
      </c>
      <c r="J30" s="2">
        <f t="shared" si="20"/>
        <v>2686694.0085475263</v>
      </c>
      <c r="K30" s="214">
        <f>AI_Chip_Prod_TFLOPS_GB_RAM!F28</f>
        <v>17000</v>
      </c>
      <c r="L30" s="214">
        <f t="shared" si="21"/>
        <v>45.673798145307948</v>
      </c>
      <c r="M30" s="364">
        <f>AI_Chip_Prod_ElecUse!R29</f>
        <v>0.1</v>
      </c>
      <c r="N30" s="2">
        <f>AI_Chip_Prod_ElecUse!G29</f>
        <v>5108.669069467408</v>
      </c>
      <c r="O30" s="2">
        <f t="shared" si="8"/>
        <v>27629.113506382775</v>
      </c>
      <c r="P30" s="599">
        <f t="shared" si="14"/>
        <v>0.66019000297764785</v>
      </c>
      <c r="Q30" s="214">
        <f t="shared" si="12"/>
        <v>60.801548426828724</v>
      </c>
      <c r="R30" s="59">
        <f>Calc_Moores_Law!$Q33</f>
        <v>0.2</v>
      </c>
      <c r="S30" s="2">
        <f t="shared" si="17"/>
        <v>25146.40937693341</v>
      </c>
      <c r="T30" s="2">
        <f t="shared" si="9"/>
        <v>67560707.409490332</v>
      </c>
      <c r="U30" s="201">
        <f t="shared" si="10"/>
        <v>1653306.269809376</v>
      </c>
      <c r="V30" s="201">
        <f t="shared" si="16"/>
        <v>173221607.92842311</v>
      </c>
      <c r="W30" s="200">
        <f>AI_Chip_Prod_TFLOPS_GB_RAM!R28</f>
        <v>9178304470.5724125</v>
      </c>
    </row>
    <row r="31" spans="2:23" x14ac:dyDescent="0.35">
      <c r="B31" s="175">
        <v>2040</v>
      </c>
      <c r="D31" s="364">
        <f t="shared" si="18"/>
        <v>0.30476429065506533</v>
      </c>
      <c r="E31" s="2">
        <f>$J31*KeyChips!S$16*Calc_Moores_Law!L29/Y$3</f>
        <v>13120.076035321561</v>
      </c>
      <c r="F31" s="2">
        <f>$J31*KeyChips!U$16*Calc_Moores_Law!L29/Y$3</f>
        <v>1457786.2261468403</v>
      </c>
      <c r="G31" s="2">
        <f t="shared" si="15"/>
        <v>2915572.4522936787</v>
      </c>
      <c r="H31" s="59">
        <f>Calc_Moores_Law!D29</f>
        <v>4.6602372183207397E-2</v>
      </c>
      <c r="I31" s="2">
        <f t="shared" si="19"/>
        <v>870472.95784673817</v>
      </c>
      <c r="J31" s="2">
        <f t="shared" si="20"/>
        <v>3349411.8639892498</v>
      </c>
      <c r="K31" s="214">
        <f>AI_Chip_Prod_TFLOPS_GB_RAM!F29</f>
        <v>15000</v>
      </c>
      <c r="L31" s="214">
        <f t="shared" si="21"/>
        <v>50.241177959838744</v>
      </c>
      <c r="M31" s="364">
        <f>AI_Chip_Prod_ElecUse!R30</f>
        <v>0.1</v>
      </c>
      <c r="N31" s="2">
        <f>AI_Chip_Prod_ElecUse!G30</f>
        <v>5346.7451668035683</v>
      </c>
      <c r="O31" s="2">
        <f t="shared" si="8"/>
        <v>36049.480685583811</v>
      </c>
      <c r="P31" s="599">
        <f t="shared" si="14"/>
        <v>0.62718050282876547</v>
      </c>
      <c r="Q31" s="214">
        <f t="shared" si="12"/>
        <v>75.365104743667743</v>
      </c>
      <c r="R31" s="59">
        <f>Calc_Moores_Law!$Q34</f>
        <v>0.1</v>
      </c>
      <c r="S31" s="2">
        <f t="shared" si="17"/>
        <v>30175.691252320092</v>
      </c>
      <c r="T31" s="2">
        <f t="shared" si="9"/>
        <v>101070818.28459753</v>
      </c>
      <c r="U31" s="201">
        <f t="shared" si="10"/>
        <v>2473346.1796348263</v>
      </c>
      <c r="V31" s="201">
        <f t="shared" si="16"/>
        <v>226013368.39485881</v>
      </c>
      <c r="W31" s="200">
        <f>AI_Chip_Prod_TFLOPS_GB_RAM!R29</f>
        <v>9254484397.6781635</v>
      </c>
    </row>
    <row r="32" spans="2:23" x14ac:dyDescent="0.35">
      <c r="B32" s="175">
        <v>2041</v>
      </c>
      <c r="D32" s="364">
        <f t="shared" si="18"/>
        <v>0.15126260940152841</v>
      </c>
      <c r="E32" s="2">
        <f>$J32*KeyChips!S$16*Calc_Moores_Law!L30/Y$3</f>
        <v>15104.65297197076</v>
      </c>
      <c r="F32" s="2">
        <f>$J32*KeyChips!U$16*Calc_Moores_Law!L30/Y$3</f>
        <v>1678294.7746634178</v>
      </c>
      <c r="G32" s="2">
        <f t="shared" si="15"/>
        <v>3356589.5493268333</v>
      </c>
      <c r="H32" s="59">
        <f>Calc_Moores_Law!D30</f>
        <v>4.6602372183207397E-2</v>
      </c>
      <c r="I32" s="2">
        <f t="shared" si="19"/>
        <v>911039.06260372931</v>
      </c>
      <c r="J32" s="2">
        <f t="shared" si="20"/>
        <v>3684353.0503881751</v>
      </c>
      <c r="K32" s="214">
        <f>AI_Chip_Prod_TFLOPS_GB_RAM!F30</f>
        <v>15000</v>
      </c>
      <c r="L32" s="214">
        <f t="shared" si="21"/>
        <v>55.265295755822621</v>
      </c>
      <c r="M32" s="364">
        <f>AI_Chip_Prod_ElecUse!R31</f>
        <v>0.1</v>
      </c>
      <c r="N32" s="2">
        <f>AI_Chip_Prod_ElecUse!G31</f>
        <v>5595.9161750357134</v>
      </c>
      <c r="O32" s="2">
        <f t="shared" si="8"/>
        <v>41502.419201655204</v>
      </c>
      <c r="P32" s="599">
        <f t="shared" si="14"/>
        <v>0.59582147768732718</v>
      </c>
      <c r="Q32" s="214">
        <f t="shared" si="12"/>
        <v>82.426775787763688</v>
      </c>
      <c r="R32" s="59">
        <f>Calc_Moores_Law!$Q35</f>
        <v>0.1</v>
      </c>
      <c r="S32" s="2">
        <f t="shared" si="17"/>
        <v>33193.260377552106</v>
      </c>
      <c r="T32" s="2">
        <f t="shared" si="9"/>
        <v>122295690.12436305</v>
      </c>
      <c r="U32" s="201">
        <f t="shared" si="10"/>
        <v>2992748.8773581404</v>
      </c>
      <c r="V32" s="201">
        <f t="shared" si="16"/>
        <v>260200740.25789407</v>
      </c>
      <c r="W32" s="200">
        <f>AI_Chip_Prod_TFLOPS_GB_RAM!R30</f>
        <v>9331296618.1788921</v>
      </c>
    </row>
    <row r="33" spans="2:47" x14ac:dyDescent="0.35">
      <c r="B33" s="175">
        <v>2042</v>
      </c>
      <c r="D33" s="364">
        <f t="shared" si="18"/>
        <v>0.38876084001233252</v>
      </c>
      <c r="E33" s="2">
        <f>$J33*KeyChips!S$16*Calc_Moores_Law!L31/Y$3</f>
        <v>20976.750549448887</v>
      </c>
      <c r="F33" s="2">
        <f>$J33*KeyChips!U$16*Calc_Moores_Law!L31/Y$3</f>
        <v>2330750.0610498763</v>
      </c>
      <c r="G33" s="2">
        <f t="shared" si="15"/>
        <v>4661500.1220997507</v>
      </c>
      <c r="H33" s="59">
        <f>Calc_Moores_Law!D31</f>
        <v>4.6602372183207397E-2</v>
      </c>
      <c r="I33" s="2">
        <f t="shared" si="19"/>
        <v>953495.6440726287</v>
      </c>
      <c r="J33" s="2">
        <f t="shared" si="20"/>
        <v>4888853.0860920008</v>
      </c>
      <c r="K33" s="214">
        <f>AI_Chip_Prod_TFLOPS_GB_RAM!F31</f>
        <v>13000</v>
      </c>
      <c r="L33" s="214">
        <f t="shared" si="21"/>
        <v>63.555090119196009</v>
      </c>
      <c r="M33" s="364">
        <f>AI_Chip_Prod_ElecUse!R32</f>
        <v>0.15</v>
      </c>
      <c r="N33" s="2">
        <f>AI_Chip_Prod_ElecUse!G32</f>
        <v>5856.6991433307585</v>
      </c>
      <c r="O33" s="2">
        <f t="shared" si="8"/>
        <v>57636.934553034655</v>
      </c>
      <c r="P33" s="599">
        <f t="shared" si="14"/>
        <v>0.56603040380296077</v>
      </c>
      <c r="Q33" s="214">
        <f t="shared" si="12"/>
        <v>108.74752446339677</v>
      </c>
      <c r="R33" s="59">
        <f>Calc_Moores_Law!$Q36</f>
        <v>0.1</v>
      </c>
      <c r="S33" s="2">
        <f t="shared" si="17"/>
        <v>36512.58641530732</v>
      </c>
      <c r="T33" s="2">
        <f t="shared" si="9"/>
        <v>178504670.77767605</v>
      </c>
      <c r="U33" s="201">
        <f t="shared" si="10"/>
        <v>4368262.3036823627</v>
      </c>
      <c r="V33" s="201">
        <f t="shared" si="16"/>
        <v>361356598.61238378</v>
      </c>
      <c r="W33" s="200">
        <f>AI_Chip_Prod_TFLOPS_GB_RAM!R31</f>
        <v>9408746380.1097775</v>
      </c>
    </row>
    <row r="34" spans="2:47" x14ac:dyDescent="0.35">
      <c r="B34" s="175">
        <v>2043</v>
      </c>
      <c r="D34" s="364">
        <f t="shared" si="18"/>
        <v>0.5646705464138948</v>
      </c>
      <c r="E34" s="2">
        <f>$J34*KeyChips!S$16*Calc_Moores_Law!L32/Y$3</f>
        <v>32821.703744194157</v>
      </c>
      <c r="F34" s="2">
        <f>$J34*KeyChips!U$16*Calc_Moores_Law!L32/Y$3</f>
        <v>3646855.9715771289</v>
      </c>
      <c r="G34" s="2">
        <f t="shared" si="15"/>
        <v>7293711.943154254</v>
      </c>
      <c r="H34" s="59">
        <f>Calc_Moores_Law!D32</f>
        <v>4.6602372183207397E-2</v>
      </c>
      <c r="I34" s="2">
        <f t="shared" si="19"/>
        <v>997930.8029527684</v>
      </c>
      <c r="J34" s="2">
        <f t="shared" si="20"/>
        <v>7308835.3637075396</v>
      </c>
      <c r="K34" s="214">
        <f>AI_Chip_Prod_TFLOPS_GB_RAM!F32</f>
        <v>10000</v>
      </c>
      <c r="L34" s="214">
        <f t="shared" si="21"/>
        <v>73.0883536370754</v>
      </c>
      <c r="M34" s="364">
        <f>AI_Chip_Prod_ElecUse!R33</f>
        <v>0.15</v>
      </c>
      <c r="N34" s="2">
        <f>AI_Chip_Prod_ElecUse!G33</f>
        <v>6129.6352165733306</v>
      </c>
      <c r="O34" s="2">
        <f t="shared" si="8"/>
        <v>90182.813880718633</v>
      </c>
      <c r="P34" s="599">
        <f t="shared" si="14"/>
        <v>0.53772888361281268</v>
      </c>
      <c r="Q34" s="214">
        <f t="shared" si="12"/>
        <v>161.6463460971363</v>
      </c>
      <c r="R34" s="59">
        <f>Calc_Moores_Law!$Q37</f>
        <v>0.1</v>
      </c>
      <c r="S34" s="2">
        <f t="shared" si="17"/>
        <v>40163.845056838058</v>
      </c>
      <c r="T34" s="2">
        <f t="shared" si="9"/>
        <v>293550931.09388822</v>
      </c>
      <c r="U34" s="201">
        <f t="shared" si="10"/>
        <v>7183607.3584056441</v>
      </c>
      <c r="V34" s="201">
        <f t="shared" si="16"/>
        <v>565404026.60110497</v>
      </c>
      <c r="W34" s="200">
        <f>AI_Chip_Prod_TFLOPS_GB_RAM!R32</f>
        <v>9486838975.0646877</v>
      </c>
    </row>
    <row r="35" spans="2:47" x14ac:dyDescent="0.35">
      <c r="B35" s="175">
        <v>2044</v>
      </c>
      <c r="D35" s="364">
        <f>(E35-E34)/E34</f>
        <v>0.50449091001336055</v>
      </c>
      <c r="E35" s="2">
        <f>$J35*KeyChips!S$16*Calc_Moores_Law!L33/Y$3</f>
        <v>49379.954934291593</v>
      </c>
      <c r="F35" s="2">
        <f>$J35*KeyChips!U$16*Calc_Moores_Law!L33/Y$3</f>
        <v>5486661.6593657332</v>
      </c>
      <c r="G35" s="2">
        <f t="shared" si="15"/>
        <v>10973323.318731461</v>
      </c>
      <c r="H35" s="59">
        <f>Calc_Moores_Law!D33</f>
        <v>4.6602372183207397E-2</v>
      </c>
      <c r="I35" s="2">
        <f>I34*(1+H34)</f>
        <v>1044436.7456450603</v>
      </c>
      <c r="J35" s="2">
        <f t="shared" si="20"/>
        <v>10506450.835329589</v>
      </c>
      <c r="K35" s="214">
        <f>AI_Chip_Prod_TFLOPS_GB_RAM!F33</f>
        <v>8000</v>
      </c>
      <c r="L35" s="214">
        <f t="shared" si="21"/>
        <v>84.051606682636702</v>
      </c>
      <c r="M35" s="364">
        <f>AI_Chip_Prod_ElecUse!R34</f>
        <v>0.15</v>
      </c>
      <c r="N35" s="2">
        <f>AI_Chip_Prod_ElecUse!G34</f>
        <v>6415.2907582833759</v>
      </c>
      <c r="O35" s="2">
        <f t="shared" si="8"/>
        <v>135679.2237229679</v>
      </c>
      <c r="P35" s="599">
        <f t="shared" si="14"/>
        <v>0.510842439432172</v>
      </c>
      <c r="Q35" s="214">
        <f t="shared" si="12"/>
        <v>231.03568542301446</v>
      </c>
      <c r="R35" s="59">
        <f>Calc_Moores_Law!$Q38</f>
        <v>0.1</v>
      </c>
      <c r="S35" s="2">
        <f t="shared" si="17"/>
        <v>44180.229562521869</v>
      </c>
      <c r="T35" s="2">
        <f t="shared" si="9"/>
        <v>464177409.79221088</v>
      </c>
      <c r="U35" s="201">
        <f t="shared" si="10"/>
        <v>11359079.135478929</v>
      </c>
      <c r="V35" s="201">
        <f t="shared" si="16"/>
        <v>850645218.50631475</v>
      </c>
      <c r="W35" s="200">
        <f>AI_Chip_Prod_TFLOPS_GB_RAM!R33</f>
        <v>9565579738.557724</v>
      </c>
    </row>
    <row r="36" spans="2:47" ht="15" thickBot="1" x14ac:dyDescent="0.4">
      <c r="B36" s="424">
        <v>2045</v>
      </c>
      <c r="C36" s="425" t="s">
        <v>991</v>
      </c>
      <c r="D36" s="515">
        <f>(E36-E35)/E35</f>
        <v>0.20359272801068828</v>
      </c>
      <c r="E36" s="155">
        <f>$J36*KeyChips!S$16*Calc_Moores_Law!L34/Y$3</f>
        <v>59433.354668408865</v>
      </c>
      <c r="F36" s="155">
        <f>$J36*KeyChips!U$16*Calc_Moores_Law!L34/Y$3</f>
        <v>6603706.074267651</v>
      </c>
      <c r="G36" s="155">
        <f t="shared" si="15"/>
        <v>13207412.148535296</v>
      </c>
      <c r="H36" s="192">
        <f>Calc_Moores_Law!D34</f>
        <v>4.6602372183207397E-2</v>
      </c>
      <c r="I36" s="155">
        <f t="shared" si="19"/>
        <v>1093109.9755874292</v>
      </c>
      <c r="J36" s="155">
        <f t="shared" si="20"/>
        <v>12082418.460629024</v>
      </c>
      <c r="K36" s="216">
        <f>AI_Chip_Prod_TFLOPS_GB_RAM!F34</f>
        <v>8000</v>
      </c>
      <c r="L36" s="216">
        <f t="shared" si="21"/>
        <v>96.659347685032202</v>
      </c>
      <c r="M36" s="515">
        <f>AI_Chip_Prod_ElecUse!R35</f>
        <v>0.15</v>
      </c>
      <c r="N36" s="155">
        <f>AI_Chip_Prod_ElecUse!G35</f>
        <v>6714.2585258643885</v>
      </c>
      <c r="O36" s="155">
        <f t="shared" si="8"/>
        <v>163302.52701509942</v>
      </c>
      <c r="P36" s="601">
        <f t="shared" si="14"/>
        <v>0.4853003174605634</v>
      </c>
      <c r="Q36" s="216">
        <f t="shared" si="12"/>
        <v>264.16922734179997</v>
      </c>
      <c r="R36" s="192">
        <f>Calc_Moores_Law!$Q39</f>
        <v>0.1</v>
      </c>
      <c r="S36" s="155">
        <f t="shared" si="17"/>
        <v>48598.252518774061</v>
      </c>
      <c r="T36" s="155">
        <f t="shared" si="9"/>
        <v>587184423.38714659</v>
      </c>
      <c r="U36" s="155">
        <f t="shared" si="10"/>
        <v>14369235.106380839</v>
      </c>
      <c r="V36" s="157">
        <f t="shared" si="16"/>
        <v>1023830399.1112633</v>
      </c>
      <c r="W36" s="158">
        <f>AI_Chip_Prod_TFLOPS_GB_RAM!R34</f>
        <v>9644974050.3877525</v>
      </c>
    </row>
    <row r="37" spans="2:47" ht="15" thickTop="1" x14ac:dyDescent="0.35">
      <c r="B37" s="44" t="s">
        <v>291</v>
      </c>
      <c r="T37" s="76"/>
      <c r="U37" s="76"/>
    </row>
    <row r="38" spans="2:47" x14ac:dyDescent="0.35">
      <c r="I38" s="34">
        <f>I33*(1+D33)</f>
        <v>1324177.4116104038</v>
      </c>
      <c r="V38" s="76">
        <f>((V20/V15)^(1/($B20-$B15)))-1</f>
        <v>1.6278730168367388</v>
      </c>
      <c r="W38" s="76"/>
    </row>
    <row r="39" spans="2:47" x14ac:dyDescent="0.35">
      <c r="I39" t="s">
        <v>316</v>
      </c>
      <c r="V39" t="s">
        <v>316</v>
      </c>
    </row>
    <row r="40" spans="2:47" ht="24" thickBot="1" x14ac:dyDescent="0.6">
      <c r="B40" s="30" t="s">
        <v>939</v>
      </c>
      <c r="C40" s="31"/>
      <c r="D40" s="31"/>
      <c r="E40" s="31"/>
      <c r="F40" s="31"/>
      <c r="G40" s="31"/>
      <c r="H40" s="31"/>
      <c r="I40" s="31"/>
      <c r="J40" s="31"/>
      <c r="K40" s="31"/>
      <c r="L40" s="31"/>
      <c r="M40" s="31"/>
      <c r="N40" s="31"/>
      <c r="O40" s="31"/>
      <c r="P40" s="31"/>
      <c r="Q40" s="31"/>
      <c r="R40" s="31"/>
      <c r="S40" s="31"/>
      <c r="T40" s="31"/>
      <c r="U40" s="31"/>
      <c r="V40" s="31"/>
      <c r="W40" s="31"/>
      <c r="X40" s="31"/>
      <c r="Y40" s="31"/>
      <c r="Z40" s="31"/>
      <c r="AC40" s="11"/>
    </row>
    <row r="41" spans="2:47" ht="15" thickTop="1" x14ac:dyDescent="0.35">
      <c r="B41" s="83" t="s">
        <v>7</v>
      </c>
      <c r="C41" s="19" t="s">
        <v>275</v>
      </c>
      <c r="D41" s="84" t="s">
        <v>244</v>
      </c>
      <c r="E41" s="84" t="str">
        <f t="shared" ref="E41:I42" si="22">E5</f>
        <v>exa-FLOPS</v>
      </c>
      <c r="F41" s="84" t="str">
        <f t="shared" si="22"/>
        <v>exa-FLOPS</v>
      </c>
      <c r="G41" s="84" t="str">
        <f t="shared" si="22"/>
        <v>exa-FLOPS</v>
      </c>
      <c r="H41" s="84"/>
      <c r="I41" s="84" t="str">
        <f t="shared" si="22"/>
        <v>Best TFLOPS</v>
      </c>
      <c r="J41" s="84" t="str">
        <f t="shared" ref="J41:L41" si="23">J5</f>
        <v xml:space="preserve">Number of </v>
      </c>
      <c r="K41" s="84" t="str">
        <f t="shared" si="23"/>
        <v>Price in USD</v>
      </c>
      <c r="L41" s="84" t="str">
        <f t="shared" si="23"/>
        <v>Price of</v>
      </c>
      <c r="M41" s="84" t="str">
        <f t="shared" ref="M41:O41" si="24">M5</f>
        <v>Growth</v>
      </c>
      <c r="N41" s="84" t="str">
        <f t="shared" ref="N41" si="25">N5</f>
        <v>Watt use</v>
      </c>
      <c r="O41" s="84" t="str">
        <f t="shared" si="24"/>
        <v xml:space="preserve">Million </v>
      </c>
      <c r="P41" s="84" t="str">
        <f t="shared" ref="P41:Q41" si="26">P5</f>
        <v xml:space="preserve">Cost of </v>
      </c>
      <c r="Q41" s="84" t="str">
        <f t="shared" si="26"/>
        <v>Cost of wind</v>
      </c>
      <c r="R41" s="84" t="str">
        <f t="shared" ref="R41:S41" si="27">R5</f>
        <v>Moore's Law</v>
      </c>
      <c r="S41" s="84" t="str">
        <f t="shared" si="27"/>
        <v>GB RAM</v>
      </c>
      <c r="T41" s="84" t="str">
        <f t="shared" ref="T41:W41" si="28">T5</f>
        <v>TB RAM</v>
      </c>
      <c r="U41" s="84" t="str">
        <f t="shared" si="28"/>
        <v># of AGI brains</v>
      </c>
      <c r="V41" s="84" t="str">
        <f t="shared" si="28"/>
        <v># of AGI brains if</v>
      </c>
      <c r="W41" s="85" t="str">
        <f t="shared" si="28"/>
        <v># of humans on</v>
      </c>
      <c r="AC41" s="89"/>
      <c r="AD41" s="8"/>
      <c r="AE41" s="8"/>
      <c r="AF41" s="8"/>
      <c r="AG41" s="8"/>
      <c r="AH41" s="36"/>
      <c r="AI41" s="36"/>
      <c r="AJ41" s="8"/>
      <c r="AK41" s="8"/>
      <c r="AL41" s="8"/>
      <c r="AM41" s="8"/>
      <c r="AN41" s="8"/>
      <c r="AO41" s="8"/>
      <c r="AP41" s="8"/>
      <c r="AQ41" s="8"/>
      <c r="AR41" s="8"/>
      <c r="AS41" s="8"/>
      <c r="AT41" s="8"/>
      <c r="AU41" s="8"/>
    </row>
    <row r="42" spans="2:47" x14ac:dyDescent="0.35">
      <c r="B42" s="21">
        <v>1993</v>
      </c>
      <c r="C42" s="13" t="str">
        <f>C6</f>
        <v>Fujitsu</v>
      </c>
      <c r="D42" s="370" t="s">
        <v>243</v>
      </c>
      <c r="E42" s="135" t="str">
        <f t="shared" si="22"/>
        <v>FP32</v>
      </c>
      <c r="F42" s="135" t="str">
        <f t="shared" si="22"/>
        <v>FP8</v>
      </c>
      <c r="G42" s="135" t="str">
        <f t="shared" si="22"/>
        <v>FP4</v>
      </c>
      <c r="H42" s="135"/>
      <c r="I42" s="135" t="str">
        <f t="shared" si="22"/>
        <v>per chipset &amp;</v>
      </c>
      <c r="J42" s="135" t="str">
        <f t="shared" ref="J42:L42" si="29">J6</f>
        <v>AI chipsets</v>
      </c>
      <c r="K42" s="135" t="str">
        <f t="shared" si="29"/>
        <v xml:space="preserve">for one </v>
      </c>
      <c r="L42" s="135" t="str">
        <f t="shared" si="29"/>
        <v>one SC in</v>
      </c>
      <c r="M42" s="135" t="str">
        <f t="shared" ref="M42:O42" si="30">M6</f>
        <v>in price</v>
      </c>
      <c r="N42" s="135" t="str">
        <f t="shared" ref="N42" si="31">N6</f>
        <v>one AI</v>
      </c>
      <c r="O42" s="135" t="str">
        <f t="shared" si="30"/>
        <v>watt used</v>
      </c>
      <c r="P42" s="135" t="str">
        <f t="shared" ref="P42:Q42" si="32">P6</f>
        <v>wind power</v>
      </c>
      <c r="Q42" s="135" t="str">
        <f t="shared" si="32"/>
        <v>power plant</v>
      </c>
      <c r="R42" s="135" t="str">
        <f t="shared" ref="R42:S42" si="33">R6</f>
        <v>multiplicator</v>
      </c>
      <c r="S42" s="135" t="str">
        <f t="shared" si="33"/>
        <v>for one</v>
      </c>
      <c r="T42" s="135" t="str">
        <f t="shared" ref="T42:W42" si="34">T6</f>
        <v xml:space="preserve"> used</v>
      </c>
      <c r="U42" s="135" t="str">
        <f t="shared" si="34"/>
        <v>if 1 brain is GB</v>
      </c>
      <c r="V42" s="135" t="str">
        <f t="shared" si="34"/>
        <v>1 brain is TFLOPS</v>
      </c>
      <c r="W42" s="467" t="str">
        <f t="shared" si="34"/>
        <v>Earth. Annual</v>
      </c>
      <c r="AC42" s="8"/>
      <c r="AD42" s="8"/>
      <c r="AE42" s="8"/>
      <c r="AF42" s="8"/>
      <c r="AG42" s="8"/>
      <c r="AH42" s="367"/>
      <c r="AI42" s="367"/>
      <c r="AJ42" s="174"/>
      <c r="AK42" s="174"/>
      <c r="AL42" s="174"/>
      <c r="AM42" s="174"/>
      <c r="AN42" s="174"/>
      <c r="AO42" s="174"/>
      <c r="AP42" s="174"/>
      <c r="AQ42" s="174"/>
      <c r="AR42" s="131"/>
      <c r="AS42" s="131"/>
      <c r="AT42" s="131"/>
      <c r="AU42" s="131"/>
    </row>
    <row r="43" spans="2:47" ht="15" thickBot="1" x14ac:dyDescent="0.4">
      <c r="B43" s="21">
        <v>2024</v>
      </c>
      <c r="C43" s="13" t="str">
        <f>C51</f>
        <v>xAI, H100</v>
      </c>
      <c r="D43" s="79" t="s">
        <v>236</v>
      </c>
      <c r="E43" s="167"/>
      <c r="F43" s="88"/>
      <c r="G43" s="88"/>
      <c r="H43" s="88"/>
      <c r="I43" s="135" t="str">
        <f>I7</f>
        <v>Moore's law</v>
      </c>
      <c r="J43" s="135" t="str">
        <f t="shared" ref="J43:L43" si="35">J7</f>
        <v>in one SC</v>
      </c>
      <c r="K43" s="135" t="str">
        <f t="shared" si="35"/>
        <v>AI chipset</v>
      </c>
      <c r="L43" s="135" t="str">
        <f t="shared" si="35"/>
        <v>billion USD</v>
      </c>
      <c r="M43" s="135" t="str">
        <f t="shared" ref="M43:O43" si="36">M7</f>
        <v>of 1 SC</v>
      </c>
      <c r="N43" s="135" t="str">
        <f t="shared" ref="N43" si="37">N7</f>
        <v>chipset</v>
      </c>
      <c r="O43" s="135" t="str">
        <f t="shared" si="36"/>
        <v>in one SC</v>
      </c>
      <c r="P43" s="135" t="str">
        <f t="shared" ref="P43:Q43" si="38">P7</f>
        <v>B.USD/GW</v>
      </c>
      <c r="Q43" s="135" t="str">
        <f t="shared" si="38"/>
        <v>30% cap. f.</v>
      </c>
      <c r="R43" s="135" t="str">
        <f t="shared" ref="R43:S43" si="39">R7</f>
        <v>for RAM mem.</v>
      </c>
      <c r="S43" s="135" t="str">
        <f t="shared" si="39"/>
        <v>AI chipset</v>
      </c>
      <c r="T43" s="135"/>
      <c r="U43" s="167" t="s">
        <v>236</v>
      </c>
      <c r="V43" s="142" t="s">
        <v>236</v>
      </c>
      <c r="W43" s="168" t="str">
        <f>W7</f>
        <v>growth is 0.83%</v>
      </c>
      <c r="AC43" s="8"/>
      <c r="AD43" s="8"/>
      <c r="AE43" s="46"/>
      <c r="AF43" s="46"/>
      <c r="AG43" s="46"/>
      <c r="AH43" s="36"/>
      <c r="AI43" s="36"/>
      <c r="AK43" s="367"/>
      <c r="AL43" s="367"/>
      <c r="AM43" s="367"/>
      <c r="AN43" s="36"/>
      <c r="AO43" s="36"/>
      <c r="AP43" s="36"/>
      <c r="AQ43" s="36"/>
      <c r="AR43" s="368"/>
      <c r="AS43" s="46"/>
      <c r="AT43" s="349"/>
      <c r="AU43" s="349"/>
    </row>
    <row r="44" spans="2:47" ht="15" thickTop="1" x14ac:dyDescent="0.35">
      <c r="B44" s="433" t="str">
        <f t="shared" ref="B44:B46" si="40">B8</f>
        <v>Growth 1993 to 2023</v>
      </c>
      <c r="C44" s="441"/>
      <c r="D44" s="446" t="s">
        <v>138</v>
      </c>
      <c r="E44" s="451" t="s">
        <v>45</v>
      </c>
      <c r="F44" s="451" t="s">
        <v>45</v>
      </c>
      <c r="G44" s="451" t="s">
        <v>45</v>
      </c>
      <c r="H44" s="451"/>
      <c r="I44" s="451" t="s">
        <v>45</v>
      </c>
      <c r="J44" s="451" t="s">
        <v>45</v>
      </c>
      <c r="K44" s="451" t="s">
        <v>45</v>
      </c>
      <c r="L44" s="451" t="s">
        <v>45</v>
      </c>
      <c r="M44" s="451" t="s">
        <v>45</v>
      </c>
      <c r="N44" s="451" t="s">
        <v>45</v>
      </c>
      <c r="O44" s="451" t="s">
        <v>45</v>
      </c>
      <c r="P44" s="451" t="s">
        <v>45</v>
      </c>
      <c r="Q44" s="451" t="s">
        <v>45</v>
      </c>
      <c r="R44" s="499" t="s">
        <v>45</v>
      </c>
      <c r="S44" s="451" t="s">
        <v>45</v>
      </c>
      <c r="T44" s="451" t="s">
        <v>45</v>
      </c>
      <c r="U44" s="451" t="s">
        <v>45</v>
      </c>
      <c r="V44" s="451" t="s">
        <v>45</v>
      </c>
      <c r="W44" s="447"/>
      <c r="AC44" s="8"/>
      <c r="AD44" s="8"/>
      <c r="AE44" s="46"/>
      <c r="AF44" s="46"/>
      <c r="AG44" s="46"/>
      <c r="AH44" s="36"/>
      <c r="AI44" s="36"/>
      <c r="AK44" s="367"/>
      <c r="AL44" s="367"/>
      <c r="AM44" s="367"/>
      <c r="AN44" s="36"/>
      <c r="AO44" s="36"/>
      <c r="AP44" s="36"/>
      <c r="AQ44" s="36"/>
      <c r="AR44" s="368"/>
      <c r="AS44" s="46"/>
      <c r="AT44" s="349"/>
      <c r="AU44" s="349"/>
    </row>
    <row r="45" spans="2:47" x14ac:dyDescent="0.35">
      <c r="B45" s="426" t="str">
        <f t="shared" si="40"/>
        <v>Growth 2023 to 2029</v>
      </c>
      <c r="C45" s="444"/>
      <c r="D45" s="118" t="s">
        <v>45</v>
      </c>
      <c r="E45" s="118" t="s">
        <v>138</v>
      </c>
      <c r="F45" s="118" t="s">
        <v>138</v>
      </c>
      <c r="G45" s="118" t="s">
        <v>45</v>
      </c>
      <c r="H45" s="118"/>
      <c r="I45" s="118" t="s">
        <v>45</v>
      </c>
      <c r="J45" s="118" t="s">
        <v>138</v>
      </c>
      <c r="K45" s="118" t="s">
        <v>138</v>
      </c>
      <c r="L45" s="118" t="s">
        <v>138</v>
      </c>
      <c r="M45" s="118" t="s">
        <v>45</v>
      </c>
      <c r="N45" s="118" t="s">
        <v>138</v>
      </c>
      <c r="O45" s="118" t="s">
        <v>138</v>
      </c>
      <c r="P45" s="602" t="s">
        <v>1206</v>
      </c>
      <c r="Q45" s="118" t="s">
        <v>1207</v>
      </c>
      <c r="R45" s="498" t="s">
        <v>45</v>
      </c>
      <c r="S45" s="118" t="s">
        <v>138</v>
      </c>
      <c r="T45" s="118" t="s">
        <v>138</v>
      </c>
      <c r="U45" s="118" t="s">
        <v>138</v>
      </c>
      <c r="V45" s="118" t="s">
        <v>138</v>
      </c>
      <c r="W45" s="448" t="s">
        <v>138</v>
      </c>
      <c r="AC45" s="8"/>
      <c r="AD45" s="8"/>
      <c r="AE45" s="46"/>
      <c r="AF45" s="46"/>
      <c r="AG45" s="46"/>
      <c r="AH45" s="36"/>
      <c r="AI45" s="36"/>
      <c r="AK45" s="367"/>
      <c r="AL45" s="367"/>
      <c r="AM45" s="367"/>
      <c r="AN45" s="36"/>
      <c r="AO45" s="36"/>
      <c r="AP45" s="36"/>
      <c r="AQ45" s="36"/>
      <c r="AR45" s="368"/>
      <c r="AS45" s="46"/>
      <c r="AT45" s="349"/>
      <c r="AU45" s="349"/>
    </row>
    <row r="46" spans="2:47" x14ac:dyDescent="0.35">
      <c r="B46" s="426" t="str">
        <f t="shared" si="40"/>
        <v>Growth 2029 to 2045</v>
      </c>
      <c r="C46" s="110"/>
      <c r="D46" s="469" t="s">
        <v>45</v>
      </c>
      <c r="E46" s="469" t="s">
        <v>138</v>
      </c>
      <c r="F46" s="469" t="s">
        <v>138</v>
      </c>
      <c r="G46" s="469" t="s">
        <v>138</v>
      </c>
      <c r="H46" s="469"/>
      <c r="I46" s="469" t="s">
        <v>138</v>
      </c>
      <c r="J46" s="469" t="s">
        <v>138</v>
      </c>
      <c r="K46" s="469" t="s">
        <v>138</v>
      </c>
      <c r="L46" s="469" t="s">
        <v>138</v>
      </c>
      <c r="M46" s="469" t="s">
        <v>45</v>
      </c>
      <c r="N46" s="469" t="s">
        <v>138</v>
      </c>
      <c r="O46" s="469" t="s">
        <v>138</v>
      </c>
      <c r="P46" s="469" t="s">
        <v>138</v>
      </c>
      <c r="Q46" s="469" t="s">
        <v>138</v>
      </c>
      <c r="R46" s="498" t="s">
        <v>45</v>
      </c>
      <c r="S46" s="469" t="s">
        <v>138</v>
      </c>
      <c r="T46" s="469" t="s">
        <v>138</v>
      </c>
      <c r="U46" s="469" t="s">
        <v>138</v>
      </c>
      <c r="V46" s="469" t="s">
        <v>138</v>
      </c>
      <c r="W46" s="470" t="s">
        <v>138</v>
      </c>
      <c r="AC46" s="8"/>
      <c r="AE46" s="174"/>
      <c r="AF46" s="174"/>
      <c r="AG46" s="174"/>
      <c r="AH46" s="174"/>
      <c r="AI46" s="174"/>
      <c r="AJ46" s="174"/>
      <c r="AK46" s="174"/>
      <c r="AL46" s="174"/>
      <c r="AM46" s="174"/>
      <c r="AN46" s="174"/>
      <c r="AO46" s="174"/>
      <c r="AP46" s="174"/>
      <c r="AQ46" s="174"/>
      <c r="AR46" s="174"/>
      <c r="AS46" s="174"/>
      <c r="AT46" s="174"/>
      <c r="AU46" s="174"/>
    </row>
    <row r="47" spans="2:47" ht="15" thickBot="1" x14ac:dyDescent="0.4">
      <c r="B47" s="73" t="str">
        <f>B11</f>
        <v>Growth 2023 to 2045</v>
      </c>
      <c r="C47" s="82"/>
      <c r="D47" s="430" t="s">
        <v>45</v>
      </c>
      <c r="E47" s="430" t="s">
        <v>138</v>
      </c>
      <c r="F47" s="430" t="s">
        <v>138</v>
      </c>
      <c r="G47" s="430" t="s">
        <v>45</v>
      </c>
      <c r="H47" s="430"/>
      <c r="I47" s="430" t="s">
        <v>45</v>
      </c>
      <c r="J47" s="430" t="s">
        <v>138</v>
      </c>
      <c r="K47" s="430" t="s">
        <v>138</v>
      </c>
      <c r="L47" s="430" t="s">
        <v>138</v>
      </c>
      <c r="M47" s="430" t="s">
        <v>45</v>
      </c>
      <c r="N47" s="430" t="s">
        <v>138</v>
      </c>
      <c r="O47" s="430" t="s">
        <v>138</v>
      </c>
      <c r="P47" s="430" t="s">
        <v>138</v>
      </c>
      <c r="Q47" s="430" t="s">
        <v>138</v>
      </c>
      <c r="R47" s="366" t="s">
        <v>45</v>
      </c>
      <c r="S47" s="430" t="s">
        <v>138</v>
      </c>
      <c r="T47" s="430" t="s">
        <v>138</v>
      </c>
      <c r="U47" s="430" t="s">
        <v>138</v>
      </c>
      <c r="V47" s="430" t="s">
        <v>138</v>
      </c>
      <c r="W47" s="450" t="s">
        <v>138</v>
      </c>
      <c r="AC47" s="8"/>
      <c r="AE47" s="174"/>
      <c r="AF47" s="174"/>
      <c r="AG47" s="174"/>
      <c r="AH47" s="174"/>
      <c r="AI47" s="174"/>
      <c r="AJ47" s="174"/>
      <c r="AK47" s="174"/>
      <c r="AL47" s="174"/>
      <c r="AM47" s="174"/>
      <c r="AN47" s="174"/>
      <c r="AO47" s="174"/>
      <c r="AP47" s="174"/>
      <c r="AQ47" s="174"/>
      <c r="AR47" s="174"/>
      <c r="AS47" s="174"/>
      <c r="AT47" s="174"/>
      <c r="AU47" s="174"/>
    </row>
    <row r="48" spans="2:47" ht="15" thickTop="1" x14ac:dyDescent="0.35">
      <c r="B48" s="350">
        <v>2021</v>
      </c>
      <c r="C48" s="226" t="str">
        <f>C12</f>
        <v>OpenAI, GPT-4, A100</v>
      </c>
      <c r="D48" s="227" t="s">
        <v>45</v>
      </c>
      <c r="E48" s="227" t="s">
        <v>236</v>
      </c>
      <c r="F48" s="227" t="s">
        <v>236</v>
      </c>
      <c r="G48" s="227" t="s">
        <v>45</v>
      </c>
      <c r="H48" s="227"/>
      <c r="I48" s="227" t="s">
        <v>45</v>
      </c>
      <c r="J48" s="227" t="s">
        <v>236</v>
      </c>
      <c r="K48" s="227" t="s">
        <v>236</v>
      </c>
      <c r="L48" s="227" t="s">
        <v>138</v>
      </c>
      <c r="M48" s="227" t="s">
        <v>45</v>
      </c>
      <c r="N48" s="227" t="s">
        <v>236</v>
      </c>
      <c r="O48" s="227" t="s">
        <v>138</v>
      </c>
      <c r="P48" s="227"/>
      <c r="Q48" s="227"/>
      <c r="R48" s="227" t="s">
        <v>45</v>
      </c>
      <c r="S48" s="227" t="s">
        <v>236</v>
      </c>
      <c r="T48" s="227" t="s">
        <v>236</v>
      </c>
      <c r="U48" s="201" t="s">
        <v>138</v>
      </c>
      <c r="V48" s="201" t="s">
        <v>138</v>
      </c>
      <c r="W48" s="200" t="s">
        <v>236</v>
      </c>
      <c r="AD48" s="8"/>
      <c r="AE48" s="76"/>
      <c r="AF48" s="76"/>
      <c r="AG48" s="76"/>
      <c r="AH48" s="2"/>
      <c r="AI48" s="2"/>
      <c r="AJ48" s="2"/>
      <c r="AK48" s="2"/>
      <c r="AL48" s="2"/>
      <c r="AM48" s="2"/>
      <c r="AN48" s="2"/>
      <c r="AO48" s="2"/>
      <c r="AP48" s="2"/>
      <c r="AQ48" s="2"/>
      <c r="AR48" s="34"/>
      <c r="AS48" s="34"/>
      <c r="AT48" s="34"/>
      <c r="AU48" s="34"/>
    </row>
    <row r="49" spans="2:47" x14ac:dyDescent="0.35">
      <c r="B49" s="350">
        <v>2022</v>
      </c>
      <c r="C49" s="226" t="str">
        <f t="shared" ref="C49:C53" si="41">C13</f>
        <v>NVIDIA, Eos, H100</v>
      </c>
      <c r="D49" s="419" t="s">
        <v>138</v>
      </c>
      <c r="E49" s="227" t="s">
        <v>236</v>
      </c>
      <c r="F49" s="227" t="s">
        <v>236</v>
      </c>
      <c r="G49" s="227" t="s">
        <v>45</v>
      </c>
      <c r="H49" s="227"/>
      <c r="I49" s="227" t="s">
        <v>45</v>
      </c>
      <c r="J49" s="227" t="s">
        <v>236</v>
      </c>
      <c r="K49" s="227" t="s">
        <v>236</v>
      </c>
      <c r="L49" s="227" t="s">
        <v>138</v>
      </c>
      <c r="M49" s="227" t="s">
        <v>138</v>
      </c>
      <c r="N49" s="227" t="s">
        <v>236</v>
      </c>
      <c r="O49" s="227" t="s">
        <v>138</v>
      </c>
      <c r="P49" s="227"/>
      <c r="Q49" s="227"/>
      <c r="R49" s="227" t="s">
        <v>45</v>
      </c>
      <c r="S49" s="227" t="s">
        <v>236</v>
      </c>
      <c r="T49" s="227" t="s">
        <v>236</v>
      </c>
      <c r="U49" s="201" t="s">
        <v>138</v>
      </c>
      <c r="V49" s="201" t="s">
        <v>138</v>
      </c>
      <c r="W49" s="200" t="s">
        <v>236</v>
      </c>
      <c r="AD49" s="8"/>
      <c r="AE49" s="369"/>
      <c r="AF49" s="369"/>
      <c r="AG49" s="369"/>
      <c r="AH49" s="34"/>
      <c r="AI49" s="34"/>
      <c r="AJ49" s="34"/>
      <c r="AK49" s="34"/>
      <c r="AL49" s="34"/>
      <c r="AM49" s="34"/>
      <c r="AN49" s="34"/>
      <c r="AO49" s="34"/>
      <c r="AP49" s="34"/>
      <c r="AQ49" s="34"/>
      <c r="AR49" s="34"/>
      <c r="AS49" s="34"/>
      <c r="AT49" s="34"/>
      <c r="AU49" s="34"/>
    </row>
    <row r="50" spans="2:47" x14ac:dyDescent="0.35">
      <c r="B50" s="350">
        <v>2023</v>
      </c>
      <c r="C50" s="226" t="str">
        <f t="shared" si="41"/>
        <v>Tesla, H100</v>
      </c>
      <c r="D50" s="419" t="s">
        <v>138</v>
      </c>
      <c r="E50" s="227" t="s">
        <v>236</v>
      </c>
      <c r="F50" s="227" t="s">
        <v>236</v>
      </c>
      <c r="G50" s="227" t="s">
        <v>45</v>
      </c>
      <c r="H50" s="227"/>
      <c r="I50" s="227" t="s">
        <v>45</v>
      </c>
      <c r="J50" s="227" t="s">
        <v>236</v>
      </c>
      <c r="K50" s="227" t="s">
        <v>236</v>
      </c>
      <c r="L50" s="227" t="s">
        <v>138</v>
      </c>
      <c r="M50" s="227" t="s">
        <v>138</v>
      </c>
      <c r="N50" s="227" t="s">
        <v>236</v>
      </c>
      <c r="O50" s="227" t="s">
        <v>138</v>
      </c>
      <c r="P50" s="227" t="s">
        <v>1205</v>
      </c>
      <c r="Q50" s="227"/>
      <c r="R50" s="227" t="s">
        <v>45</v>
      </c>
      <c r="S50" s="227" t="s">
        <v>236</v>
      </c>
      <c r="T50" s="227" t="s">
        <v>236</v>
      </c>
      <c r="U50" s="201" t="s">
        <v>138</v>
      </c>
      <c r="V50" s="201" t="s">
        <v>138</v>
      </c>
      <c r="W50" s="200" t="s">
        <v>236</v>
      </c>
      <c r="AD50" s="8"/>
      <c r="AE50" s="369"/>
      <c r="AF50" s="369"/>
      <c r="AG50" s="369"/>
      <c r="AH50" s="34"/>
      <c r="AI50" s="34"/>
      <c r="AJ50" s="34"/>
      <c r="AK50" s="34"/>
      <c r="AL50" s="34"/>
      <c r="AM50" s="34"/>
      <c r="AN50" s="34"/>
      <c r="AO50" s="34"/>
      <c r="AP50" s="34"/>
      <c r="AQ50" s="34"/>
      <c r="AR50" s="34"/>
      <c r="AS50" s="34"/>
      <c r="AT50" s="34"/>
      <c r="AU50" s="34"/>
    </row>
    <row r="51" spans="2:47" x14ac:dyDescent="0.35">
      <c r="B51" s="350">
        <v>2024</v>
      </c>
      <c r="C51" s="226" t="str">
        <f t="shared" si="41"/>
        <v>xAI, H100</v>
      </c>
      <c r="D51" s="419" t="s">
        <v>138</v>
      </c>
      <c r="E51" s="227" t="s">
        <v>236</v>
      </c>
      <c r="F51" s="227" t="s">
        <v>236</v>
      </c>
      <c r="G51" s="227" t="s">
        <v>45</v>
      </c>
      <c r="H51" s="227"/>
      <c r="I51" s="227" t="s">
        <v>45</v>
      </c>
      <c r="J51" s="227" t="s">
        <v>236</v>
      </c>
      <c r="K51" s="227" t="s">
        <v>236</v>
      </c>
      <c r="L51" s="227" t="s">
        <v>138</v>
      </c>
      <c r="M51" s="227" t="s">
        <v>138</v>
      </c>
      <c r="N51" s="227" t="s">
        <v>236</v>
      </c>
      <c r="O51" s="227" t="s">
        <v>138</v>
      </c>
      <c r="P51" s="227"/>
      <c r="Q51" s="227"/>
      <c r="R51" s="227" t="s">
        <v>45</v>
      </c>
      <c r="S51" s="485" t="s">
        <v>1127</v>
      </c>
      <c r="T51" s="227" t="s">
        <v>236</v>
      </c>
      <c r="U51" s="201" t="s">
        <v>138</v>
      </c>
      <c r="V51" s="201" t="s">
        <v>138</v>
      </c>
      <c r="W51" s="200" t="s">
        <v>236</v>
      </c>
      <c r="AD51" s="8"/>
      <c r="AE51" s="76"/>
      <c r="AF51" s="76"/>
      <c r="AG51" s="76"/>
      <c r="AH51" s="2"/>
      <c r="AI51" s="2"/>
      <c r="AJ51" s="2"/>
      <c r="AK51" s="2"/>
      <c r="AL51" s="2"/>
      <c r="AM51" s="2"/>
      <c r="AN51" s="2"/>
      <c r="AO51" s="2"/>
      <c r="AP51" s="2"/>
      <c r="AQ51" s="2"/>
      <c r="AR51" s="34"/>
      <c r="AS51" s="34"/>
      <c r="AT51" s="34"/>
      <c r="AU51" s="34"/>
    </row>
    <row r="52" spans="2:47" x14ac:dyDescent="0.35">
      <c r="B52" s="350">
        <v>2025</v>
      </c>
      <c r="C52" s="226" t="str">
        <f t="shared" si="41"/>
        <v>Meta, H100</v>
      </c>
      <c r="D52" s="419" t="s">
        <v>138</v>
      </c>
      <c r="E52" s="227" t="s">
        <v>236</v>
      </c>
      <c r="F52" s="227" t="s">
        <v>236</v>
      </c>
      <c r="G52" s="227" t="s">
        <v>45</v>
      </c>
      <c r="H52" s="227"/>
      <c r="I52" s="227" t="s">
        <v>45</v>
      </c>
      <c r="J52" s="227" t="s">
        <v>236</v>
      </c>
      <c r="K52" s="227" t="s">
        <v>236</v>
      </c>
      <c r="L52" s="227" t="s">
        <v>138</v>
      </c>
      <c r="M52" s="227" t="s">
        <v>138</v>
      </c>
      <c r="N52" s="227" t="s">
        <v>236</v>
      </c>
      <c r="O52" s="227" t="s">
        <v>138</v>
      </c>
      <c r="P52" s="227"/>
      <c r="Q52" s="227"/>
      <c r="R52" s="227" t="s">
        <v>45</v>
      </c>
      <c r="S52" s="485" t="s">
        <v>1127</v>
      </c>
      <c r="T52" s="227" t="s">
        <v>236</v>
      </c>
      <c r="U52" s="201" t="s">
        <v>138</v>
      </c>
      <c r="V52" s="201" t="s">
        <v>138</v>
      </c>
      <c r="W52" s="200" t="s">
        <v>236</v>
      </c>
      <c r="AA52" s="2"/>
      <c r="AD52" s="8"/>
      <c r="AE52" s="76"/>
      <c r="AF52" s="76"/>
      <c r="AG52" s="76"/>
      <c r="AH52" s="2"/>
      <c r="AI52" s="2"/>
      <c r="AJ52" s="2"/>
      <c r="AK52" s="2"/>
      <c r="AL52" s="2"/>
      <c r="AM52" s="2"/>
      <c r="AN52" s="2"/>
      <c r="AO52" s="2"/>
      <c r="AP52" s="2"/>
      <c r="AQ52" s="2"/>
      <c r="AR52" s="34"/>
      <c r="AS52" s="34"/>
      <c r="AT52" s="34"/>
      <c r="AU52" s="34"/>
    </row>
    <row r="53" spans="2:47" x14ac:dyDescent="0.35">
      <c r="B53" s="350">
        <v>2026</v>
      </c>
      <c r="C53" s="226" t="str">
        <f t="shared" si="41"/>
        <v>NVIDIA, X800 ultra GB200</v>
      </c>
      <c r="D53" s="419" t="s">
        <v>138</v>
      </c>
      <c r="E53" s="227" t="s">
        <v>236</v>
      </c>
      <c r="F53" s="227" t="s">
        <v>236</v>
      </c>
      <c r="G53" s="227" t="s">
        <v>236</v>
      </c>
      <c r="H53" s="227"/>
      <c r="I53" s="227">
        <v>1</v>
      </c>
      <c r="J53" s="227" t="s">
        <v>236</v>
      </c>
      <c r="K53" s="227" t="s">
        <v>236</v>
      </c>
      <c r="L53" s="227" t="s">
        <v>138</v>
      </c>
      <c r="M53" s="227" t="s">
        <v>138</v>
      </c>
      <c r="N53" s="227" t="s">
        <v>236</v>
      </c>
      <c r="O53" s="227" t="s">
        <v>138</v>
      </c>
      <c r="P53" s="227"/>
      <c r="Q53" s="227"/>
      <c r="R53" s="227" t="s">
        <v>236</v>
      </c>
      <c r="S53" s="227" t="s">
        <v>1128</v>
      </c>
      <c r="T53" s="227" t="s">
        <v>236</v>
      </c>
      <c r="U53" s="201" t="s">
        <v>138</v>
      </c>
      <c r="V53" s="201" t="s">
        <v>138</v>
      </c>
      <c r="W53" s="200" t="s">
        <v>236</v>
      </c>
      <c r="AD53" s="8"/>
      <c r="AE53" s="76"/>
      <c r="AF53" s="76"/>
      <c r="AG53" s="76"/>
      <c r="AH53" s="2"/>
      <c r="AI53" s="2"/>
      <c r="AJ53" s="2"/>
      <c r="AK53" s="2"/>
      <c r="AL53" s="2"/>
      <c r="AM53" s="2"/>
      <c r="AN53" s="2"/>
      <c r="AO53" s="2"/>
      <c r="AP53" s="2"/>
      <c r="AQ53" s="2"/>
      <c r="AR53" s="34"/>
      <c r="AS53" s="34"/>
      <c r="AT53" s="34"/>
      <c r="AU53" s="34"/>
    </row>
    <row r="54" spans="2:47" x14ac:dyDescent="0.35">
      <c r="B54" s="55">
        <v>2027</v>
      </c>
      <c r="C54" t="s">
        <v>1200</v>
      </c>
      <c r="D54" s="76" t="s">
        <v>236</v>
      </c>
      <c r="E54" s="34" t="s">
        <v>138</v>
      </c>
      <c r="F54" s="34" t="s">
        <v>138</v>
      </c>
      <c r="G54" s="34" t="s">
        <v>138</v>
      </c>
      <c r="H54" s="34"/>
      <c r="I54" s="34" t="s">
        <v>138</v>
      </c>
      <c r="J54" s="34" t="s">
        <v>987</v>
      </c>
      <c r="K54" s="34" t="s">
        <v>236</v>
      </c>
      <c r="L54" s="34" t="s">
        <v>138</v>
      </c>
      <c r="M54" s="34" t="s">
        <v>138</v>
      </c>
      <c r="N54" s="76" t="s">
        <v>236</v>
      </c>
      <c r="O54" s="34" t="s">
        <v>138</v>
      </c>
      <c r="P54" s="34"/>
      <c r="Q54" s="34"/>
      <c r="R54" s="34" t="s">
        <v>236</v>
      </c>
      <c r="S54" s="34" t="s">
        <v>138</v>
      </c>
      <c r="T54" s="34" t="s">
        <v>138</v>
      </c>
      <c r="U54" s="201" t="s">
        <v>138</v>
      </c>
      <c r="V54" s="201" t="s">
        <v>138</v>
      </c>
      <c r="W54" s="200" t="s">
        <v>236</v>
      </c>
      <c r="AE54" s="76"/>
      <c r="AF54" s="76"/>
      <c r="AG54" s="76"/>
      <c r="AH54" s="2"/>
      <c r="AI54" s="2"/>
      <c r="AJ54" s="2"/>
      <c r="AK54" s="2"/>
      <c r="AL54" s="2"/>
      <c r="AM54" s="2"/>
      <c r="AN54" s="2"/>
      <c r="AO54" s="2"/>
      <c r="AP54" s="2"/>
      <c r="AQ54" s="2"/>
      <c r="AR54" s="34"/>
      <c r="AS54" s="34"/>
      <c r="AT54" s="34"/>
      <c r="AU54" s="34"/>
    </row>
    <row r="55" spans="2:47" x14ac:dyDescent="0.35">
      <c r="B55" s="55">
        <v>2028</v>
      </c>
      <c r="C55" t="s">
        <v>1200</v>
      </c>
      <c r="D55" s="76" t="s">
        <v>236</v>
      </c>
      <c r="E55" s="34" t="s">
        <v>138</v>
      </c>
      <c r="F55" s="34" t="s">
        <v>138</v>
      </c>
      <c r="G55" s="34" t="s">
        <v>138</v>
      </c>
      <c r="H55" s="34"/>
      <c r="I55" s="34" t="s">
        <v>138</v>
      </c>
      <c r="J55" s="34" t="s">
        <v>236</v>
      </c>
      <c r="K55" s="34" t="s">
        <v>236</v>
      </c>
      <c r="L55" s="34" t="s">
        <v>138</v>
      </c>
      <c r="M55" s="34" t="s">
        <v>138</v>
      </c>
      <c r="N55" s="76" t="s">
        <v>236</v>
      </c>
      <c r="O55" s="34" t="s">
        <v>138</v>
      </c>
      <c r="P55" s="34"/>
      <c r="Q55" s="34"/>
      <c r="R55" s="34" t="s">
        <v>236</v>
      </c>
      <c r="S55" s="34" t="s">
        <v>138</v>
      </c>
      <c r="T55" s="34" t="s">
        <v>138</v>
      </c>
      <c r="U55" s="201" t="s">
        <v>138</v>
      </c>
      <c r="V55" s="201" t="s">
        <v>138</v>
      </c>
      <c r="W55" s="200" t="s">
        <v>236</v>
      </c>
      <c r="AE55" s="76"/>
      <c r="AF55" s="76"/>
      <c r="AG55" s="76"/>
      <c r="AH55" s="2"/>
      <c r="AI55" s="2"/>
      <c r="AJ55" s="2"/>
      <c r="AK55" s="2"/>
      <c r="AL55" s="2"/>
      <c r="AM55" s="2"/>
      <c r="AN55" s="2"/>
      <c r="AO55" s="2"/>
      <c r="AP55" s="2"/>
      <c r="AQ55" s="2"/>
      <c r="AR55" s="34"/>
      <c r="AS55" s="34"/>
      <c r="AT55" s="34"/>
      <c r="AU55" s="34"/>
    </row>
    <row r="56" spans="2:47" x14ac:dyDescent="0.35">
      <c r="B56" s="132">
        <v>2029</v>
      </c>
      <c r="C56" s="126" t="str">
        <f>C20</f>
        <v>First AGI? Ray Kurzweil</v>
      </c>
      <c r="D56" s="173" t="s">
        <v>236</v>
      </c>
      <c r="E56" s="127" t="s">
        <v>138</v>
      </c>
      <c r="F56" s="127" t="s">
        <v>138</v>
      </c>
      <c r="G56" s="127" t="s">
        <v>138</v>
      </c>
      <c r="H56" s="127"/>
      <c r="I56" s="127" t="s">
        <v>138</v>
      </c>
      <c r="J56" s="127" t="s">
        <v>138</v>
      </c>
      <c r="K56" s="127" t="s">
        <v>236</v>
      </c>
      <c r="L56" s="127" t="s">
        <v>138</v>
      </c>
      <c r="M56" s="291" t="s">
        <v>988</v>
      </c>
      <c r="N56" s="173" t="s">
        <v>236</v>
      </c>
      <c r="O56" s="127" t="s">
        <v>138</v>
      </c>
      <c r="P56" s="127"/>
      <c r="Q56" s="127"/>
      <c r="R56" s="127" t="s">
        <v>236</v>
      </c>
      <c r="S56" s="127" t="s">
        <v>138</v>
      </c>
      <c r="T56" s="127" t="s">
        <v>138</v>
      </c>
      <c r="U56" s="127" t="s">
        <v>138</v>
      </c>
      <c r="V56" s="127" t="s">
        <v>138</v>
      </c>
      <c r="W56" s="139" t="s">
        <v>236</v>
      </c>
      <c r="AE56" s="76"/>
      <c r="AF56" s="76"/>
      <c r="AG56" s="76"/>
      <c r="AH56" s="2"/>
      <c r="AI56" s="2"/>
      <c r="AJ56" s="2"/>
      <c r="AK56" s="2"/>
      <c r="AL56" s="2"/>
      <c r="AM56" s="2"/>
      <c r="AN56" s="2"/>
      <c r="AO56" s="2"/>
      <c r="AP56" s="2"/>
      <c r="AQ56" s="2"/>
      <c r="AR56" s="34"/>
      <c r="AS56" s="34"/>
      <c r="AT56" s="34"/>
      <c r="AU56" s="34"/>
    </row>
    <row r="57" spans="2:47" x14ac:dyDescent="0.35">
      <c r="B57" s="55">
        <v>2030</v>
      </c>
      <c r="D57" s="76" t="s">
        <v>236</v>
      </c>
      <c r="E57" s="34" t="s">
        <v>138</v>
      </c>
      <c r="F57" s="34" t="s">
        <v>138</v>
      </c>
      <c r="G57" s="34" t="s">
        <v>138</v>
      </c>
      <c r="H57" s="34"/>
      <c r="I57" s="34" t="s">
        <v>138</v>
      </c>
      <c r="J57" s="34" t="s">
        <v>138</v>
      </c>
      <c r="K57" s="34" t="s">
        <v>236</v>
      </c>
      <c r="L57" s="34" t="s">
        <v>138</v>
      </c>
      <c r="M57" s="235" t="s">
        <v>988</v>
      </c>
      <c r="N57" s="76" t="s">
        <v>236</v>
      </c>
      <c r="O57" s="34" t="s">
        <v>138</v>
      </c>
      <c r="P57" s="34"/>
      <c r="Q57" s="34"/>
      <c r="R57" s="34" t="s">
        <v>236</v>
      </c>
      <c r="S57" s="34" t="s">
        <v>138</v>
      </c>
      <c r="T57" s="34" t="s">
        <v>138</v>
      </c>
      <c r="U57" s="201" t="s">
        <v>138</v>
      </c>
      <c r="V57" s="201" t="s">
        <v>138</v>
      </c>
      <c r="W57" s="200" t="s">
        <v>236</v>
      </c>
      <c r="AE57" s="76"/>
      <c r="AF57" s="76"/>
      <c r="AG57" s="76"/>
      <c r="AH57" s="2"/>
      <c r="AI57" s="2"/>
      <c r="AJ57" s="2"/>
      <c r="AK57" s="34"/>
      <c r="AL57" s="34"/>
      <c r="AM57" s="34"/>
      <c r="AN57" s="34"/>
      <c r="AO57" s="34"/>
      <c r="AP57" s="34"/>
      <c r="AQ57" s="34"/>
      <c r="AR57" s="34"/>
      <c r="AS57" s="34"/>
      <c r="AT57" s="34"/>
      <c r="AU57" s="34"/>
    </row>
    <row r="58" spans="2:47" x14ac:dyDescent="0.35">
      <c r="B58" s="55">
        <v>2031</v>
      </c>
      <c r="D58" s="76" t="s">
        <v>236</v>
      </c>
      <c r="E58" s="34" t="s">
        <v>138</v>
      </c>
      <c r="F58" s="34" t="s">
        <v>138</v>
      </c>
      <c r="G58" s="34" t="s">
        <v>138</v>
      </c>
      <c r="H58" s="34"/>
      <c r="I58" s="34" t="s">
        <v>138</v>
      </c>
      <c r="J58" s="34" t="s">
        <v>138</v>
      </c>
      <c r="K58" s="34" t="s">
        <v>236</v>
      </c>
      <c r="L58" s="34" t="s">
        <v>138</v>
      </c>
      <c r="M58" s="235" t="s">
        <v>988</v>
      </c>
      <c r="N58" s="76" t="s">
        <v>236</v>
      </c>
      <c r="O58" s="34" t="s">
        <v>138</v>
      </c>
      <c r="P58" s="34"/>
      <c r="Q58" s="34"/>
      <c r="R58" s="34" t="s">
        <v>236</v>
      </c>
      <c r="S58" s="34" t="s">
        <v>138</v>
      </c>
      <c r="T58" s="34" t="s">
        <v>138</v>
      </c>
      <c r="U58" s="201" t="s">
        <v>138</v>
      </c>
      <c r="V58" s="201" t="s">
        <v>138</v>
      </c>
      <c r="W58" s="200" t="s">
        <v>236</v>
      </c>
      <c r="AE58" s="76"/>
      <c r="AF58" s="76"/>
      <c r="AG58" s="76"/>
      <c r="AH58" s="2"/>
      <c r="AI58" s="2"/>
      <c r="AJ58" s="2"/>
      <c r="AK58" s="34"/>
      <c r="AL58" s="34"/>
      <c r="AM58" s="34"/>
      <c r="AN58" s="34"/>
      <c r="AO58" s="34"/>
      <c r="AP58" s="34"/>
      <c r="AQ58" s="34"/>
      <c r="AR58" s="34"/>
      <c r="AS58" s="34"/>
      <c r="AT58" s="34"/>
      <c r="AU58" s="34"/>
    </row>
    <row r="59" spans="2:47" x14ac:dyDescent="0.35">
      <c r="B59" s="55">
        <v>2032</v>
      </c>
      <c r="D59" s="76" t="s">
        <v>236</v>
      </c>
      <c r="E59" s="34" t="s">
        <v>138</v>
      </c>
      <c r="F59" s="34" t="s">
        <v>138</v>
      </c>
      <c r="G59" s="34" t="s">
        <v>138</v>
      </c>
      <c r="H59" s="34"/>
      <c r="I59" s="34" t="s">
        <v>138</v>
      </c>
      <c r="J59" s="34" t="s">
        <v>138</v>
      </c>
      <c r="K59" s="34" t="s">
        <v>236</v>
      </c>
      <c r="L59" s="34" t="s">
        <v>138</v>
      </c>
      <c r="M59" s="235" t="s">
        <v>988</v>
      </c>
      <c r="N59" s="76" t="s">
        <v>236</v>
      </c>
      <c r="O59" s="34" t="s">
        <v>138</v>
      </c>
      <c r="P59" s="34"/>
      <c r="Q59" s="34"/>
      <c r="R59" s="34" t="s">
        <v>236</v>
      </c>
      <c r="S59" s="34" t="s">
        <v>138</v>
      </c>
      <c r="T59" s="34" t="s">
        <v>138</v>
      </c>
      <c r="U59" s="201" t="s">
        <v>138</v>
      </c>
      <c r="V59" s="201" t="s">
        <v>138</v>
      </c>
      <c r="W59" s="200" t="s">
        <v>236</v>
      </c>
      <c r="AE59" s="76"/>
      <c r="AF59" s="76"/>
      <c r="AG59" s="76"/>
      <c r="AH59" s="2"/>
      <c r="AI59" s="2"/>
      <c r="AJ59" s="2"/>
      <c r="AK59" s="34"/>
      <c r="AL59" s="34"/>
      <c r="AM59" s="34"/>
      <c r="AN59" s="34"/>
      <c r="AO59" s="34"/>
      <c r="AP59" s="34"/>
      <c r="AQ59" s="34"/>
      <c r="AR59" s="34"/>
      <c r="AS59" s="34"/>
      <c r="AT59" s="34"/>
      <c r="AU59" s="34"/>
    </row>
    <row r="60" spans="2:47" x14ac:dyDescent="0.35">
      <c r="B60" s="55">
        <v>2033</v>
      </c>
      <c r="D60" s="76" t="s">
        <v>236</v>
      </c>
      <c r="E60" s="34" t="s">
        <v>138</v>
      </c>
      <c r="F60" s="34" t="s">
        <v>138</v>
      </c>
      <c r="G60" s="34" t="s">
        <v>138</v>
      </c>
      <c r="H60" s="34"/>
      <c r="I60" s="34" t="s">
        <v>138</v>
      </c>
      <c r="J60" s="34" t="s">
        <v>138</v>
      </c>
      <c r="K60" s="34" t="s">
        <v>236</v>
      </c>
      <c r="L60" s="34" t="s">
        <v>138</v>
      </c>
      <c r="M60" s="235" t="s">
        <v>988</v>
      </c>
      <c r="N60" s="76" t="s">
        <v>236</v>
      </c>
      <c r="O60" s="34" t="s">
        <v>138</v>
      </c>
      <c r="P60" s="34"/>
      <c r="Q60" s="34"/>
      <c r="R60" s="34" t="s">
        <v>236</v>
      </c>
      <c r="S60" s="34" t="s">
        <v>138</v>
      </c>
      <c r="T60" s="34" t="s">
        <v>138</v>
      </c>
      <c r="U60" s="201" t="s">
        <v>138</v>
      </c>
      <c r="V60" s="201" t="s">
        <v>138</v>
      </c>
      <c r="W60" s="200" t="s">
        <v>236</v>
      </c>
      <c r="AE60" s="76"/>
      <c r="AF60" s="76"/>
      <c r="AG60" s="76"/>
      <c r="AH60" s="2"/>
      <c r="AI60" s="2"/>
      <c r="AJ60" s="2"/>
      <c r="AK60" s="34"/>
      <c r="AL60" s="34"/>
      <c r="AM60" s="34"/>
      <c r="AN60" s="34"/>
      <c r="AO60" s="34"/>
      <c r="AP60" s="34"/>
      <c r="AQ60" s="34"/>
      <c r="AR60" s="34"/>
      <c r="AS60" s="34"/>
      <c r="AT60" s="34"/>
      <c r="AU60" s="34"/>
    </row>
    <row r="61" spans="2:47" x14ac:dyDescent="0.35">
      <c r="B61" s="55">
        <v>2034</v>
      </c>
      <c r="D61" s="76" t="s">
        <v>236</v>
      </c>
      <c r="E61" s="34" t="s">
        <v>138</v>
      </c>
      <c r="F61" s="34" t="s">
        <v>138</v>
      </c>
      <c r="G61" s="34" t="s">
        <v>138</v>
      </c>
      <c r="H61" s="34"/>
      <c r="I61" s="34" t="s">
        <v>138</v>
      </c>
      <c r="J61" s="34" t="s">
        <v>138</v>
      </c>
      <c r="K61" s="34" t="s">
        <v>236</v>
      </c>
      <c r="L61" s="34" t="s">
        <v>138</v>
      </c>
      <c r="M61" s="235" t="s">
        <v>988</v>
      </c>
      <c r="N61" s="76" t="s">
        <v>236</v>
      </c>
      <c r="O61" s="34" t="s">
        <v>138</v>
      </c>
      <c r="P61" s="34"/>
      <c r="Q61" s="34"/>
      <c r="R61" s="34" t="s">
        <v>236</v>
      </c>
      <c r="S61" s="34" t="s">
        <v>138</v>
      </c>
      <c r="T61" s="34" t="s">
        <v>138</v>
      </c>
      <c r="U61" s="201" t="s">
        <v>138</v>
      </c>
      <c r="V61" s="201" t="s">
        <v>138</v>
      </c>
      <c r="W61" s="200" t="s">
        <v>236</v>
      </c>
      <c r="AE61" s="76"/>
      <c r="AF61" s="76"/>
      <c r="AG61" s="76"/>
      <c r="AH61" s="2"/>
      <c r="AI61" s="2"/>
      <c r="AJ61" s="2"/>
      <c r="AK61" s="34"/>
      <c r="AL61" s="34"/>
      <c r="AM61" s="34"/>
      <c r="AN61" s="34"/>
      <c r="AO61" s="34"/>
      <c r="AP61" s="34"/>
      <c r="AQ61" s="34"/>
      <c r="AR61" s="34"/>
      <c r="AS61" s="34"/>
      <c r="AT61" s="34"/>
      <c r="AU61" s="34"/>
    </row>
    <row r="62" spans="2:47" x14ac:dyDescent="0.35">
      <c r="B62" s="55">
        <v>2035</v>
      </c>
      <c r="D62" s="76" t="s">
        <v>236</v>
      </c>
      <c r="E62" s="34" t="s">
        <v>138</v>
      </c>
      <c r="F62" s="34" t="s">
        <v>138</v>
      </c>
      <c r="G62" s="34" t="s">
        <v>138</v>
      </c>
      <c r="H62" s="34"/>
      <c r="I62" s="34" t="s">
        <v>138</v>
      </c>
      <c r="J62" s="34" t="s">
        <v>138</v>
      </c>
      <c r="K62" s="34" t="s">
        <v>236</v>
      </c>
      <c r="L62" s="34" t="s">
        <v>138</v>
      </c>
      <c r="M62" s="235" t="s">
        <v>988</v>
      </c>
      <c r="N62" s="76" t="s">
        <v>236</v>
      </c>
      <c r="O62" s="34" t="s">
        <v>138</v>
      </c>
      <c r="P62" s="34"/>
      <c r="Q62" s="34"/>
      <c r="R62" s="34" t="s">
        <v>236</v>
      </c>
      <c r="S62" s="34" t="s">
        <v>138</v>
      </c>
      <c r="T62" s="34" t="s">
        <v>138</v>
      </c>
      <c r="U62" s="201" t="s">
        <v>138</v>
      </c>
      <c r="V62" s="201" t="s">
        <v>138</v>
      </c>
      <c r="W62" s="200" t="s">
        <v>236</v>
      </c>
      <c r="AE62" s="76"/>
      <c r="AF62" s="76"/>
      <c r="AG62" s="76"/>
      <c r="AH62" s="2"/>
      <c r="AI62" s="2"/>
      <c r="AJ62" s="2"/>
      <c r="AK62" s="34"/>
      <c r="AL62" s="34"/>
      <c r="AM62" s="34"/>
      <c r="AN62" s="34"/>
      <c r="AO62" s="34"/>
      <c r="AP62" s="34"/>
      <c r="AQ62" s="34"/>
      <c r="AR62" s="34"/>
      <c r="AS62" s="34"/>
      <c r="AT62" s="34"/>
      <c r="AU62" s="34"/>
    </row>
    <row r="63" spans="2:47" x14ac:dyDescent="0.35">
      <c r="B63" s="55">
        <v>2036</v>
      </c>
      <c r="D63" s="76" t="s">
        <v>236</v>
      </c>
      <c r="E63" s="34" t="s">
        <v>138</v>
      </c>
      <c r="F63" s="34" t="s">
        <v>138</v>
      </c>
      <c r="G63" s="34" t="s">
        <v>138</v>
      </c>
      <c r="H63" s="34"/>
      <c r="I63" s="34" t="s">
        <v>138</v>
      </c>
      <c r="J63" s="34" t="s">
        <v>138</v>
      </c>
      <c r="K63" s="34" t="s">
        <v>236</v>
      </c>
      <c r="L63" s="34" t="s">
        <v>138</v>
      </c>
      <c r="M63" s="235" t="s">
        <v>988</v>
      </c>
      <c r="N63" s="76" t="s">
        <v>236</v>
      </c>
      <c r="O63" s="34" t="s">
        <v>138</v>
      </c>
      <c r="P63" s="34"/>
      <c r="Q63" s="34"/>
      <c r="R63" s="34" t="s">
        <v>236</v>
      </c>
      <c r="S63" s="34" t="s">
        <v>138</v>
      </c>
      <c r="T63" s="34" t="s">
        <v>138</v>
      </c>
      <c r="U63" s="201" t="s">
        <v>138</v>
      </c>
      <c r="V63" s="201" t="s">
        <v>138</v>
      </c>
      <c r="W63" s="200" t="s">
        <v>236</v>
      </c>
      <c r="AE63" s="76"/>
      <c r="AF63" s="76"/>
      <c r="AG63" s="76"/>
      <c r="AH63" s="2"/>
      <c r="AI63" s="2"/>
      <c r="AJ63" s="2"/>
      <c r="AK63" s="34"/>
      <c r="AL63" s="34"/>
      <c r="AM63" s="34"/>
      <c r="AN63" s="34"/>
      <c r="AO63" s="34"/>
      <c r="AP63" s="34"/>
      <c r="AQ63" s="34"/>
      <c r="AR63" s="34"/>
      <c r="AS63" s="34"/>
      <c r="AT63" s="34"/>
      <c r="AU63" s="34"/>
    </row>
    <row r="64" spans="2:47" x14ac:dyDescent="0.35">
      <c r="B64" s="55">
        <v>2037</v>
      </c>
      <c r="D64" s="76" t="s">
        <v>236</v>
      </c>
      <c r="E64" s="34" t="s">
        <v>138</v>
      </c>
      <c r="F64" s="34" t="s">
        <v>138</v>
      </c>
      <c r="G64" s="34" t="s">
        <v>138</v>
      </c>
      <c r="H64" s="34"/>
      <c r="I64" s="34" t="s">
        <v>138</v>
      </c>
      <c r="J64" s="34" t="s">
        <v>138</v>
      </c>
      <c r="K64" s="34" t="s">
        <v>236</v>
      </c>
      <c r="L64" s="34" t="s">
        <v>138</v>
      </c>
      <c r="M64" s="235" t="s">
        <v>988</v>
      </c>
      <c r="N64" s="76" t="s">
        <v>236</v>
      </c>
      <c r="O64" s="34" t="s">
        <v>138</v>
      </c>
      <c r="P64" s="34"/>
      <c r="Q64" s="34"/>
      <c r="R64" s="34" t="s">
        <v>236</v>
      </c>
      <c r="S64" s="34" t="s">
        <v>138</v>
      </c>
      <c r="T64" s="34" t="s">
        <v>138</v>
      </c>
      <c r="U64" s="201" t="s">
        <v>138</v>
      </c>
      <c r="V64" s="201" t="s">
        <v>138</v>
      </c>
      <c r="W64" s="200" t="s">
        <v>236</v>
      </c>
      <c r="AE64" s="76"/>
      <c r="AF64" s="76"/>
      <c r="AG64" s="76"/>
      <c r="AH64" s="2"/>
      <c r="AI64" s="2"/>
      <c r="AJ64" s="2"/>
      <c r="AK64" s="34"/>
      <c r="AL64" s="34"/>
      <c r="AM64" s="34"/>
      <c r="AN64" s="34"/>
      <c r="AO64" s="34"/>
      <c r="AP64" s="34"/>
      <c r="AQ64" s="34"/>
      <c r="AR64" s="34"/>
      <c r="AS64" s="34"/>
      <c r="AT64" s="34"/>
      <c r="AU64" s="34"/>
    </row>
    <row r="65" spans="2:47" x14ac:dyDescent="0.35">
      <c r="B65" s="55">
        <v>2038</v>
      </c>
      <c r="D65" s="76" t="s">
        <v>236</v>
      </c>
      <c r="E65" s="34" t="s">
        <v>138</v>
      </c>
      <c r="F65" s="34" t="s">
        <v>138</v>
      </c>
      <c r="G65" s="34" t="s">
        <v>138</v>
      </c>
      <c r="H65" s="34"/>
      <c r="I65" s="34" t="s">
        <v>138</v>
      </c>
      <c r="J65" s="34" t="s">
        <v>138</v>
      </c>
      <c r="K65" s="34" t="s">
        <v>236</v>
      </c>
      <c r="L65" s="34" t="s">
        <v>138</v>
      </c>
      <c r="M65" s="235" t="s">
        <v>988</v>
      </c>
      <c r="N65" s="76" t="s">
        <v>236</v>
      </c>
      <c r="O65" s="34" t="s">
        <v>138</v>
      </c>
      <c r="P65" s="34"/>
      <c r="Q65" s="34"/>
      <c r="R65" s="34" t="s">
        <v>236</v>
      </c>
      <c r="S65" s="34" t="s">
        <v>138</v>
      </c>
      <c r="T65" s="34" t="s">
        <v>138</v>
      </c>
      <c r="U65" s="201" t="s">
        <v>138</v>
      </c>
      <c r="V65" s="201" t="s">
        <v>138</v>
      </c>
      <c r="W65" s="200" t="s">
        <v>236</v>
      </c>
      <c r="AE65" s="76"/>
      <c r="AF65" s="76"/>
      <c r="AG65" s="76"/>
      <c r="AH65" s="2"/>
      <c r="AI65" s="2"/>
      <c r="AJ65" s="2"/>
      <c r="AK65" s="34"/>
      <c r="AL65" s="34"/>
      <c r="AM65" s="34"/>
      <c r="AN65" s="34"/>
      <c r="AO65" s="34"/>
      <c r="AP65" s="34"/>
      <c r="AQ65" s="34"/>
      <c r="AR65" s="34"/>
      <c r="AS65" s="34"/>
      <c r="AT65" s="34"/>
      <c r="AU65" s="34"/>
    </row>
    <row r="66" spans="2:47" x14ac:dyDescent="0.35">
      <c r="B66" s="55">
        <v>2039</v>
      </c>
      <c r="D66" s="76" t="s">
        <v>236</v>
      </c>
      <c r="E66" s="34" t="s">
        <v>138</v>
      </c>
      <c r="F66" s="34" t="s">
        <v>138</v>
      </c>
      <c r="G66" s="34" t="s">
        <v>138</v>
      </c>
      <c r="H66" s="34"/>
      <c r="I66" s="34" t="s">
        <v>138</v>
      </c>
      <c r="J66" s="34" t="s">
        <v>138</v>
      </c>
      <c r="K66" s="34" t="s">
        <v>236</v>
      </c>
      <c r="L66" s="34" t="s">
        <v>138</v>
      </c>
      <c r="M66" s="235" t="s">
        <v>988</v>
      </c>
      <c r="N66" s="76" t="s">
        <v>236</v>
      </c>
      <c r="O66" s="34" t="s">
        <v>138</v>
      </c>
      <c r="P66" s="34"/>
      <c r="Q66" s="34"/>
      <c r="R66" s="34" t="s">
        <v>236</v>
      </c>
      <c r="S66" s="34" t="s">
        <v>138</v>
      </c>
      <c r="T66" s="34" t="s">
        <v>138</v>
      </c>
      <c r="U66" s="201" t="s">
        <v>138</v>
      </c>
      <c r="V66" s="201" t="s">
        <v>138</v>
      </c>
      <c r="W66" s="200" t="s">
        <v>236</v>
      </c>
      <c r="AE66" s="76"/>
      <c r="AF66" s="76"/>
      <c r="AG66" s="76"/>
      <c r="AH66" s="2"/>
      <c r="AI66" s="2"/>
      <c r="AJ66" s="2"/>
      <c r="AK66" s="34"/>
      <c r="AL66" s="34"/>
      <c r="AM66" s="34"/>
      <c r="AN66" s="34"/>
      <c r="AO66" s="34"/>
      <c r="AP66" s="34"/>
      <c r="AQ66" s="34"/>
      <c r="AR66" s="34"/>
      <c r="AS66" s="34"/>
      <c r="AT66" s="34"/>
      <c r="AU66" s="34"/>
    </row>
    <row r="67" spans="2:47" x14ac:dyDescent="0.35">
      <c r="B67" s="55">
        <v>2040</v>
      </c>
      <c r="D67" s="76" t="s">
        <v>236</v>
      </c>
      <c r="E67" s="34" t="s">
        <v>138</v>
      </c>
      <c r="F67" s="34" t="s">
        <v>138</v>
      </c>
      <c r="G67" s="34" t="s">
        <v>138</v>
      </c>
      <c r="H67" s="34"/>
      <c r="I67" s="34" t="s">
        <v>138</v>
      </c>
      <c r="J67" s="34" t="s">
        <v>138</v>
      </c>
      <c r="K67" s="34" t="s">
        <v>236</v>
      </c>
      <c r="L67" s="34" t="s">
        <v>138</v>
      </c>
      <c r="M67" s="235" t="s">
        <v>988</v>
      </c>
      <c r="N67" s="76" t="s">
        <v>236</v>
      </c>
      <c r="O67" s="34" t="s">
        <v>138</v>
      </c>
      <c r="P67" s="34"/>
      <c r="Q67" s="34"/>
      <c r="R67" s="34" t="s">
        <v>236</v>
      </c>
      <c r="S67" s="34" t="s">
        <v>138</v>
      </c>
      <c r="T67" s="34" t="s">
        <v>138</v>
      </c>
      <c r="U67" s="201" t="s">
        <v>138</v>
      </c>
      <c r="V67" s="201" t="s">
        <v>138</v>
      </c>
      <c r="W67" s="200" t="s">
        <v>236</v>
      </c>
      <c r="AE67" s="76"/>
      <c r="AF67" s="76"/>
      <c r="AG67" s="76"/>
      <c r="AH67" s="2"/>
      <c r="AI67" s="2"/>
      <c r="AJ67" s="2"/>
      <c r="AK67" s="34"/>
      <c r="AL67" s="34"/>
      <c r="AM67" s="34"/>
      <c r="AN67" s="34"/>
      <c r="AO67" s="34"/>
      <c r="AP67" s="34"/>
      <c r="AQ67" s="34"/>
      <c r="AR67" s="34"/>
      <c r="AS67" s="34"/>
      <c r="AT67" s="34"/>
      <c r="AU67" s="34"/>
    </row>
    <row r="68" spans="2:47" x14ac:dyDescent="0.35">
      <c r="B68" s="55">
        <v>2041</v>
      </c>
      <c r="D68" s="76" t="s">
        <v>236</v>
      </c>
      <c r="E68" s="34" t="s">
        <v>138</v>
      </c>
      <c r="F68" s="34" t="s">
        <v>138</v>
      </c>
      <c r="G68" s="34" t="s">
        <v>138</v>
      </c>
      <c r="H68" s="34"/>
      <c r="I68" s="34" t="s">
        <v>138</v>
      </c>
      <c r="J68" s="34" t="s">
        <v>138</v>
      </c>
      <c r="K68" s="34" t="s">
        <v>236</v>
      </c>
      <c r="L68" s="34" t="s">
        <v>138</v>
      </c>
      <c r="M68" s="235" t="s">
        <v>988</v>
      </c>
      <c r="N68" s="76" t="s">
        <v>236</v>
      </c>
      <c r="O68" s="34" t="s">
        <v>138</v>
      </c>
      <c r="P68" s="34"/>
      <c r="Q68" s="34"/>
      <c r="R68" s="34" t="s">
        <v>236</v>
      </c>
      <c r="S68" s="34" t="s">
        <v>138</v>
      </c>
      <c r="T68" s="34" t="s">
        <v>138</v>
      </c>
      <c r="U68" s="201" t="s">
        <v>138</v>
      </c>
      <c r="V68" s="201" t="s">
        <v>138</v>
      </c>
      <c r="W68" s="200" t="s">
        <v>236</v>
      </c>
      <c r="AE68" s="76"/>
      <c r="AF68" s="76"/>
      <c r="AG68" s="76"/>
      <c r="AH68" s="2"/>
      <c r="AI68" s="2"/>
      <c r="AJ68" s="2"/>
      <c r="AK68" s="34"/>
      <c r="AL68" s="34"/>
      <c r="AM68" s="34"/>
      <c r="AN68" s="34"/>
      <c r="AO68" s="34"/>
      <c r="AP68" s="34"/>
      <c r="AQ68" s="34"/>
      <c r="AR68" s="34"/>
      <c r="AS68" s="34"/>
      <c r="AT68" s="34"/>
      <c r="AU68" s="34"/>
    </row>
    <row r="69" spans="2:47" x14ac:dyDescent="0.35">
      <c r="B69" s="55">
        <v>2042</v>
      </c>
      <c r="D69" s="76" t="s">
        <v>236</v>
      </c>
      <c r="E69" s="34" t="s">
        <v>138</v>
      </c>
      <c r="F69" s="34" t="s">
        <v>138</v>
      </c>
      <c r="G69" s="34" t="s">
        <v>138</v>
      </c>
      <c r="H69" s="34"/>
      <c r="I69" s="34" t="s">
        <v>138</v>
      </c>
      <c r="J69" s="34" t="s">
        <v>138</v>
      </c>
      <c r="K69" s="34" t="s">
        <v>236</v>
      </c>
      <c r="L69" s="34" t="s">
        <v>138</v>
      </c>
      <c r="M69" s="235" t="s">
        <v>988</v>
      </c>
      <c r="N69" s="76" t="s">
        <v>236</v>
      </c>
      <c r="O69" s="34" t="s">
        <v>138</v>
      </c>
      <c r="P69" s="34"/>
      <c r="Q69" s="34"/>
      <c r="R69" s="34" t="s">
        <v>236</v>
      </c>
      <c r="S69" s="34" t="s">
        <v>138</v>
      </c>
      <c r="T69" s="34" t="s">
        <v>138</v>
      </c>
      <c r="U69" s="201" t="s">
        <v>138</v>
      </c>
      <c r="V69" s="201" t="s">
        <v>138</v>
      </c>
      <c r="W69" s="200" t="s">
        <v>236</v>
      </c>
      <c r="AE69" s="76"/>
      <c r="AF69" s="76"/>
      <c r="AG69" s="76"/>
      <c r="AH69" s="2"/>
      <c r="AI69" s="2"/>
      <c r="AJ69" s="2"/>
      <c r="AK69" s="34"/>
      <c r="AL69" s="34"/>
      <c r="AM69" s="34"/>
      <c r="AN69" s="34"/>
      <c r="AO69" s="34"/>
      <c r="AP69" s="34"/>
      <c r="AQ69" s="34"/>
      <c r="AR69" s="34"/>
      <c r="AS69" s="34"/>
      <c r="AT69" s="34"/>
      <c r="AU69" s="34"/>
    </row>
    <row r="70" spans="2:47" x14ac:dyDescent="0.35">
      <c r="B70" s="55">
        <v>2043</v>
      </c>
      <c r="D70" s="76" t="s">
        <v>236</v>
      </c>
      <c r="E70" s="34" t="s">
        <v>138</v>
      </c>
      <c r="F70" s="34" t="s">
        <v>138</v>
      </c>
      <c r="G70" s="34" t="s">
        <v>138</v>
      </c>
      <c r="H70" s="34"/>
      <c r="I70" s="34" t="s">
        <v>138</v>
      </c>
      <c r="J70" s="34" t="s">
        <v>138</v>
      </c>
      <c r="K70" s="34" t="s">
        <v>236</v>
      </c>
      <c r="L70" s="34" t="s">
        <v>138</v>
      </c>
      <c r="M70" s="235" t="s">
        <v>988</v>
      </c>
      <c r="N70" s="76" t="s">
        <v>236</v>
      </c>
      <c r="O70" s="34" t="s">
        <v>138</v>
      </c>
      <c r="P70" s="34"/>
      <c r="Q70" s="34"/>
      <c r="R70" s="34" t="s">
        <v>236</v>
      </c>
      <c r="S70" s="34" t="s">
        <v>138</v>
      </c>
      <c r="T70" s="34" t="s">
        <v>138</v>
      </c>
      <c r="U70" s="201" t="s">
        <v>138</v>
      </c>
      <c r="V70" s="201" t="s">
        <v>138</v>
      </c>
      <c r="W70" s="200" t="s">
        <v>236</v>
      </c>
      <c r="AE70" s="76"/>
      <c r="AF70" s="76"/>
      <c r="AG70" s="76"/>
      <c r="AH70" s="2"/>
      <c r="AI70" s="2"/>
      <c r="AJ70" s="2"/>
      <c r="AK70" s="34"/>
      <c r="AL70" s="34"/>
      <c r="AM70" s="34"/>
      <c r="AN70" s="34"/>
      <c r="AO70" s="34"/>
      <c r="AP70" s="34"/>
      <c r="AQ70" s="34"/>
      <c r="AR70" s="34"/>
      <c r="AS70" s="34"/>
      <c r="AT70" s="34"/>
      <c r="AU70" s="34"/>
    </row>
    <row r="71" spans="2:47" x14ac:dyDescent="0.35">
      <c r="B71" s="55">
        <v>2044</v>
      </c>
      <c r="D71" s="76" t="s">
        <v>236</v>
      </c>
      <c r="E71" s="34" t="s">
        <v>138</v>
      </c>
      <c r="F71" s="34" t="s">
        <v>138</v>
      </c>
      <c r="G71" s="34" t="s">
        <v>138</v>
      </c>
      <c r="H71" s="34"/>
      <c r="I71" s="34" t="s">
        <v>138</v>
      </c>
      <c r="J71" s="34" t="s">
        <v>138</v>
      </c>
      <c r="K71" s="34" t="s">
        <v>236</v>
      </c>
      <c r="L71" s="34" t="s">
        <v>138</v>
      </c>
      <c r="M71" s="235" t="s">
        <v>988</v>
      </c>
      <c r="N71" s="76" t="s">
        <v>236</v>
      </c>
      <c r="O71" s="34" t="s">
        <v>138</v>
      </c>
      <c r="P71" s="34"/>
      <c r="Q71" s="34"/>
      <c r="R71" s="34" t="s">
        <v>236</v>
      </c>
      <c r="S71" s="34" t="s">
        <v>138</v>
      </c>
      <c r="T71" s="34" t="s">
        <v>138</v>
      </c>
      <c r="U71" s="201" t="s">
        <v>138</v>
      </c>
      <c r="V71" s="201" t="s">
        <v>138</v>
      </c>
      <c r="W71" s="200" t="s">
        <v>236</v>
      </c>
      <c r="AE71" s="76"/>
      <c r="AF71" s="76"/>
      <c r="AG71" s="76"/>
      <c r="AH71" s="2"/>
      <c r="AI71" s="2"/>
      <c r="AJ71" s="2"/>
      <c r="AK71" s="34"/>
      <c r="AL71" s="34"/>
      <c r="AM71" s="34"/>
      <c r="AN71" s="34"/>
      <c r="AO71" s="34"/>
      <c r="AP71" s="34"/>
      <c r="AQ71" s="34"/>
      <c r="AR71" s="34"/>
      <c r="AS71" s="34"/>
      <c r="AT71" s="34"/>
      <c r="AU71" s="34"/>
    </row>
    <row r="72" spans="2:47" ht="15" thickBot="1" x14ac:dyDescent="0.4">
      <c r="B72" s="203">
        <v>2045</v>
      </c>
      <c r="C72" s="204" t="s">
        <v>582</v>
      </c>
      <c r="D72" s="177" t="s">
        <v>236</v>
      </c>
      <c r="E72" s="157" t="s">
        <v>138</v>
      </c>
      <c r="F72" s="157" t="s">
        <v>138</v>
      </c>
      <c r="G72" s="157" t="s">
        <v>138</v>
      </c>
      <c r="H72" s="157"/>
      <c r="I72" s="157" t="s">
        <v>138</v>
      </c>
      <c r="J72" s="157" t="s">
        <v>138</v>
      </c>
      <c r="K72" s="157" t="s">
        <v>236</v>
      </c>
      <c r="L72" s="157" t="s">
        <v>138</v>
      </c>
      <c r="M72" s="420" t="s">
        <v>988</v>
      </c>
      <c r="N72" s="177" t="s">
        <v>236</v>
      </c>
      <c r="O72" s="157" t="s">
        <v>138</v>
      </c>
      <c r="P72" s="157"/>
      <c r="Q72" s="157"/>
      <c r="R72" s="157" t="s">
        <v>236</v>
      </c>
      <c r="S72" s="157" t="s">
        <v>138</v>
      </c>
      <c r="T72" s="157" t="s">
        <v>138</v>
      </c>
      <c r="U72" s="157" t="s">
        <v>138</v>
      </c>
      <c r="V72" s="157" t="s">
        <v>138</v>
      </c>
      <c r="W72" s="158" t="s">
        <v>236</v>
      </c>
      <c r="AD72" s="2"/>
      <c r="AE72" s="76"/>
      <c r="AF72" s="76"/>
      <c r="AG72" s="76"/>
      <c r="AH72" s="2"/>
      <c r="AI72" s="2"/>
      <c r="AJ72" s="2"/>
      <c r="AK72" s="34"/>
      <c r="AL72" s="34"/>
      <c r="AM72" s="34"/>
      <c r="AN72" s="34"/>
      <c r="AO72" s="34"/>
      <c r="AP72" s="34"/>
      <c r="AQ72" s="34"/>
      <c r="AR72" s="34"/>
      <c r="AS72" s="34"/>
      <c r="AT72" s="34"/>
      <c r="AU72" s="34"/>
    </row>
    <row r="73" spans="2:47" ht="15" thickTop="1" x14ac:dyDescent="0.35"/>
    <row r="75" spans="2:47" x14ac:dyDescent="0.35">
      <c r="B75" t="s">
        <v>239</v>
      </c>
    </row>
    <row r="76" spans="2:47" x14ac:dyDescent="0.35">
      <c r="B76" s="14" t="s">
        <v>240</v>
      </c>
    </row>
    <row r="77" spans="2:47" x14ac:dyDescent="0.35">
      <c r="B77" s="14" t="s">
        <v>243</v>
      </c>
    </row>
    <row r="78" spans="2:47" x14ac:dyDescent="0.35">
      <c r="B78" t="s">
        <v>335</v>
      </c>
    </row>
    <row r="79" spans="2:47" x14ac:dyDescent="0.35">
      <c r="B79" s="40" t="s">
        <v>155</v>
      </c>
    </row>
    <row r="80" spans="2:47" x14ac:dyDescent="0.35">
      <c r="B80" s="54" t="s">
        <v>156</v>
      </c>
    </row>
    <row r="81" spans="2:4" x14ac:dyDescent="0.35">
      <c r="B81" s="8" t="s">
        <v>232</v>
      </c>
    </row>
    <row r="82" spans="2:4" x14ac:dyDescent="0.35">
      <c r="B82" t="s">
        <v>1</v>
      </c>
      <c r="C82" t="s">
        <v>0</v>
      </c>
    </row>
    <row r="83" spans="2:4" x14ac:dyDescent="0.35">
      <c r="B83" s="3">
        <f>D8</f>
        <v>0.67657030812935703</v>
      </c>
      <c r="C83" s="2">
        <f>D6*(1+D8)^(B7-B6)</f>
        <v>669999.99999999825</v>
      </c>
      <c r="D83" s="2"/>
    </row>
    <row r="84" spans="2:4" x14ac:dyDescent="0.35">
      <c r="B84" s="3" t="s">
        <v>2</v>
      </c>
      <c r="C84" t="s">
        <v>4</v>
      </c>
    </row>
    <row r="85" spans="2:4" x14ac:dyDescent="0.35">
      <c r="B85" s="5">
        <f>1*(1+D8)^C85</f>
        <v>2.8108879981009673</v>
      </c>
      <c r="C85">
        <v>2</v>
      </c>
    </row>
    <row r="86" spans="2:4" x14ac:dyDescent="0.35">
      <c r="B86" s="3"/>
    </row>
    <row r="87" spans="2:4" x14ac:dyDescent="0.35">
      <c r="B87" s="3" t="s">
        <v>3</v>
      </c>
      <c r="C87" t="s">
        <v>4</v>
      </c>
    </row>
    <row r="88" spans="2:4" x14ac:dyDescent="0.35">
      <c r="B88" s="3">
        <f>1*(1+D8)^C88</f>
        <v>175.4759918398409</v>
      </c>
      <c r="C88">
        <v>10</v>
      </c>
    </row>
    <row r="89" spans="2:4" x14ac:dyDescent="0.35">
      <c r="B89" s="3"/>
    </row>
    <row r="90" spans="2:4" x14ac:dyDescent="0.35">
      <c r="B90" s="3" t="s">
        <v>6</v>
      </c>
      <c r="C90" t="s">
        <v>4</v>
      </c>
    </row>
    <row r="91" spans="2:4" x14ac:dyDescent="0.35">
      <c r="B91" s="24">
        <f>1*(1+D8)^C91</f>
        <v>30791.823712175908</v>
      </c>
      <c r="C91">
        <v>20</v>
      </c>
    </row>
    <row r="93" spans="2:4" x14ac:dyDescent="0.35">
      <c r="D93" s="14"/>
    </row>
  </sheetData>
  <phoneticPr fontId="4" type="noConversion"/>
  <hyperlinks>
    <hyperlink ref="B76" r:id="rId1" xr:uid="{4B50199B-CD9A-4350-B7A5-BC816B19FB51}"/>
    <hyperlink ref="AB2" r:id="rId2" xr:uid="{64BA79FF-00EB-4A20-B2F5-3CDD29384EBE}"/>
    <hyperlink ref="B77" r:id="rId3" xr:uid="{66BB1AB4-1C19-4691-97FE-86FF67C924A0}"/>
    <hyperlink ref="B79" r:id="rId4" xr:uid="{65EAA2B8-D774-4137-A8B3-C01421C3E91A}"/>
    <hyperlink ref="D42" r:id="rId5" xr:uid="{AA5DE023-9525-441B-8E82-4D7440ADE4A3}"/>
  </hyperlinks>
  <pageMargins left="0.7" right="0.7" top="0.75" bottom="0.75" header="0.3" footer="0.3"/>
  <pageSetup paperSize="9" orientation="portrait" verticalDpi="0"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043DA-EF93-4B85-B483-CD19234A5B02}">
  <dimension ref="A1:AH68"/>
  <sheetViews>
    <sheetView zoomScaleNormal="100" workbookViewId="0">
      <pane xSplit="1" ySplit="10" topLeftCell="B14" activePane="bottomRight" state="frozen"/>
      <selection pane="topRight" activeCell="B1" sqref="B1"/>
      <selection pane="bottomLeft" activeCell="A12" sqref="A12"/>
      <selection pane="bottomRight" activeCell="P34" sqref="P34"/>
    </sheetView>
  </sheetViews>
  <sheetFormatPr defaultRowHeight="14.5" x14ac:dyDescent="0.35"/>
  <cols>
    <col min="1" max="1" width="4.1796875" customWidth="1"/>
    <col min="2" max="2" width="6.08984375" customWidth="1"/>
    <col min="3" max="3" width="10.26953125" customWidth="1"/>
    <col min="4" max="4" width="6.6328125" customWidth="1"/>
    <col min="5" max="5" width="12.36328125" customWidth="1"/>
    <col min="6" max="6" width="10.90625" customWidth="1"/>
    <col min="7" max="7" width="10.08984375" customWidth="1"/>
    <col min="8" max="8" width="12.54296875" customWidth="1"/>
    <col min="9" max="9" width="11.08984375" customWidth="1"/>
    <col min="10" max="10" width="11.81640625" customWidth="1"/>
    <col min="11" max="11" width="14.81640625" customWidth="1"/>
    <col min="12" max="12" width="13.08984375" customWidth="1"/>
    <col min="13" max="13" width="9.1796875" customWidth="1"/>
    <col min="14" max="14" width="14" customWidth="1"/>
    <col min="15" max="15" width="13.81640625" customWidth="1"/>
    <col min="16" max="16" width="15.453125" customWidth="1"/>
    <col min="17" max="18" width="14.6328125" customWidth="1"/>
    <col min="19" max="19" width="6.36328125" customWidth="1"/>
    <col min="20" max="20" width="23.54296875" customWidth="1"/>
    <col min="21" max="21" width="6.26953125" customWidth="1"/>
    <col min="22" max="22" width="6.08984375" customWidth="1"/>
    <col min="23" max="23" width="4.6328125" customWidth="1"/>
    <col min="24" max="24" width="6.26953125" customWidth="1"/>
    <col min="25" max="25" width="8.26953125" customWidth="1"/>
    <col min="26" max="26" width="7" customWidth="1"/>
    <col min="27" max="27" width="12.1796875" customWidth="1"/>
    <col min="28" max="28" width="8.90625" customWidth="1"/>
    <col min="29" max="29" width="10.36328125" customWidth="1"/>
    <col min="30" max="30" width="15.26953125" customWidth="1"/>
    <col min="31" max="34" width="15.1796875" customWidth="1"/>
  </cols>
  <sheetData>
    <row r="1" spans="1:24" ht="28.5" x14ac:dyDescent="0.65">
      <c r="A1" s="9" t="str">
        <f>AI_Models!A1</f>
        <v>New AI chips by Nvidia will cause Russia to lose war in Ukraine #72/99</v>
      </c>
      <c r="X1" t="s">
        <v>45</v>
      </c>
    </row>
    <row r="2" spans="1:24" ht="15.5" x14ac:dyDescent="0.35">
      <c r="A2" s="10" t="str">
        <f>KeyChips!A2</f>
        <v>Proprietary. © H. Mathiesen. This material can be used by others free of charge provided that the author H. Mathiesen is attributed and a clickable link is made visible to the location of used material on www.hmexperience.dk</v>
      </c>
      <c r="T2" s="2">
        <v>1000</v>
      </c>
      <c r="U2" t="s">
        <v>408</v>
      </c>
      <c r="V2" t="s">
        <v>407</v>
      </c>
      <c r="W2" s="14" t="s">
        <v>129</v>
      </c>
    </row>
    <row r="3" spans="1:24" ht="15.5" x14ac:dyDescent="0.35">
      <c r="A3" s="615" t="str">
        <f>AI_Models!A3</f>
        <v>Links to all sources are available in sources table below</v>
      </c>
      <c r="B3" s="616"/>
      <c r="C3" s="616"/>
      <c r="D3" s="616"/>
      <c r="E3" s="616"/>
      <c r="F3" s="616"/>
      <c r="T3" s="2">
        <v>1000000</v>
      </c>
      <c r="U3" t="s">
        <v>331</v>
      </c>
      <c r="V3" t="s">
        <v>385</v>
      </c>
    </row>
    <row r="4" spans="1:24" ht="24" thickBot="1" x14ac:dyDescent="0.6">
      <c r="B4" s="30" t="s">
        <v>1040</v>
      </c>
      <c r="C4" s="31"/>
      <c r="D4" s="31"/>
      <c r="E4" s="31"/>
      <c r="F4" s="31"/>
      <c r="G4" s="31"/>
      <c r="H4" s="31"/>
      <c r="I4" s="31"/>
      <c r="J4" s="31"/>
      <c r="K4" s="31"/>
      <c r="L4" s="31"/>
      <c r="M4" s="31"/>
      <c r="N4" s="31"/>
      <c r="O4" s="31"/>
      <c r="P4" s="31"/>
      <c r="Q4" s="31"/>
      <c r="R4" s="31"/>
      <c r="S4" s="8" t="s">
        <v>32</v>
      </c>
      <c r="T4" s="2">
        <v>1000000000</v>
      </c>
      <c r="U4" t="s">
        <v>242</v>
      </c>
      <c r="V4" t="s">
        <v>241</v>
      </c>
    </row>
    <row r="5" spans="1:24" ht="15" thickTop="1" x14ac:dyDescent="0.35">
      <c r="B5" s="83" t="s">
        <v>7</v>
      </c>
      <c r="C5" s="84" t="s">
        <v>468</v>
      </c>
      <c r="D5" s="84" t="s">
        <v>1193</v>
      </c>
      <c r="E5" s="84" t="s">
        <v>1018</v>
      </c>
      <c r="F5" s="84" t="s">
        <v>583</v>
      </c>
      <c r="G5" s="84" t="s">
        <v>466</v>
      </c>
      <c r="H5" s="84" t="s">
        <v>1037</v>
      </c>
      <c r="I5" s="84" t="s">
        <v>947</v>
      </c>
      <c r="J5" s="84" t="s">
        <v>1007</v>
      </c>
      <c r="K5" s="84" t="s">
        <v>525</v>
      </c>
      <c r="L5" s="84" t="s">
        <v>397</v>
      </c>
      <c r="M5" s="84" t="s">
        <v>318</v>
      </c>
      <c r="N5" s="84" t="s">
        <v>577</v>
      </c>
      <c r="O5" s="84" t="s">
        <v>578</v>
      </c>
      <c r="P5" s="84" t="s">
        <v>581</v>
      </c>
      <c r="Q5" s="84" t="s">
        <v>581</v>
      </c>
      <c r="R5" s="85" t="s">
        <v>500</v>
      </c>
      <c r="T5" s="2">
        <v>1000000000000</v>
      </c>
      <c r="U5" t="s">
        <v>130</v>
      </c>
      <c r="V5" t="s">
        <v>127</v>
      </c>
    </row>
    <row r="6" spans="1:24" x14ac:dyDescent="0.35">
      <c r="B6" s="223"/>
      <c r="C6" s="135" t="s">
        <v>1014</v>
      </c>
      <c r="D6" s="135" t="s">
        <v>949</v>
      </c>
      <c r="E6" s="135" t="s">
        <v>1010</v>
      </c>
      <c r="F6" s="135" t="s">
        <v>584</v>
      </c>
      <c r="G6" s="135" t="s">
        <v>467</v>
      </c>
      <c r="H6" s="137" t="s">
        <v>398</v>
      </c>
      <c r="I6" s="136" t="s">
        <v>948</v>
      </c>
      <c r="J6" s="136" t="s">
        <v>527</v>
      </c>
      <c r="K6" s="136" t="s">
        <v>1013</v>
      </c>
      <c r="L6" s="137" t="s">
        <v>398</v>
      </c>
      <c r="M6" s="165" t="s">
        <v>1011</v>
      </c>
      <c r="N6" s="136" t="s">
        <v>576</v>
      </c>
      <c r="O6" s="136" t="s">
        <v>1013</v>
      </c>
      <c r="P6" s="137" t="s">
        <v>955</v>
      </c>
      <c r="Q6" s="165" t="s">
        <v>956</v>
      </c>
      <c r="R6" s="166" t="s">
        <v>1005</v>
      </c>
      <c r="T6" s="2">
        <v>1000000000000000</v>
      </c>
      <c r="U6" t="s">
        <v>150</v>
      </c>
      <c r="V6" t="s">
        <v>149</v>
      </c>
    </row>
    <row r="7" spans="1:24" ht="15" thickBot="1" x14ac:dyDescent="0.4">
      <c r="B7" s="223"/>
      <c r="C7" s="135" t="s">
        <v>584</v>
      </c>
      <c r="D7" s="135"/>
      <c r="E7" s="135" t="s">
        <v>953</v>
      </c>
      <c r="F7" s="135" t="s">
        <v>141</v>
      </c>
      <c r="G7" s="135" t="s">
        <v>465</v>
      </c>
      <c r="H7" s="137" t="s">
        <v>1039</v>
      </c>
      <c r="I7" s="137" t="s">
        <v>949</v>
      </c>
      <c r="J7" s="137" t="s">
        <v>1012</v>
      </c>
      <c r="K7" s="137" t="s">
        <v>974</v>
      </c>
      <c r="L7" s="137" t="s">
        <v>574</v>
      </c>
      <c r="M7" s="142" t="s">
        <v>584</v>
      </c>
      <c r="N7" s="137" t="s">
        <v>575</v>
      </c>
      <c r="O7" s="137" t="s">
        <v>974</v>
      </c>
      <c r="P7" s="142">
        <f>AI_Models!I67</f>
        <v>40864</v>
      </c>
      <c r="Q7" s="142">
        <f>AI_Models!I110</f>
        <v>12900</v>
      </c>
      <c r="R7" s="168" t="s">
        <v>1006</v>
      </c>
      <c r="S7" s="428">
        <v>8.3000000000000001E-3</v>
      </c>
      <c r="T7" s="2">
        <v>1E+18</v>
      </c>
      <c r="U7" t="s">
        <v>131</v>
      </c>
      <c r="V7" t="s">
        <v>128</v>
      </c>
    </row>
    <row r="8" spans="1:24" ht="15" thickTop="1" x14ac:dyDescent="0.35">
      <c r="B8" s="433" t="s">
        <v>1008</v>
      </c>
      <c r="C8" s="434"/>
      <c r="D8" s="499"/>
      <c r="E8" s="491">
        <f>((E18/E12)^(1/($B18-$B12)))-1</f>
        <v>0.56600883805725521</v>
      </c>
      <c r="F8" s="491">
        <f>((F18/F12)^(1/($B18-$B12)))-1</f>
        <v>-4.0735172960455479E-3</v>
      </c>
      <c r="G8" s="491">
        <f>((G18/G12)^(1/($B18-$B12)))-1</f>
        <v>0.55962967396966867</v>
      </c>
      <c r="H8" s="499" t="s">
        <v>45</v>
      </c>
      <c r="I8" s="491">
        <f>((I18/I12)^(1/($B18-$B12)))-1</f>
        <v>0.82876782718787489</v>
      </c>
      <c r="J8" s="491">
        <f t="shared" ref="J8:K8" si="0">((J18/J12)^(1/($B18-$B12)))-1</f>
        <v>1.8638665801309751</v>
      </c>
      <c r="K8" s="491">
        <f t="shared" si="0"/>
        <v>2.2364836081012034</v>
      </c>
      <c r="L8" s="499" t="s">
        <v>45</v>
      </c>
      <c r="M8" s="491">
        <f t="shared" ref="M8:N8" si="1">((M18/M12)^(1/($B18-$B12)))-1</f>
        <v>0.79472753537992857</v>
      </c>
      <c r="N8" s="491">
        <f t="shared" si="1"/>
        <v>1.8105591823096829</v>
      </c>
      <c r="O8" s="491">
        <f t="shared" ref="O8" si="2">((O18/O12)^(1/($B18-$B12)))-1</f>
        <v>2.1985463351752959</v>
      </c>
      <c r="P8" s="491">
        <f t="shared" ref="P8:R8" si="3">((P18/P12)^(1/($B18-$B12)))-1</f>
        <v>2.1985463351752959</v>
      </c>
      <c r="Q8" s="491">
        <f>((Q18/Q12)^(1/($B18-$B12)))-1</f>
        <v>2.2364836081012034</v>
      </c>
      <c r="R8" s="437">
        <f t="shared" si="3"/>
        <v>8.2999999999999741E-3</v>
      </c>
    </row>
    <row r="9" spans="1:24" x14ac:dyDescent="0.35">
      <c r="B9" s="426" t="s">
        <v>1009</v>
      </c>
      <c r="C9" s="442"/>
      <c r="D9" s="498"/>
      <c r="E9" s="421">
        <f>((E34/E18)^(1/($B34-$B18)))-1</f>
        <v>0.23521752533102802</v>
      </c>
      <c r="F9" s="421">
        <f>((F34/F18)^(1/($B34-$B18)))-1</f>
        <v>-0.11351690916505208</v>
      </c>
      <c r="G9" s="421">
        <f>((G34/G18)^(1/($B34-$B18)))-1</f>
        <v>9.4999449708945249E-2</v>
      </c>
      <c r="H9" s="498" t="s">
        <v>45</v>
      </c>
      <c r="I9" s="421">
        <f>((I34/I18)^(1/($B34-$B18)))-1</f>
        <v>0.15649970813506164</v>
      </c>
      <c r="J9" s="421">
        <f t="shared" ref="J9:K9" si="4">((J34/J18)^(1/($B34-$B18)))-1</f>
        <v>0.42852870752864702</v>
      </c>
      <c r="K9" s="421">
        <f t="shared" si="4"/>
        <v>0.48268540871845222</v>
      </c>
      <c r="L9" s="498" t="s">
        <v>45</v>
      </c>
      <c r="M9" s="421">
        <f t="shared" ref="M9:N9" si="5">((M34/M18)^(1/($B34-$B18)))-1</f>
        <v>0.22007445709997464</v>
      </c>
      <c r="N9" s="421">
        <f t="shared" si="5"/>
        <v>0.50705735161862808</v>
      </c>
      <c r="O9" s="421">
        <f t="shared" ref="O9" si="6">((O34/O18)^(1/($B34-$B18)))-1</f>
        <v>0.55138560481096133</v>
      </c>
      <c r="P9" s="421">
        <f t="shared" ref="P9:R9" si="7">((P34/P18)^(1/($B34-$B18)))-1</f>
        <v>0.55138560481096133</v>
      </c>
      <c r="Q9" s="421">
        <f>((Q34/Q18)^(1/($B34-$B18)))-1</f>
        <v>0.48268540871845222</v>
      </c>
      <c r="R9" s="432">
        <f t="shared" si="7"/>
        <v>8.2999999999999741E-3</v>
      </c>
    </row>
    <row r="10" spans="1:24" ht="15" thickBot="1" x14ac:dyDescent="0.4">
      <c r="B10" s="73" t="s">
        <v>1024</v>
      </c>
      <c r="C10" s="87"/>
      <c r="D10" s="366"/>
      <c r="E10" s="95">
        <f>((E34/E12)^(1/($B34-$B12)))-1</f>
        <v>0.31779604143784179</v>
      </c>
      <c r="F10" s="95">
        <f t="shared" ref="F10:R10" si="8">((F34/F12)^(1/($B34-$B12)))-1</f>
        <v>-8.4920805902312657E-2</v>
      </c>
      <c r="G10" s="95">
        <f t="shared" si="8"/>
        <v>0.20588773958406281</v>
      </c>
      <c r="H10" s="366" t="s">
        <v>45</v>
      </c>
      <c r="I10" s="95">
        <f t="shared" si="8"/>
        <v>0.31045409586596828</v>
      </c>
      <c r="J10" s="95">
        <f t="shared" si="8"/>
        <v>0.72691122001817909</v>
      </c>
      <c r="K10" s="95">
        <f t="shared" si="8"/>
        <v>0.83446830706987196</v>
      </c>
      <c r="L10" s="366" t="s">
        <v>45</v>
      </c>
      <c r="M10" s="95">
        <f t="shared" si="8"/>
        <v>0.35549759305947326</v>
      </c>
      <c r="N10" s="95">
        <f t="shared" si="8"/>
        <v>0.78626936231229649</v>
      </c>
      <c r="O10" s="95">
        <f t="shared" si="8"/>
        <v>0.88981649863204804</v>
      </c>
      <c r="P10" s="95">
        <f t="shared" si="8"/>
        <v>0.88981649863204804</v>
      </c>
      <c r="Q10" s="95">
        <f t="shared" si="8"/>
        <v>0.83446830706987196</v>
      </c>
      <c r="R10" s="77">
        <f t="shared" si="8"/>
        <v>8.2999999999999741E-3</v>
      </c>
    </row>
    <row r="11" spans="1:24" ht="15" thickTop="1" x14ac:dyDescent="0.35">
      <c r="B11" s="423">
        <v>2022</v>
      </c>
      <c r="C11" s="474" t="s">
        <v>45</v>
      </c>
      <c r="D11" s="474"/>
      <c r="E11" s="227" t="s">
        <v>45</v>
      </c>
      <c r="F11" s="227" t="s">
        <v>45</v>
      </c>
      <c r="G11" s="475">
        <v>15</v>
      </c>
      <c r="H11" s="472" t="s">
        <v>45</v>
      </c>
      <c r="I11" s="352" t="s">
        <v>45</v>
      </c>
      <c r="J11" s="352" t="s">
        <v>45</v>
      </c>
      <c r="K11" s="352" t="s">
        <v>45</v>
      </c>
      <c r="L11" s="472" t="s">
        <v>45</v>
      </c>
      <c r="M11" s="476" t="s">
        <v>45</v>
      </c>
      <c r="N11" s="476" t="s">
        <v>45</v>
      </c>
      <c r="O11" s="476" t="s">
        <v>45</v>
      </c>
      <c r="P11" s="476" t="s">
        <v>45</v>
      </c>
      <c r="Q11" s="476" t="s">
        <v>45</v>
      </c>
      <c r="R11" s="477">
        <v>7975105156</v>
      </c>
    </row>
    <row r="12" spans="1:24" x14ac:dyDescent="0.35">
      <c r="A12" s="214">
        <f>E12*F12/T4</f>
        <v>31</v>
      </c>
      <c r="B12" s="423">
        <v>2023</v>
      </c>
      <c r="C12" s="474" t="s">
        <v>45</v>
      </c>
      <c r="D12" s="474" t="s">
        <v>1196</v>
      </c>
      <c r="E12" s="228">
        <v>550000</v>
      </c>
      <c r="F12" s="475">
        <f>G12*T4/E12</f>
        <v>56363.63636363636</v>
      </c>
      <c r="G12" s="475">
        <v>31</v>
      </c>
      <c r="H12" s="472" t="s">
        <v>45</v>
      </c>
      <c r="I12" s="228">
        <f>KeyChips!U12</f>
        <v>3958</v>
      </c>
      <c r="J12" s="228">
        <f t="shared" ref="J12:J34" si="9">E12*I12/T$3</f>
        <v>2176.9</v>
      </c>
      <c r="K12" s="228">
        <f>SUM(J11:J12)</f>
        <v>2176.9</v>
      </c>
      <c r="L12" s="472" t="s">
        <v>45</v>
      </c>
      <c r="M12" s="227">
        <f>KeyChips!J$12</f>
        <v>80</v>
      </c>
      <c r="N12" s="227">
        <f t="shared" ref="N12:N34" si="10">E12*M12/T$2</f>
        <v>44000</v>
      </c>
      <c r="O12" s="228">
        <f>SUM(N11:N12)</f>
        <v>44000</v>
      </c>
      <c r="P12" s="227">
        <f t="shared" ref="P12:P34" si="11">O12*T$2/P$7</f>
        <v>1076.7423649177761</v>
      </c>
      <c r="Q12" s="227">
        <f t="shared" ref="Q12:Q34" si="12">(K12*T$3)/Q$7</f>
        <v>168751.93798449612</v>
      </c>
      <c r="R12" s="477">
        <f t="shared" ref="R12:R34" si="13">R11*(1+S$7)</f>
        <v>8041298528.7947998</v>
      </c>
    </row>
    <row r="13" spans="1:24" x14ac:dyDescent="0.35">
      <c r="B13" s="423">
        <v>2024</v>
      </c>
      <c r="C13" s="478">
        <f>(E13-E12)/E12</f>
        <v>2.6363636363636362</v>
      </c>
      <c r="D13" s="474" t="s">
        <v>1194</v>
      </c>
      <c r="E13" s="228">
        <v>2000000</v>
      </c>
      <c r="F13" s="475">
        <f>KeyChips!N12</f>
        <v>33000</v>
      </c>
      <c r="G13" s="475">
        <f t="shared" ref="G13:G34" si="14">(E13*F13)/T$4</f>
        <v>66</v>
      </c>
      <c r="H13" s="472" t="s">
        <v>45</v>
      </c>
      <c r="I13" s="228">
        <f>I12</f>
        <v>3958</v>
      </c>
      <c r="J13" s="228">
        <f t="shared" si="9"/>
        <v>7916</v>
      </c>
      <c r="K13" s="228">
        <f>SUM(J11:J13)</f>
        <v>10092.9</v>
      </c>
      <c r="L13" s="472" t="s">
        <v>45</v>
      </c>
      <c r="M13" s="227">
        <f>KeyChips!J$12</f>
        <v>80</v>
      </c>
      <c r="N13" s="227">
        <f t="shared" si="10"/>
        <v>160000</v>
      </c>
      <c r="O13" s="228">
        <f>SUM(N11:N13)</f>
        <v>204000</v>
      </c>
      <c r="P13" s="227">
        <f t="shared" si="11"/>
        <v>4992.1691464369615</v>
      </c>
      <c r="Q13" s="227">
        <f t="shared" si="12"/>
        <v>782395.34883720928</v>
      </c>
      <c r="R13" s="477">
        <f t="shared" si="13"/>
        <v>8108041306.5837965</v>
      </c>
    </row>
    <row r="14" spans="1:24" x14ac:dyDescent="0.35">
      <c r="B14" s="423">
        <v>2025</v>
      </c>
      <c r="C14" s="478">
        <v>0</v>
      </c>
      <c r="D14" s="474" t="s">
        <v>1195</v>
      </c>
      <c r="E14" s="228">
        <f>E13*(1+C14)</f>
        <v>2000000</v>
      </c>
      <c r="F14" s="475">
        <f>KeyChips!N16</f>
        <v>65000</v>
      </c>
      <c r="G14" s="475">
        <f t="shared" si="14"/>
        <v>130</v>
      </c>
      <c r="H14" s="473">
        <f>Calc_Moores_Law!D14</f>
        <v>0.38704901651406454</v>
      </c>
      <c r="I14" s="228">
        <f>KeyChips!V16</f>
        <v>40000</v>
      </c>
      <c r="J14" s="228">
        <f t="shared" si="9"/>
        <v>80000</v>
      </c>
      <c r="K14" s="228">
        <f>SUM(J11:J14)</f>
        <v>90092.9</v>
      </c>
      <c r="L14" s="473">
        <f>Calc_Moores_Law!Q19</f>
        <v>0.32630024571767025</v>
      </c>
      <c r="M14" s="227">
        <f>KeyChips!J16</f>
        <v>864</v>
      </c>
      <c r="N14" s="227">
        <f t="shared" si="10"/>
        <v>1728000</v>
      </c>
      <c r="O14" s="228">
        <f>SUM(N11:N14)</f>
        <v>1932000</v>
      </c>
      <c r="P14" s="227">
        <f t="shared" si="11"/>
        <v>47278.778386844169</v>
      </c>
      <c r="Q14" s="227">
        <f t="shared" si="12"/>
        <v>6983945.7364341086</v>
      </c>
      <c r="R14" s="477">
        <f t="shared" si="13"/>
        <v>8175338049.428442</v>
      </c>
    </row>
    <row r="15" spans="1:24" x14ac:dyDescent="0.35">
      <c r="B15" s="175">
        <v>2026</v>
      </c>
      <c r="C15" s="4">
        <v>0.6</v>
      </c>
      <c r="D15" s="594" t="s">
        <v>1195</v>
      </c>
      <c r="E15" s="2">
        <f>E14*(1+C15)</f>
        <v>3200000</v>
      </c>
      <c r="F15" s="214">
        <v>60000</v>
      </c>
      <c r="G15" s="214">
        <f t="shared" si="14"/>
        <v>192</v>
      </c>
      <c r="H15" s="59">
        <f>Calc_Moores_Law!D15</f>
        <v>0.38704901651406454</v>
      </c>
      <c r="I15" s="2">
        <f>I14*(1+H14)</f>
        <v>55481.960660562581</v>
      </c>
      <c r="J15" s="2">
        <f t="shared" si="9"/>
        <v>177542.27411380026</v>
      </c>
      <c r="K15" s="2">
        <f>SUM(J11:J15)</f>
        <v>267635.17411380028</v>
      </c>
      <c r="L15" s="59">
        <f>Calc_Moores_Law!Q20</f>
        <v>0.32630024571767025</v>
      </c>
      <c r="M15" s="34">
        <f>M14*(1+L14)</f>
        <v>1145.9234123000672</v>
      </c>
      <c r="N15" s="34">
        <f t="shared" si="10"/>
        <v>3666954.9193602153</v>
      </c>
      <c r="O15" s="2">
        <f>SUM(N11:N15)</f>
        <v>5598954.9193602148</v>
      </c>
      <c r="P15" s="201">
        <f t="shared" si="11"/>
        <v>137014.36274863486</v>
      </c>
      <c r="Q15" s="201">
        <f t="shared" si="12"/>
        <v>20746912.722000021</v>
      </c>
      <c r="R15" s="200">
        <f t="shared" si="13"/>
        <v>8243193355.238698</v>
      </c>
    </row>
    <row r="16" spans="1:24" x14ac:dyDescent="0.35">
      <c r="B16" s="175">
        <v>2027</v>
      </c>
      <c r="C16" s="4">
        <v>0.5</v>
      </c>
      <c r="D16" s="34" t="str">
        <f>D15</f>
        <v>GB200</v>
      </c>
      <c r="E16" s="2">
        <f t="shared" ref="E16:E34" si="15">E15*(1+C16)</f>
        <v>4800000</v>
      </c>
      <c r="F16" s="214">
        <v>60000</v>
      </c>
      <c r="G16" s="214">
        <f t="shared" si="14"/>
        <v>288</v>
      </c>
      <c r="H16" s="59">
        <f>Calc_Moores_Law!D16</f>
        <v>0.38704901651406454</v>
      </c>
      <c r="I16" s="2">
        <f t="shared" ref="I16:I34" si="16">I15*(1+H15)</f>
        <v>76956.198968505341</v>
      </c>
      <c r="J16" s="2">
        <f t="shared" si="9"/>
        <v>369389.75504882564</v>
      </c>
      <c r="K16" s="2">
        <f>SUM(J11:J16)</f>
        <v>637024.92916262592</v>
      </c>
      <c r="L16" s="59">
        <f>Calc_Moores_Law!Q21</f>
        <v>0.32630024571767025</v>
      </c>
      <c r="M16" s="34">
        <f t="shared" ref="M16:M34" si="17">M15*(1+L15)</f>
        <v>1519.8385033072102</v>
      </c>
      <c r="N16" s="34">
        <f t="shared" si="10"/>
        <v>7295224.8158746092</v>
      </c>
      <c r="O16" s="2">
        <f>SUM(N11:N16)</f>
        <v>12894179.735234823</v>
      </c>
      <c r="P16" s="201">
        <f t="shared" si="11"/>
        <v>315538.85413162742</v>
      </c>
      <c r="Q16" s="201">
        <f t="shared" si="12"/>
        <v>49381777.454467133</v>
      </c>
      <c r="R16" s="200">
        <f t="shared" si="13"/>
        <v>8311611860.0871792</v>
      </c>
    </row>
    <row r="17" spans="2:18" x14ac:dyDescent="0.35">
      <c r="B17" s="175">
        <v>2028</v>
      </c>
      <c r="C17" s="4">
        <v>0.3</v>
      </c>
      <c r="D17" s="34" t="str">
        <f t="shared" ref="D17:D34" si="18">D16</f>
        <v>GB200</v>
      </c>
      <c r="E17" s="2">
        <f t="shared" si="15"/>
        <v>6240000</v>
      </c>
      <c r="F17" s="214">
        <v>55000</v>
      </c>
      <c r="G17" s="214">
        <f t="shared" si="14"/>
        <v>343.2</v>
      </c>
      <c r="H17" s="59">
        <f>Calc_Moores_Law!D17</f>
        <v>0.38704901651406454</v>
      </c>
      <c r="I17" s="2">
        <f t="shared" si="16"/>
        <v>106742.020093926</v>
      </c>
      <c r="J17" s="2">
        <f t="shared" si="9"/>
        <v>666070.20538609824</v>
      </c>
      <c r="K17" s="2">
        <f t="shared" ref="K17:K34" si="19">SUM(J12:J17)</f>
        <v>1303095.1345487242</v>
      </c>
      <c r="L17" s="59">
        <f>Calc_Moores_Law!Q22</f>
        <v>0.32630024571767025</v>
      </c>
      <c r="M17" s="34">
        <f t="shared" si="17"/>
        <v>2015.762180387529</v>
      </c>
      <c r="N17" s="34">
        <f t="shared" si="10"/>
        <v>12578356.005618181</v>
      </c>
      <c r="O17" s="34">
        <f t="shared" ref="O17:O34" si="20">SUM(N12:N17)</f>
        <v>25472535.740853004</v>
      </c>
      <c r="P17" s="201">
        <f t="shared" si="11"/>
        <v>623349.05395587813</v>
      </c>
      <c r="Q17" s="201">
        <f t="shared" si="12"/>
        <v>101015126.70920342</v>
      </c>
      <c r="R17" s="200">
        <f t="shared" si="13"/>
        <v>8380598238.5259027</v>
      </c>
    </row>
    <row r="18" spans="2:18" x14ac:dyDescent="0.35">
      <c r="B18" s="381">
        <v>2029</v>
      </c>
      <c r="C18" s="143">
        <f t="shared" ref="C18:C21" si="21">C17*(1+C$8)</f>
        <v>0.3</v>
      </c>
      <c r="D18" s="127" t="str">
        <f t="shared" si="18"/>
        <v>GB200</v>
      </c>
      <c r="E18" s="128">
        <f t="shared" si="15"/>
        <v>8112000</v>
      </c>
      <c r="F18" s="215">
        <v>55000</v>
      </c>
      <c r="G18" s="215">
        <f t="shared" si="14"/>
        <v>446.16</v>
      </c>
      <c r="H18" s="189">
        <f>Calc_Moores_Law!D18</f>
        <v>0.38704901651406454</v>
      </c>
      <c r="I18" s="128">
        <f>I17*(1+H17)</f>
        <v>148056.41399200456</v>
      </c>
      <c r="J18" s="128">
        <f t="shared" si="9"/>
        <v>1201033.630303141</v>
      </c>
      <c r="K18" s="128">
        <f t="shared" si="19"/>
        <v>2501951.864851865</v>
      </c>
      <c r="L18" s="189">
        <f>Calc_Moores_Law!Q23</f>
        <v>0.32630024571767025</v>
      </c>
      <c r="M18" s="127">
        <f t="shared" si="17"/>
        <v>2673.5058751563665</v>
      </c>
      <c r="N18" s="127">
        <f t="shared" si="10"/>
        <v>21687479.659268443</v>
      </c>
      <c r="O18" s="127">
        <f t="shared" si="20"/>
        <v>47116015.40012145</v>
      </c>
      <c r="P18" s="127">
        <f t="shared" si="11"/>
        <v>1152995.6783506621</v>
      </c>
      <c r="Q18" s="127">
        <f t="shared" si="12"/>
        <v>193949756.96526083</v>
      </c>
      <c r="R18" s="139">
        <f t="shared" si="13"/>
        <v>8450157203.9056673</v>
      </c>
    </row>
    <row r="19" spans="2:18" x14ac:dyDescent="0.35">
      <c r="B19" s="175">
        <v>2030</v>
      </c>
      <c r="C19" s="4">
        <v>0.25</v>
      </c>
      <c r="D19" s="34" t="str">
        <f t="shared" si="18"/>
        <v>GB200</v>
      </c>
      <c r="E19" s="2">
        <f t="shared" si="15"/>
        <v>10140000</v>
      </c>
      <c r="F19" s="214">
        <v>50000</v>
      </c>
      <c r="G19" s="214">
        <f t="shared" si="14"/>
        <v>507</v>
      </c>
      <c r="H19" s="59">
        <f>Calc_Moores_Law!D19</f>
        <v>0.38704901651406454</v>
      </c>
      <c r="I19" s="2">
        <f t="shared" si="16"/>
        <v>205361.5034162091</v>
      </c>
      <c r="J19" s="2">
        <f t="shared" si="9"/>
        <v>2082365.6446403603</v>
      </c>
      <c r="K19" s="2">
        <f t="shared" si="19"/>
        <v>4576401.509492225</v>
      </c>
      <c r="L19" s="59">
        <f>Calc_Moores_Law!Q24</f>
        <v>0.32630024571767025</v>
      </c>
      <c r="M19" s="34">
        <f t="shared" si="17"/>
        <v>3545.871499147524</v>
      </c>
      <c r="N19" s="34">
        <f t="shared" si="10"/>
        <v>35955137.001355894</v>
      </c>
      <c r="O19" s="34">
        <f t="shared" si="20"/>
        <v>82911152.401477337</v>
      </c>
      <c r="P19" s="201">
        <f t="shared" si="11"/>
        <v>2028953.4162460195</v>
      </c>
      <c r="Q19" s="201">
        <f t="shared" si="12"/>
        <v>354759806.93738174</v>
      </c>
      <c r="R19" s="200">
        <f t="shared" si="13"/>
        <v>8520293508.6980839</v>
      </c>
    </row>
    <row r="20" spans="2:18" x14ac:dyDescent="0.35">
      <c r="B20" s="175">
        <v>2031</v>
      </c>
      <c r="C20" s="4">
        <f t="shared" si="21"/>
        <v>0.25</v>
      </c>
      <c r="D20" s="34" t="str">
        <f t="shared" si="18"/>
        <v>GB200</v>
      </c>
      <c r="E20" s="2">
        <f>E19*(1+C20)</f>
        <v>12675000</v>
      </c>
      <c r="F20" s="214">
        <v>50000</v>
      </c>
      <c r="G20" s="214">
        <f t="shared" si="14"/>
        <v>633.75</v>
      </c>
      <c r="H20" s="59">
        <f>Calc_Moores_Law!D20</f>
        <v>0.38704901651406454</v>
      </c>
      <c r="I20" s="2">
        <f t="shared" si="16"/>
        <v>284846.47134330252</v>
      </c>
      <c r="J20" s="2">
        <f t="shared" si="9"/>
        <v>3610429.0242763595</v>
      </c>
      <c r="K20" s="2">
        <f t="shared" si="19"/>
        <v>8106830.533768585</v>
      </c>
      <c r="L20" s="59">
        <f>Calc_Moores_Law!Q25</f>
        <v>0.32630024571767025</v>
      </c>
      <c r="M20" s="34">
        <f t="shared" si="17"/>
        <v>4702.8902406026446</v>
      </c>
      <c r="N20" s="34">
        <f t="shared" si="10"/>
        <v>59609133.799638517</v>
      </c>
      <c r="O20" s="34">
        <f t="shared" si="20"/>
        <v>140792286.20111585</v>
      </c>
      <c r="P20" s="201">
        <f t="shared" si="11"/>
        <v>3445386.8001447693</v>
      </c>
      <c r="Q20" s="201">
        <f t="shared" si="12"/>
        <v>628436475.48593676</v>
      </c>
      <c r="R20" s="200">
        <f t="shared" si="13"/>
        <v>8591011944.8202782</v>
      </c>
    </row>
    <row r="21" spans="2:18" x14ac:dyDescent="0.35">
      <c r="B21" s="175">
        <v>2032</v>
      </c>
      <c r="C21" s="4">
        <f t="shared" si="21"/>
        <v>0.25</v>
      </c>
      <c r="D21" s="34" t="str">
        <f t="shared" si="18"/>
        <v>GB200</v>
      </c>
      <c r="E21" s="2">
        <f t="shared" si="15"/>
        <v>15843750</v>
      </c>
      <c r="F21" s="214">
        <v>45000</v>
      </c>
      <c r="G21" s="214">
        <f t="shared" si="14"/>
        <v>712.96875</v>
      </c>
      <c r="H21" s="59">
        <f>Calc_Moores_Law!D21</f>
        <v>0.38704901651406454</v>
      </c>
      <c r="I21" s="2">
        <f t="shared" si="16"/>
        <v>395096.0179342294</v>
      </c>
      <c r="J21" s="2">
        <f t="shared" si="9"/>
        <v>6259802.5341454474</v>
      </c>
      <c r="K21" s="2">
        <f t="shared" si="19"/>
        <v>14189090.793800231</v>
      </c>
      <c r="L21" s="59">
        <f>Calc_Moores_Law!Q26</f>
        <v>0.32630024571767025</v>
      </c>
      <c r="M21" s="34">
        <f t="shared" si="17"/>
        <v>6237.4444816945206</v>
      </c>
      <c r="N21" s="34">
        <f t="shared" si="10"/>
        <v>98824511.00684756</v>
      </c>
      <c r="O21" s="34">
        <f t="shared" si="20"/>
        <v>235949842.28860319</v>
      </c>
      <c r="P21" s="201">
        <f t="shared" si="11"/>
        <v>5774027.0724501563</v>
      </c>
      <c r="Q21" s="201">
        <f t="shared" si="12"/>
        <v>1099929518.8992426</v>
      </c>
      <c r="R21" s="200">
        <f t="shared" si="13"/>
        <v>8662317343.962286</v>
      </c>
    </row>
    <row r="22" spans="2:18" x14ac:dyDescent="0.35">
      <c r="B22" s="175">
        <v>2033</v>
      </c>
      <c r="C22" s="4">
        <f t="shared" ref="C22" si="22">C21*(1+C$8)</f>
        <v>0.25</v>
      </c>
      <c r="D22" s="34" t="str">
        <f t="shared" si="18"/>
        <v>GB200</v>
      </c>
      <c r="E22" s="2">
        <f t="shared" si="15"/>
        <v>19804687.5</v>
      </c>
      <c r="F22" s="214">
        <v>40000</v>
      </c>
      <c r="G22" s="214">
        <f t="shared" si="14"/>
        <v>792.1875</v>
      </c>
      <c r="H22" s="59">
        <f>Calc_Moores_Law!D22</f>
        <v>0.15</v>
      </c>
      <c r="I22" s="2">
        <f t="shared" si="16"/>
        <v>548017.54310429608</v>
      </c>
      <c r="J22" s="2">
        <f t="shared" si="9"/>
        <v>10853316.185698364</v>
      </c>
      <c r="K22" s="2">
        <f t="shared" si="19"/>
        <v>24673017.224449769</v>
      </c>
      <c r="L22" s="59">
        <f>Calc_Moores_Law!Q27</f>
        <v>0.32630024571767025</v>
      </c>
      <c r="M22" s="34">
        <f t="shared" si="17"/>
        <v>8272.7241487217689</v>
      </c>
      <c r="N22" s="34">
        <f t="shared" si="10"/>
        <v>163838716.53913814</v>
      </c>
      <c r="O22" s="34">
        <f t="shared" si="20"/>
        <v>392493334.01186669</v>
      </c>
      <c r="P22" s="201">
        <f t="shared" si="11"/>
        <v>9604868.1972363628</v>
      </c>
      <c r="Q22" s="201">
        <f t="shared" si="12"/>
        <v>1912636994.143393</v>
      </c>
      <c r="R22" s="200">
        <f t="shared" si="13"/>
        <v>8734214577.9171734</v>
      </c>
    </row>
    <row r="23" spans="2:18" x14ac:dyDescent="0.35">
      <c r="B23" s="175">
        <v>2034</v>
      </c>
      <c r="C23" s="4">
        <f t="shared" ref="C23" si="23">C22*(1+C$8)</f>
        <v>0.25</v>
      </c>
      <c r="D23" s="34" t="str">
        <f t="shared" si="18"/>
        <v>GB200</v>
      </c>
      <c r="E23" s="2">
        <f t="shared" si="15"/>
        <v>24755859.375</v>
      </c>
      <c r="F23" s="214">
        <v>35000</v>
      </c>
      <c r="G23" s="214">
        <f t="shared" si="14"/>
        <v>866.455078125</v>
      </c>
      <c r="H23" s="59">
        <f>Calc_Moores_Law!D23</f>
        <v>0.15</v>
      </c>
      <c r="I23" s="2">
        <f t="shared" si="16"/>
        <v>630220.17456994043</v>
      </c>
      <c r="J23" s="2">
        <f t="shared" si="9"/>
        <v>15601642.016941397</v>
      </c>
      <c r="K23" s="2">
        <f t="shared" si="19"/>
        <v>39608589.036005072</v>
      </c>
      <c r="L23" s="59">
        <f>Calc_Moores_Law!Q28</f>
        <v>0.32630024571767025</v>
      </c>
      <c r="M23" s="34">
        <f t="shared" si="17"/>
        <v>10972.116071204186</v>
      </c>
      <c r="N23" s="34">
        <f t="shared" si="10"/>
        <v>271624162.50490832</v>
      </c>
      <c r="O23" s="34">
        <f t="shared" si="20"/>
        <v>651539140.51115692</v>
      </c>
      <c r="P23" s="201">
        <f t="shared" si="11"/>
        <v>15944086.249783596</v>
      </c>
      <c r="Q23" s="201">
        <f t="shared" si="12"/>
        <v>3070433258.6050444</v>
      </c>
      <c r="R23" s="200">
        <f t="shared" si="13"/>
        <v>8806708558.9138851</v>
      </c>
    </row>
    <row r="24" spans="2:18" x14ac:dyDescent="0.35">
      <c r="B24" s="175">
        <v>2035</v>
      </c>
      <c r="C24" s="4">
        <f t="shared" ref="C24" si="24">C23*(1+C$8)</f>
        <v>0.25</v>
      </c>
      <c r="D24" s="34" t="str">
        <f t="shared" si="18"/>
        <v>GB200</v>
      </c>
      <c r="E24" s="2">
        <f t="shared" si="15"/>
        <v>30944824.21875</v>
      </c>
      <c r="F24" s="214">
        <v>30000</v>
      </c>
      <c r="G24" s="214">
        <f t="shared" si="14"/>
        <v>928.3447265625</v>
      </c>
      <c r="H24" s="59">
        <f>Calc_Moores_Law!D24</f>
        <v>0.15</v>
      </c>
      <c r="I24" s="2">
        <f>I23*(1+H23)</f>
        <v>724753.20075543143</v>
      </c>
      <c r="J24" s="2">
        <f t="shared" si="9"/>
        <v>22427360.399353255</v>
      </c>
      <c r="K24" s="2">
        <f t="shared" si="19"/>
        <v>60834915.805055186</v>
      </c>
      <c r="L24" s="59">
        <f>Calc_Moores_Law!Q29</f>
        <v>0.32630024571767025</v>
      </c>
      <c r="M24" s="34">
        <f t="shared" si="17"/>
        <v>14552.32024128091</v>
      </c>
      <c r="N24" s="34">
        <f t="shared" si="10"/>
        <v>450318991.84139532</v>
      </c>
      <c r="O24" s="34">
        <f t="shared" si="20"/>
        <v>1080170652.6932838</v>
      </c>
      <c r="P24" s="201">
        <f t="shared" si="11"/>
        <v>26433306.888539638</v>
      </c>
      <c r="Q24" s="201">
        <f t="shared" si="12"/>
        <v>4715884946.1283092</v>
      </c>
      <c r="R24" s="200">
        <f t="shared" si="13"/>
        <v>8879804239.9528694</v>
      </c>
    </row>
    <row r="25" spans="2:18" x14ac:dyDescent="0.35">
      <c r="B25" s="175">
        <v>2036</v>
      </c>
      <c r="C25" s="4">
        <f t="shared" ref="C25" si="25">C24*(1+C$8)</f>
        <v>0.25</v>
      </c>
      <c r="D25" s="34" t="str">
        <f t="shared" si="18"/>
        <v>GB200</v>
      </c>
      <c r="E25" s="2">
        <f t="shared" si="15"/>
        <v>38681030.2734375</v>
      </c>
      <c r="F25" s="214">
        <v>25000</v>
      </c>
      <c r="G25" s="214">
        <f t="shared" si="14"/>
        <v>967.0257568359375</v>
      </c>
      <c r="H25" s="59">
        <f>Calc_Moores_Law!D25</f>
        <v>0.15</v>
      </c>
      <c r="I25" s="2">
        <f t="shared" si="16"/>
        <v>833466.18086874613</v>
      </c>
      <c r="J25" s="2">
        <f t="shared" si="9"/>
        <v>32239330.574070305</v>
      </c>
      <c r="K25" s="2">
        <f t="shared" si="19"/>
        <v>90991880.734485134</v>
      </c>
      <c r="L25" s="59">
        <f>Calc_Moores_Law!Q30</f>
        <v>0.2</v>
      </c>
      <c r="M25" s="34">
        <f t="shared" si="17"/>
        <v>19300.745911773098</v>
      </c>
      <c r="N25" s="34">
        <f t="shared" si="10"/>
        <v>746572736.91322017</v>
      </c>
      <c r="O25" s="34">
        <f t="shared" si="20"/>
        <v>1790788252.6051481</v>
      </c>
      <c r="P25" s="201">
        <f t="shared" si="11"/>
        <v>43823126.776750885</v>
      </c>
      <c r="Q25" s="201">
        <f t="shared" si="12"/>
        <v>7053634165.4639645</v>
      </c>
      <c r="R25" s="200">
        <f t="shared" si="13"/>
        <v>8953506615.1444778</v>
      </c>
    </row>
    <row r="26" spans="2:18" x14ac:dyDescent="0.35">
      <c r="B26" s="175">
        <v>2037</v>
      </c>
      <c r="C26" s="4">
        <f t="shared" ref="C26" si="26">C25*(1+C$8)</f>
        <v>0.25</v>
      </c>
      <c r="D26" s="34" t="str">
        <f t="shared" si="18"/>
        <v>GB200</v>
      </c>
      <c r="E26" s="2">
        <f t="shared" si="15"/>
        <v>48351287.841796875</v>
      </c>
      <c r="F26" s="214">
        <v>20000</v>
      </c>
      <c r="G26" s="214">
        <f t="shared" si="14"/>
        <v>967.0257568359375</v>
      </c>
      <c r="H26" s="59">
        <f>Calc_Moores_Law!D26</f>
        <v>0.15</v>
      </c>
      <c r="I26" s="2">
        <f t="shared" si="16"/>
        <v>958486.10799905797</v>
      </c>
      <c r="J26" s="2">
        <f t="shared" si="9"/>
        <v>46344037.700226054</v>
      </c>
      <c r="K26" s="2">
        <f t="shared" si="19"/>
        <v>133725489.41043483</v>
      </c>
      <c r="L26" s="59">
        <f>Calc_Moores_Law!Q31</f>
        <v>0.2</v>
      </c>
      <c r="M26" s="34">
        <f t="shared" si="17"/>
        <v>23160.895094127718</v>
      </c>
      <c r="N26" s="34">
        <f t="shared" si="10"/>
        <v>1119859105.3698304</v>
      </c>
      <c r="O26" s="34">
        <f t="shared" si="20"/>
        <v>2851038224.1753397</v>
      </c>
      <c r="P26" s="201">
        <f t="shared" si="11"/>
        <v>69768946.362943903</v>
      </c>
      <c r="Q26" s="201">
        <f t="shared" si="12"/>
        <v>10366317008.560839</v>
      </c>
      <c r="R26" s="200">
        <f t="shared" si="13"/>
        <v>9027820720.0501766</v>
      </c>
    </row>
    <row r="27" spans="2:18" x14ac:dyDescent="0.35">
      <c r="B27" s="175">
        <v>2038</v>
      </c>
      <c r="C27" s="4">
        <f t="shared" ref="C27" si="27">C26*(1+C$8)</f>
        <v>0.25</v>
      </c>
      <c r="D27" s="34" t="str">
        <f t="shared" si="18"/>
        <v>GB200</v>
      </c>
      <c r="E27" s="2">
        <f t="shared" si="15"/>
        <v>60439109.802246094</v>
      </c>
      <c r="F27" s="214">
        <v>17000</v>
      </c>
      <c r="G27" s="214">
        <f t="shared" si="14"/>
        <v>1027.4648666381836</v>
      </c>
      <c r="H27" s="59">
        <f>Calc_Moores_Law!D27</f>
        <v>4.6602372183207397E-2</v>
      </c>
      <c r="I27" s="2">
        <f t="shared" si="16"/>
        <v>1102259.0241989165</v>
      </c>
      <c r="J27" s="2">
        <f t="shared" si="9"/>
        <v>66619554.194074944</v>
      </c>
      <c r="K27" s="2">
        <f>SUM(J22:J27)</f>
        <v>194085241.0703643</v>
      </c>
      <c r="L27" s="59">
        <f>Calc_Moores_Law!Q32</f>
        <v>0.2</v>
      </c>
      <c r="M27" s="34">
        <f t="shared" si="17"/>
        <v>27793.074112953262</v>
      </c>
      <c r="N27" s="34">
        <f t="shared" si="10"/>
        <v>1679788658.0547457</v>
      </c>
      <c r="O27" s="34">
        <f t="shared" si="20"/>
        <v>4432002371.223238</v>
      </c>
      <c r="P27" s="201">
        <f t="shared" si="11"/>
        <v>108457379.87527502</v>
      </c>
      <c r="Q27" s="201">
        <f t="shared" si="12"/>
        <v>15045367524.83444</v>
      </c>
      <c r="R27" s="200">
        <f t="shared" si="13"/>
        <v>9102751632.0265923</v>
      </c>
    </row>
    <row r="28" spans="2:18" x14ac:dyDescent="0.35">
      <c r="B28" s="175">
        <v>2039</v>
      </c>
      <c r="C28" s="4">
        <v>0.25</v>
      </c>
      <c r="D28" s="34" t="str">
        <f t="shared" si="18"/>
        <v>GB200</v>
      </c>
      <c r="E28" s="2">
        <f t="shared" si="15"/>
        <v>75548887.252807617</v>
      </c>
      <c r="F28" s="214">
        <f>F27</f>
        <v>17000</v>
      </c>
      <c r="G28" s="214">
        <f t="shared" si="14"/>
        <v>1284.3310832977295</v>
      </c>
      <c r="H28" s="59">
        <f>Calc_Moores_Law!D28</f>
        <v>4.6602372183207397E-2</v>
      </c>
      <c r="I28" s="2">
        <f t="shared" si="16"/>
        <v>1153626.9094869334</v>
      </c>
      <c r="J28" s="2">
        <f t="shared" si="9"/>
        <v>87155229.316633239</v>
      </c>
      <c r="K28" s="2">
        <f t="shared" si="19"/>
        <v>270387154.20129919</v>
      </c>
      <c r="L28" s="59">
        <f>Calc_Moores_Law!Q33</f>
        <v>0.2</v>
      </c>
      <c r="M28" s="34">
        <f t="shared" si="17"/>
        <v>33351.688935543913</v>
      </c>
      <c r="N28" s="34">
        <f t="shared" si="10"/>
        <v>2519682987.082118</v>
      </c>
      <c r="O28" s="34">
        <f t="shared" si="20"/>
        <v>6787846641.7662182</v>
      </c>
      <c r="P28" s="201">
        <f t="shared" si="11"/>
        <v>166108228.31260321</v>
      </c>
      <c r="Q28" s="201">
        <f t="shared" si="12"/>
        <v>20960244511.728619</v>
      </c>
      <c r="R28" s="200">
        <f t="shared" si="13"/>
        <v>9178304470.5724125</v>
      </c>
    </row>
    <row r="29" spans="2:18" x14ac:dyDescent="0.35">
      <c r="B29" s="175">
        <v>2040</v>
      </c>
      <c r="C29" s="4">
        <f t="shared" ref="C29" si="28">C28*(1+C$8)</f>
        <v>0.25</v>
      </c>
      <c r="D29" s="34" t="str">
        <f t="shared" si="18"/>
        <v>GB200</v>
      </c>
      <c r="E29" s="2">
        <f t="shared" si="15"/>
        <v>94436109.066009521</v>
      </c>
      <c r="F29" s="214">
        <v>15000</v>
      </c>
      <c r="G29" s="214">
        <f t="shared" si="14"/>
        <v>1416.5416359901428</v>
      </c>
      <c r="H29" s="59">
        <f>Calc_Moores_Law!D29</f>
        <v>4.6602372183207397E-2</v>
      </c>
      <c r="I29" s="2">
        <f t="shared" si="16"/>
        <v>1207388.6600834068</v>
      </c>
      <c r="J29" s="2">
        <f t="shared" si="9"/>
        <v>114021087.18869971</v>
      </c>
      <c r="K29" s="2">
        <f t="shared" si="19"/>
        <v>368806599.37305748</v>
      </c>
      <c r="L29" s="59">
        <f>Calc_Moores_Law!Q34</f>
        <v>0.1</v>
      </c>
      <c r="M29" s="34">
        <f t="shared" si="17"/>
        <v>40022.026722652692</v>
      </c>
      <c r="N29" s="34">
        <f t="shared" si="10"/>
        <v>3779524480.6231771</v>
      </c>
      <c r="O29" s="34">
        <f t="shared" si="20"/>
        <v>10295746959.884487</v>
      </c>
      <c r="P29" s="201">
        <f t="shared" si="11"/>
        <v>251951521.14047784</v>
      </c>
      <c r="Q29" s="201">
        <f t="shared" si="12"/>
        <v>28589658866.128487</v>
      </c>
      <c r="R29" s="200">
        <f t="shared" si="13"/>
        <v>9254484397.6781635</v>
      </c>
    </row>
    <row r="30" spans="2:18" x14ac:dyDescent="0.35">
      <c r="B30" s="175">
        <v>2041</v>
      </c>
      <c r="C30" s="4">
        <f t="shared" ref="C30" si="29">C29*(1+C$8)</f>
        <v>0.25</v>
      </c>
      <c r="D30" s="34" t="str">
        <f t="shared" si="18"/>
        <v>GB200</v>
      </c>
      <c r="E30" s="2">
        <f t="shared" si="15"/>
        <v>118045136.3325119</v>
      </c>
      <c r="F30" s="214">
        <f t="shared" ref="F30:F34" si="30">F29</f>
        <v>15000</v>
      </c>
      <c r="G30" s="214">
        <f t="shared" si="14"/>
        <v>1770.6770449876785</v>
      </c>
      <c r="H30" s="59">
        <f>Calc_Moores_Law!D30</f>
        <v>4.6602372183207397E-2</v>
      </c>
      <c r="I30" s="2">
        <f t="shared" si="16"/>
        <v>1263655.8357903978</v>
      </c>
      <c r="J30" s="2">
        <f t="shared" si="9"/>
        <v>149168425.41325179</v>
      </c>
      <c r="K30" s="2">
        <f t="shared" si="19"/>
        <v>495547664.3869561</v>
      </c>
      <c r="L30" s="59">
        <f>Calc_Moores_Law!Q35</f>
        <v>0.1</v>
      </c>
      <c r="M30" s="34">
        <f t="shared" si="17"/>
        <v>44024.229394917966</v>
      </c>
      <c r="N30" s="34">
        <f t="shared" si="10"/>
        <v>5196846160.8568687</v>
      </c>
      <c r="O30" s="34">
        <f t="shared" si="20"/>
        <v>15042274128.89996</v>
      </c>
      <c r="P30" s="201">
        <f t="shared" si="11"/>
        <v>368105768.62030047</v>
      </c>
      <c r="Q30" s="201">
        <f t="shared" si="12"/>
        <v>38414547626.895821</v>
      </c>
      <c r="R30" s="200">
        <f t="shared" si="13"/>
        <v>9331296618.1788921</v>
      </c>
    </row>
    <row r="31" spans="2:18" x14ac:dyDescent="0.35">
      <c r="B31" s="175">
        <v>2042</v>
      </c>
      <c r="C31" s="4">
        <f t="shared" ref="C31" si="31">C30*(1+C$8)</f>
        <v>0.25</v>
      </c>
      <c r="D31" s="34" t="str">
        <f t="shared" si="18"/>
        <v>GB200</v>
      </c>
      <c r="E31" s="2">
        <f t="shared" si="15"/>
        <v>147556420.41563988</v>
      </c>
      <c r="F31" s="214">
        <v>13000</v>
      </c>
      <c r="G31" s="214">
        <f t="shared" si="14"/>
        <v>1918.2334654033184</v>
      </c>
      <c r="H31" s="59">
        <f>Calc_Moores_Law!D31</f>
        <v>4.6602372183207397E-2</v>
      </c>
      <c r="I31" s="2">
        <f t="shared" si="16"/>
        <v>1322545.195361384</v>
      </c>
      <c r="J31" s="2">
        <f t="shared" si="9"/>
        <v>195150034.86542892</v>
      </c>
      <c r="K31" s="2">
        <f t="shared" si="19"/>
        <v>658458368.67831469</v>
      </c>
      <c r="L31" s="59">
        <f>Calc_Moores_Law!Q36</f>
        <v>0.1</v>
      </c>
      <c r="M31" s="34">
        <f t="shared" si="17"/>
        <v>48426.652334409766</v>
      </c>
      <c r="N31" s="34">
        <f t="shared" si="10"/>
        <v>7145663471.178195</v>
      </c>
      <c r="O31" s="34">
        <f t="shared" si="20"/>
        <v>21441364863.164936</v>
      </c>
      <c r="P31" s="201">
        <f t="shared" si="11"/>
        <v>524700588.85975277</v>
      </c>
      <c r="Q31" s="201">
        <f t="shared" si="12"/>
        <v>51043284393.667801</v>
      </c>
      <c r="R31" s="200">
        <f t="shared" si="13"/>
        <v>9408746380.1097775</v>
      </c>
    </row>
    <row r="32" spans="2:18" x14ac:dyDescent="0.35">
      <c r="B32" s="175">
        <v>2043</v>
      </c>
      <c r="C32" s="4">
        <v>0.2</v>
      </c>
      <c r="D32" s="34" t="str">
        <f t="shared" si="18"/>
        <v>GB200</v>
      </c>
      <c r="E32" s="2">
        <f t="shared" si="15"/>
        <v>177067704.49876785</v>
      </c>
      <c r="F32" s="214">
        <v>10000</v>
      </c>
      <c r="G32" s="214">
        <f t="shared" si="14"/>
        <v>1770.6770449876785</v>
      </c>
      <c r="H32" s="59">
        <f>Calc_Moores_Law!D32</f>
        <v>4.6602372183207397E-2</v>
      </c>
      <c r="I32" s="2">
        <f t="shared" si="16"/>
        <v>1384178.9387847278</v>
      </c>
      <c r="J32" s="2">
        <f t="shared" si="9"/>
        <v>245093387.30615225</v>
      </c>
      <c r="K32" s="2">
        <f t="shared" si="19"/>
        <v>857207718.28424084</v>
      </c>
      <c r="L32" s="59">
        <f>Calc_Moores_Law!Q37</f>
        <v>0.1</v>
      </c>
      <c r="M32" s="34">
        <f t="shared" si="17"/>
        <v>53269.317567850747</v>
      </c>
      <c r="N32" s="34">
        <f t="shared" si="10"/>
        <v>9432275781.9552193</v>
      </c>
      <c r="O32" s="34">
        <f t="shared" si="20"/>
        <v>29753781539.750324</v>
      </c>
      <c r="P32" s="201">
        <f t="shared" si="11"/>
        <v>728117206.8263098</v>
      </c>
      <c r="Q32" s="201">
        <f t="shared" si="12"/>
        <v>66450210719.708595</v>
      </c>
      <c r="R32" s="200">
        <f t="shared" si="13"/>
        <v>9486838975.0646877</v>
      </c>
    </row>
    <row r="33" spans="2:34" x14ac:dyDescent="0.35">
      <c r="B33" s="175">
        <v>2044</v>
      </c>
      <c r="C33" s="4">
        <v>0.17</v>
      </c>
      <c r="D33" s="34" t="str">
        <f t="shared" si="18"/>
        <v>GB200</v>
      </c>
      <c r="E33" s="2">
        <f t="shared" si="15"/>
        <v>207169214.26355839</v>
      </c>
      <c r="F33" s="214">
        <v>8000</v>
      </c>
      <c r="G33" s="214">
        <f t="shared" si="14"/>
        <v>1657.3537141084671</v>
      </c>
      <c r="H33" s="59">
        <f>Calc_Moores_Law!D33</f>
        <v>4.6602372183207397E-2</v>
      </c>
      <c r="I33" s="2">
        <f t="shared" si="16"/>
        <v>1448684.9608581308</v>
      </c>
      <c r="J33" s="2">
        <f t="shared" si="9"/>
        <v>300122925.05641282</v>
      </c>
      <c r="K33" s="2">
        <f t="shared" si="19"/>
        <v>1090711089.1465788</v>
      </c>
      <c r="L33" s="59">
        <f>Calc_Moores_Law!Q38</f>
        <v>0.1</v>
      </c>
      <c r="M33" s="34">
        <f t="shared" si="17"/>
        <v>58596.249324635828</v>
      </c>
      <c r="N33" s="34">
        <f t="shared" si="10"/>
        <v>12139338931.376369</v>
      </c>
      <c r="O33" s="34">
        <f t="shared" si="20"/>
        <v>40213331813.071945</v>
      </c>
      <c r="P33" s="201">
        <f t="shared" si="11"/>
        <v>984077227.218871</v>
      </c>
      <c r="Q33" s="201">
        <f t="shared" si="12"/>
        <v>84551247220.665024</v>
      </c>
      <c r="R33" s="200">
        <f t="shared" si="13"/>
        <v>9565579738.557724</v>
      </c>
    </row>
    <row r="34" spans="2:34" ht="15" thickBot="1" x14ac:dyDescent="0.4">
      <c r="B34" s="382">
        <v>2045</v>
      </c>
      <c r="C34" s="154">
        <v>0.15</v>
      </c>
      <c r="D34" s="157" t="str">
        <f t="shared" si="18"/>
        <v>GB200</v>
      </c>
      <c r="E34" s="155">
        <f t="shared" si="15"/>
        <v>238244596.40309212</v>
      </c>
      <c r="F34" s="216">
        <f t="shared" si="30"/>
        <v>8000</v>
      </c>
      <c r="G34" s="216">
        <f t="shared" si="14"/>
        <v>1905.9567712247367</v>
      </c>
      <c r="H34" s="192">
        <f>Calc_Moores_Law!D34</f>
        <v>4.6602372183207397E-2</v>
      </c>
      <c r="I34" s="155">
        <f t="shared" si="16"/>
        <v>1516197.1165802567</v>
      </c>
      <c r="J34" s="155">
        <f t="shared" si="9"/>
        <v>361225770.10719526</v>
      </c>
      <c r="K34" s="155">
        <f t="shared" si="19"/>
        <v>1364781629.9371407</v>
      </c>
      <c r="L34" s="192">
        <f>Calc_Moores_Law!Q39</f>
        <v>0.1</v>
      </c>
      <c r="M34" s="157">
        <f t="shared" si="17"/>
        <v>64455.874257099415</v>
      </c>
      <c r="N34" s="157">
        <f t="shared" si="10"/>
        <v>15356263748.191105</v>
      </c>
      <c r="O34" s="157">
        <f t="shared" si="20"/>
        <v>53049912574.180939</v>
      </c>
      <c r="P34" s="157">
        <f t="shared" si="11"/>
        <v>1298206552.8137465</v>
      </c>
      <c r="Q34" s="157">
        <f t="shared" si="12"/>
        <v>105797025576.52254</v>
      </c>
      <c r="R34" s="158">
        <f t="shared" si="13"/>
        <v>9644974050.3877525</v>
      </c>
    </row>
    <row r="35" spans="2:34" ht="16" thickTop="1" x14ac:dyDescent="0.35">
      <c r="B35" s="141" t="s">
        <v>406</v>
      </c>
      <c r="C35" s="31"/>
      <c r="D35" s="31"/>
      <c r="E35" s="31"/>
      <c r="F35" s="31"/>
      <c r="G35" s="31"/>
      <c r="H35" s="31"/>
      <c r="I35" s="31"/>
      <c r="J35" s="31"/>
      <c r="K35" s="31"/>
      <c r="L35" s="31"/>
      <c r="M35" s="31"/>
      <c r="N35" s="31"/>
      <c r="O35" s="31"/>
      <c r="P35" s="31"/>
      <c r="Q35" s="31"/>
      <c r="R35" s="31"/>
    </row>
    <row r="37" spans="2:34" ht="24" thickBot="1" x14ac:dyDescent="0.6">
      <c r="B37" s="30" t="s">
        <v>38</v>
      </c>
      <c r="C37" s="31"/>
      <c r="D37" s="31"/>
      <c r="E37" s="31"/>
      <c r="F37" s="31"/>
      <c r="G37" s="31"/>
      <c r="H37" s="31"/>
      <c r="I37" s="31"/>
      <c r="J37" s="31"/>
      <c r="K37" s="31"/>
      <c r="L37" s="31"/>
      <c r="P37" s="92"/>
      <c r="S37" s="89" t="s">
        <v>32</v>
      </c>
      <c r="V37" s="89"/>
    </row>
    <row r="38" spans="2:34" ht="15" thickTop="1" x14ac:dyDescent="0.35">
      <c r="B38" s="83" t="s">
        <v>7</v>
      </c>
      <c r="C38" s="84" t="str">
        <f t="shared" ref="C38:K38" si="32">C5</f>
        <v>Annual</v>
      </c>
      <c r="D38" s="84"/>
      <c r="E38" s="84" t="str">
        <f t="shared" si="32"/>
        <v># of new AI</v>
      </c>
      <c r="F38" s="84" t="str">
        <f t="shared" ref="F38" si="33">F5</f>
        <v>Price of 1</v>
      </c>
      <c r="G38" s="84" t="str">
        <f t="shared" si="32"/>
        <v>Value of AI</v>
      </c>
      <c r="H38" s="19" t="str">
        <f t="shared" si="32"/>
        <v>Moore's law</v>
      </c>
      <c r="I38" s="84" t="str">
        <f t="shared" si="32"/>
        <v xml:space="preserve">TFLOPS </v>
      </c>
      <c r="J38" s="84" t="str">
        <f t="shared" si="32"/>
        <v xml:space="preserve">New global </v>
      </c>
      <c r="K38" s="84" t="str">
        <f t="shared" si="32"/>
        <v>Global exa-flops</v>
      </c>
      <c r="L38" s="84" t="str">
        <f t="shared" ref="L38" si="34">L5</f>
        <v>Moore's Law</v>
      </c>
      <c r="M38" s="84" t="str">
        <f>M5</f>
        <v>GB RAM</v>
      </c>
      <c r="N38" s="84" t="str">
        <f t="shared" ref="N38:O38" si="35">N5</f>
        <v>Global TB</v>
      </c>
      <c r="O38" s="84" t="str">
        <f t="shared" si="35"/>
        <v>Global TB RAM</v>
      </c>
      <c r="P38" s="84" t="str">
        <f>P5</f>
        <v># of AGI brains</v>
      </c>
      <c r="Q38" s="84" t="str">
        <f>Q5</f>
        <v># of AGI brains</v>
      </c>
      <c r="R38" s="85" t="str">
        <f t="shared" ref="R38" si="36">R5</f>
        <v># of humans</v>
      </c>
    </row>
    <row r="39" spans="2:34" x14ac:dyDescent="0.35">
      <c r="B39" s="21">
        <v>2008</v>
      </c>
      <c r="C39" s="135" t="str">
        <f t="shared" ref="C39:K39" si="37">C6</f>
        <v>growth in</v>
      </c>
      <c r="D39" s="135"/>
      <c r="E39" s="135" t="str">
        <f t="shared" si="37"/>
        <v>chipsets sold</v>
      </c>
      <c r="F39" s="135" t="str">
        <f t="shared" ref="F39" si="38">F6</f>
        <v>AI chipset</v>
      </c>
      <c r="G39" s="135" t="str">
        <f t="shared" si="37"/>
        <v>chip sales</v>
      </c>
      <c r="H39" s="13" t="str">
        <f t="shared" si="37"/>
        <v>multiplicator</v>
      </c>
      <c r="I39" s="136" t="str">
        <f t="shared" si="37"/>
        <v xml:space="preserve">for one AI </v>
      </c>
      <c r="J39" s="136" t="str">
        <f t="shared" si="37"/>
        <v>exa-FLOPS</v>
      </c>
      <c r="K39" s="136" t="str">
        <f t="shared" si="37"/>
        <v>available for AI</v>
      </c>
      <c r="L39" s="136" t="str">
        <f t="shared" ref="L39" si="39">L6</f>
        <v>multiplicator</v>
      </c>
      <c r="M39" s="165" t="str">
        <f>M6</f>
        <v>for one</v>
      </c>
      <c r="N39" s="165" t="str">
        <f t="shared" ref="N39:O39" si="40">N6</f>
        <v>RAM prod.</v>
      </c>
      <c r="O39" s="165" t="str">
        <f t="shared" si="40"/>
        <v>available for AI</v>
      </c>
      <c r="P39" s="137" t="str">
        <f>P6</f>
        <v>if one is GB RAM</v>
      </c>
      <c r="Q39" s="137" t="str">
        <f>Q6</f>
        <v>if one is TFLOPS</v>
      </c>
      <c r="R39" s="166" t="str">
        <f>R6</f>
        <v>on Earth. Annual</v>
      </c>
    </row>
    <row r="40" spans="2:34" ht="15" thickBot="1" x14ac:dyDescent="0.4">
      <c r="B40" s="21">
        <v>2022</v>
      </c>
      <c r="C40" s="135" t="str">
        <f t="shared" ref="C40:I40" si="41">C7</f>
        <v>AI chipset</v>
      </c>
      <c r="D40" s="135"/>
      <c r="E40" s="135" t="str">
        <f t="shared" si="41"/>
        <v>globally</v>
      </c>
      <c r="F40" s="135" t="str">
        <f t="shared" ref="F40" si="42">F7</f>
        <v>USD</v>
      </c>
      <c r="G40" s="135" t="str">
        <f t="shared" si="41"/>
        <v>billion USD</v>
      </c>
      <c r="H40" s="13" t="str">
        <f t="shared" si="41"/>
        <v>for compute</v>
      </c>
      <c r="I40" s="137" t="str">
        <f t="shared" si="41"/>
        <v>chipset</v>
      </c>
      <c r="J40" s="137"/>
      <c r="K40" s="431" t="s">
        <v>975</v>
      </c>
      <c r="L40" s="137" t="str">
        <f t="shared" ref="L40" si="43">L7</f>
        <v>for RAM mem.</v>
      </c>
      <c r="M40" s="167" t="str">
        <f>M7</f>
        <v>AI chipset</v>
      </c>
      <c r="N40" s="142" t="str">
        <f t="shared" ref="N40:O40" si="44">N7</f>
        <v>for AI use</v>
      </c>
      <c r="O40" s="167" t="str">
        <f t="shared" si="44"/>
        <v>6 years rolling</v>
      </c>
      <c r="P40" s="142">
        <f t="shared" ref="P40" si="45">P7</f>
        <v>40864</v>
      </c>
      <c r="Q40" s="142">
        <f>Q7</f>
        <v>12900</v>
      </c>
      <c r="R40" s="166" t="str">
        <f>R7</f>
        <v>growth is 0.83%</v>
      </c>
    </row>
    <row r="41" spans="2:34" ht="15" thickTop="1" x14ac:dyDescent="0.35">
      <c r="B41" s="433" t="str">
        <f>B8</f>
        <v>Growth 2023 to 2029</v>
      </c>
      <c r="C41" s="438"/>
      <c r="D41" s="438"/>
      <c r="E41" s="439" t="s">
        <v>138</v>
      </c>
      <c r="F41" s="439" t="s">
        <v>138</v>
      </c>
      <c r="G41" s="439" t="s">
        <v>138</v>
      </c>
      <c r="H41" s="436" t="s">
        <v>45</v>
      </c>
      <c r="I41" s="439" t="s">
        <v>138</v>
      </c>
      <c r="J41" s="439" t="s">
        <v>138</v>
      </c>
      <c r="K41" s="439" t="s">
        <v>138</v>
      </c>
      <c r="L41" s="436" t="s">
        <v>45</v>
      </c>
      <c r="M41" s="439" t="s">
        <v>138</v>
      </c>
      <c r="N41" s="439" t="s">
        <v>138</v>
      </c>
      <c r="O41" s="439" t="s">
        <v>138</v>
      </c>
      <c r="P41" s="439" t="s">
        <v>138</v>
      </c>
      <c r="Q41" s="439" t="s">
        <v>138</v>
      </c>
      <c r="R41" s="440" t="s">
        <v>138</v>
      </c>
    </row>
    <row r="42" spans="2:34" x14ac:dyDescent="0.35">
      <c r="B42" s="426" t="str">
        <f>B9</f>
        <v>Growth 2029 to 2045</v>
      </c>
      <c r="C42" s="442"/>
      <c r="D42" s="442"/>
      <c r="E42" s="469" t="s">
        <v>138</v>
      </c>
      <c r="F42" s="469" t="s">
        <v>138</v>
      </c>
      <c r="G42" s="469" t="s">
        <v>138</v>
      </c>
      <c r="H42" s="445" t="s">
        <v>45</v>
      </c>
      <c r="I42" s="469" t="s">
        <v>138</v>
      </c>
      <c r="J42" s="469" t="s">
        <v>138</v>
      </c>
      <c r="K42" s="469" t="s">
        <v>138</v>
      </c>
      <c r="L42" s="445" t="s">
        <v>45</v>
      </c>
      <c r="M42" s="469" t="s">
        <v>138</v>
      </c>
      <c r="N42" s="469" t="s">
        <v>138</v>
      </c>
      <c r="O42" s="469" t="s">
        <v>138</v>
      </c>
      <c r="P42" s="469" t="s">
        <v>138</v>
      </c>
      <c r="Q42" s="469" t="s">
        <v>138</v>
      </c>
      <c r="R42" s="469" t="s">
        <v>138</v>
      </c>
      <c r="S42" s="429" t="s">
        <v>222</v>
      </c>
      <c r="T42" s="37"/>
    </row>
    <row r="43" spans="2:34" ht="15" thickBot="1" x14ac:dyDescent="0.4">
      <c r="B43" s="73" t="str">
        <f>B10</f>
        <v>Growth 2023 to 2045</v>
      </c>
      <c r="C43" s="87"/>
      <c r="D43" s="87"/>
      <c r="E43" s="430" t="s">
        <v>138</v>
      </c>
      <c r="F43" s="430" t="s">
        <v>138</v>
      </c>
      <c r="G43" s="430" t="s">
        <v>138</v>
      </c>
      <c r="H43" s="363" t="s">
        <v>45</v>
      </c>
      <c r="I43" s="430" t="s">
        <v>138</v>
      </c>
      <c r="J43" s="430" t="s">
        <v>138</v>
      </c>
      <c r="K43" s="430" t="s">
        <v>138</v>
      </c>
      <c r="L43" s="363" t="s">
        <v>45</v>
      </c>
      <c r="M43" s="430" t="s">
        <v>138</v>
      </c>
      <c r="N43" s="430" t="s">
        <v>138</v>
      </c>
      <c r="O43" s="430" t="s">
        <v>138</v>
      </c>
      <c r="P43" s="430" t="s">
        <v>138</v>
      </c>
      <c r="Q43" s="430" t="s">
        <v>138</v>
      </c>
      <c r="R43" s="450" t="s">
        <v>138</v>
      </c>
      <c r="S43" s="471"/>
      <c r="T43" s="37"/>
    </row>
    <row r="44" spans="2:34" ht="15" thickTop="1" x14ac:dyDescent="0.35">
      <c r="B44" s="423">
        <v>2022</v>
      </c>
      <c r="C44" s="474" t="s">
        <v>45</v>
      </c>
      <c r="D44" s="474"/>
      <c r="E44" s="479" t="s">
        <v>399</v>
      </c>
      <c r="F44" s="480" t="s">
        <v>45</v>
      </c>
      <c r="G44" s="481" t="s">
        <v>444</v>
      </c>
      <c r="H44" s="482" t="s">
        <v>45</v>
      </c>
      <c r="I44" s="482" t="s">
        <v>45</v>
      </c>
      <c r="J44" s="482" t="s">
        <v>45</v>
      </c>
      <c r="K44" s="482" t="s">
        <v>45</v>
      </c>
      <c r="L44" s="482" t="s">
        <v>45</v>
      </c>
      <c r="M44" s="482" t="s">
        <v>45</v>
      </c>
      <c r="N44" s="482" t="s">
        <v>45</v>
      </c>
      <c r="O44" s="482" t="s">
        <v>45</v>
      </c>
      <c r="P44" s="482" t="s">
        <v>45</v>
      </c>
      <c r="Q44" s="482" t="s">
        <v>45</v>
      </c>
      <c r="R44" s="483" t="s">
        <v>222</v>
      </c>
      <c r="S44" s="212" t="s">
        <v>45</v>
      </c>
    </row>
    <row r="45" spans="2:34" x14ac:dyDescent="0.35">
      <c r="B45" s="423">
        <v>2023</v>
      </c>
      <c r="C45" s="474" t="s">
        <v>45</v>
      </c>
      <c r="D45" s="474"/>
      <c r="E45" s="484" t="s">
        <v>1197</v>
      </c>
      <c r="F45" s="480" t="s">
        <v>1198</v>
      </c>
      <c r="G45" s="481" t="s">
        <v>444</v>
      </c>
      <c r="H45" s="476" t="s">
        <v>236</v>
      </c>
      <c r="I45" s="228" t="s">
        <v>950</v>
      </c>
      <c r="J45" s="227" t="s">
        <v>944</v>
      </c>
      <c r="K45" s="227" t="s">
        <v>944</v>
      </c>
      <c r="L45" s="482" t="s">
        <v>45</v>
      </c>
      <c r="M45" s="485" t="s">
        <v>1127</v>
      </c>
      <c r="N45" s="227" t="s">
        <v>944</v>
      </c>
      <c r="O45" s="227" t="s">
        <v>944</v>
      </c>
      <c r="P45" s="227" t="s">
        <v>944</v>
      </c>
      <c r="Q45" s="227" t="s">
        <v>944</v>
      </c>
      <c r="R45" s="477" t="s">
        <v>944</v>
      </c>
      <c r="S45" t="s">
        <v>396</v>
      </c>
    </row>
    <row r="46" spans="2:34" x14ac:dyDescent="0.35">
      <c r="B46" s="423">
        <v>2024</v>
      </c>
      <c r="C46" s="486" t="s">
        <v>943</v>
      </c>
      <c r="D46" s="486"/>
      <c r="E46" s="595" t="s">
        <v>943</v>
      </c>
      <c r="F46" s="480" t="s">
        <v>236</v>
      </c>
      <c r="G46" s="484" t="s">
        <v>944</v>
      </c>
      <c r="H46" s="476" t="s">
        <v>236</v>
      </c>
      <c r="I46" s="228" t="s">
        <v>950</v>
      </c>
      <c r="J46" s="227" t="s">
        <v>944</v>
      </c>
      <c r="K46" s="227" t="s">
        <v>944</v>
      </c>
      <c r="L46" s="482" t="s">
        <v>45</v>
      </c>
      <c r="M46" s="485" t="s">
        <v>1127</v>
      </c>
      <c r="N46" s="227" t="s">
        <v>944</v>
      </c>
      <c r="O46" s="227" t="s">
        <v>944</v>
      </c>
      <c r="P46" s="227" t="s">
        <v>944</v>
      </c>
      <c r="Q46" s="227" t="s">
        <v>944</v>
      </c>
      <c r="R46" s="477" t="s">
        <v>944</v>
      </c>
      <c r="S46" s="378" t="s">
        <v>445</v>
      </c>
      <c r="T46" s="379" t="s">
        <v>1129</v>
      </c>
    </row>
    <row r="47" spans="2:34" x14ac:dyDescent="0.35">
      <c r="B47" s="423">
        <v>2025</v>
      </c>
      <c r="C47" s="478" t="s">
        <v>1025</v>
      </c>
      <c r="D47" s="478"/>
      <c r="E47" s="476" t="s">
        <v>944</v>
      </c>
      <c r="F47" s="480" t="s">
        <v>236</v>
      </c>
      <c r="G47" s="484" t="s">
        <v>944</v>
      </c>
      <c r="H47" s="476" t="s">
        <v>236</v>
      </c>
      <c r="I47" s="228" t="s">
        <v>951</v>
      </c>
      <c r="J47" s="227" t="s">
        <v>944</v>
      </c>
      <c r="K47" s="227" t="s">
        <v>944</v>
      </c>
      <c r="L47" s="476" t="s">
        <v>236</v>
      </c>
      <c r="M47" s="485" t="s">
        <v>1128</v>
      </c>
      <c r="N47" s="227" t="s">
        <v>944</v>
      </c>
      <c r="O47" s="227" t="s">
        <v>944</v>
      </c>
      <c r="P47" s="227" t="s">
        <v>944</v>
      </c>
      <c r="Q47" s="227" t="s">
        <v>944</v>
      </c>
      <c r="R47" s="477" t="s">
        <v>944</v>
      </c>
      <c r="Y47" s="4"/>
      <c r="Z47" s="4"/>
      <c r="AA47" s="2"/>
      <c r="AB47" s="2"/>
      <c r="AC47" s="214"/>
      <c r="AD47" s="2"/>
      <c r="AE47" s="34"/>
      <c r="AF47" s="34"/>
      <c r="AG47" s="34"/>
      <c r="AH47" s="34"/>
    </row>
    <row r="48" spans="2:34" x14ac:dyDescent="0.35">
      <c r="B48" s="175">
        <v>2026</v>
      </c>
      <c r="C48" s="4" t="s">
        <v>1130</v>
      </c>
      <c r="D48" s="4"/>
      <c r="E48" s="7" t="s">
        <v>944</v>
      </c>
      <c r="F48" s="159" t="s">
        <v>236</v>
      </c>
      <c r="G48" t="s">
        <v>944</v>
      </c>
      <c r="H48" s="7" t="s">
        <v>236</v>
      </c>
      <c r="I48" s="34" t="s">
        <v>944</v>
      </c>
      <c r="J48" s="34" t="s">
        <v>944</v>
      </c>
      <c r="K48" s="34" t="s">
        <v>944</v>
      </c>
      <c r="L48" s="7" t="s">
        <v>236</v>
      </c>
      <c r="M48" s="34" t="s">
        <v>944</v>
      </c>
      <c r="N48" s="34" t="s">
        <v>944</v>
      </c>
      <c r="O48" s="34" t="s">
        <v>944</v>
      </c>
      <c r="P48" s="201" t="s">
        <v>944</v>
      </c>
      <c r="Q48" s="201" t="s">
        <v>944</v>
      </c>
      <c r="R48" s="200" t="s">
        <v>944</v>
      </c>
      <c r="Y48" s="4"/>
      <c r="Z48" s="4"/>
      <c r="AA48" s="2"/>
      <c r="AB48" s="2"/>
      <c r="AC48" s="214"/>
      <c r="AD48" s="2"/>
      <c r="AE48" s="34"/>
      <c r="AF48" s="34"/>
      <c r="AG48" s="34"/>
      <c r="AH48" s="34"/>
    </row>
    <row r="49" spans="2:34" x14ac:dyDescent="0.35">
      <c r="B49" s="175">
        <v>2027</v>
      </c>
      <c r="C49" s="4" t="s">
        <v>1130</v>
      </c>
      <c r="D49" s="4"/>
      <c r="E49" s="7" t="s">
        <v>944</v>
      </c>
      <c r="F49" s="214" t="s">
        <v>946</v>
      </c>
      <c r="G49" t="s">
        <v>944</v>
      </c>
      <c r="H49" s="7" t="s">
        <v>236</v>
      </c>
      <c r="I49" s="34" t="s">
        <v>944</v>
      </c>
      <c r="J49" s="34" t="s">
        <v>944</v>
      </c>
      <c r="K49" s="34" t="s">
        <v>944</v>
      </c>
      <c r="L49" s="7" t="s">
        <v>236</v>
      </c>
      <c r="M49" s="34" t="s">
        <v>944</v>
      </c>
      <c r="N49" s="34" t="s">
        <v>944</v>
      </c>
      <c r="O49" s="34" t="s">
        <v>944</v>
      </c>
      <c r="P49" s="201" t="s">
        <v>944</v>
      </c>
      <c r="Q49" s="201" t="s">
        <v>944</v>
      </c>
      <c r="R49" s="200" t="s">
        <v>944</v>
      </c>
      <c r="Y49" s="4"/>
      <c r="Z49" s="4"/>
      <c r="AA49" s="2"/>
      <c r="AB49" s="2"/>
      <c r="AC49" s="214"/>
      <c r="AD49" s="2"/>
      <c r="AE49" s="34"/>
      <c r="AF49" s="34"/>
      <c r="AG49" s="34"/>
      <c r="AH49" s="34"/>
    </row>
    <row r="50" spans="2:34" x14ac:dyDescent="0.35">
      <c r="B50" s="175">
        <v>2028</v>
      </c>
      <c r="C50" s="4" t="s">
        <v>1130</v>
      </c>
      <c r="D50" s="4"/>
      <c r="E50" s="7" t="s">
        <v>944</v>
      </c>
      <c r="F50" s="214" t="s">
        <v>946</v>
      </c>
      <c r="G50" t="s">
        <v>944</v>
      </c>
      <c r="H50" s="7" t="s">
        <v>236</v>
      </c>
      <c r="I50" s="34" t="s">
        <v>944</v>
      </c>
      <c r="J50" s="34" t="s">
        <v>944</v>
      </c>
      <c r="K50" s="34" t="s">
        <v>944</v>
      </c>
      <c r="L50" s="7" t="s">
        <v>236</v>
      </c>
      <c r="M50" s="34" t="s">
        <v>944</v>
      </c>
      <c r="N50" s="34" t="s">
        <v>944</v>
      </c>
      <c r="O50" s="34" t="s">
        <v>944</v>
      </c>
      <c r="P50" s="201" t="s">
        <v>944</v>
      </c>
      <c r="Q50" s="201" t="s">
        <v>944</v>
      </c>
      <c r="R50" s="200" t="s">
        <v>944</v>
      </c>
      <c r="Y50" s="4"/>
      <c r="Z50" s="4"/>
      <c r="AA50" s="2"/>
      <c r="AB50" s="2"/>
      <c r="AC50" s="214"/>
      <c r="AD50" s="2"/>
      <c r="AE50" s="34"/>
      <c r="AF50" s="34"/>
      <c r="AG50" s="34"/>
      <c r="AH50" s="34"/>
    </row>
    <row r="51" spans="2:34" x14ac:dyDescent="0.35">
      <c r="B51" s="381">
        <v>2029</v>
      </c>
      <c r="C51" s="143" t="s">
        <v>1130</v>
      </c>
      <c r="D51" s="143"/>
      <c r="E51" s="129" t="s">
        <v>944</v>
      </c>
      <c r="F51" s="215" t="s">
        <v>946</v>
      </c>
      <c r="G51" s="126" t="s">
        <v>944</v>
      </c>
      <c r="H51" s="129" t="s">
        <v>236</v>
      </c>
      <c r="I51" s="127" t="s">
        <v>944</v>
      </c>
      <c r="J51" s="127" t="s">
        <v>944</v>
      </c>
      <c r="K51" s="127" t="s">
        <v>944</v>
      </c>
      <c r="L51" s="129" t="s">
        <v>236</v>
      </c>
      <c r="M51" s="127" t="s">
        <v>944</v>
      </c>
      <c r="N51" s="127" t="s">
        <v>944</v>
      </c>
      <c r="O51" s="127" t="s">
        <v>944</v>
      </c>
      <c r="P51" s="127" t="s">
        <v>944</v>
      </c>
      <c r="Q51" s="127" t="s">
        <v>944</v>
      </c>
      <c r="R51" s="139" t="s">
        <v>944</v>
      </c>
      <c r="Y51" s="4"/>
      <c r="Z51" s="4"/>
      <c r="AA51" s="2"/>
      <c r="AB51" s="2"/>
      <c r="AC51" s="214"/>
      <c r="AD51" s="2"/>
      <c r="AE51" s="34"/>
      <c r="AF51" s="34"/>
      <c r="AG51" s="34"/>
      <c r="AH51" s="34"/>
    </row>
    <row r="52" spans="2:34" x14ac:dyDescent="0.35">
      <c r="B52" s="175">
        <v>2030</v>
      </c>
      <c r="C52" s="4" t="s">
        <v>1130</v>
      </c>
      <c r="D52" s="4"/>
      <c r="E52" s="7" t="s">
        <v>944</v>
      </c>
      <c r="F52" s="214" t="s">
        <v>946</v>
      </c>
      <c r="G52" t="s">
        <v>944</v>
      </c>
      <c r="H52" s="7" t="s">
        <v>236</v>
      </c>
      <c r="I52" s="34" t="s">
        <v>944</v>
      </c>
      <c r="J52" s="34" t="s">
        <v>944</v>
      </c>
      <c r="K52" s="34" t="s">
        <v>944</v>
      </c>
      <c r="L52" s="7" t="s">
        <v>236</v>
      </c>
      <c r="M52" s="34" t="s">
        <v>944</v>
      </c>
      <c r="N52" s="34" t="s">
        <v>944</v>
      </c>
      <c r="O52" s="34" t="s">
        <v>944</v>
      </c>
      <c r="P52" s="201" t="s">
        <v>944</v>
      </c>
      <c r="Q52" s="201" t="s">
        <v>944</v>
      </c>
      <c r="R52" s="200" t="s">
        <v>944</v>
      </c>
      <c r="Y52" s="4"/>
      <c r="Z52" s="4"/>
      <c r="AA52" s="2"/>
      <c r="AB52" s="2"/>
      <c r="AC52" s="214"/>
      <c r="AD52" s="2"/>
      <c r="AE52" s="34"/>
      <c r="AF52" s="34"/>
      <c r="AG52" s="34"/>
      <c r="AH52" s="34"/>
    </row>
    <row r="53" spans="2:34" x14ac:dyDescent="0.35">
      <c r="B53" s="175">
        <v>2031</v>
      </c>
      <c r="C53" s="4" t="s">
        <v>1130</v>
      </c>
      <c r="D53" s="4"/>
      <c r="E53" s="7" t="s">
        <v>944</v>
      </c>
      <c r="F53" s="214" t="s">
        <v>946</v>
      </c>
      <c r="G53" t="s">
        <v>944</v>
      </c>
      <c r="H53" s="7" t="s">
        <v>236</v>
      </c>
      <c r="I53" s="34" t="s">
        <v>944</v>
      </c>
      <c r="J53" s="34" t="s">
        <v>944</v>
      </c>
      <c r="K53" s="34" t="s">
        <v>944</v>
      </c>
      <c r="L53" s="7" t="s">
        <v>236</v>
      </c>
      <c r="M53" s="34" t="s">
        <v>944</v>
      </c>
      <c r="N53" s="34" t="s">
        <v>944</v>
      </c>
      <c r="O53" s="34" t="s">
        <v>944</v>
      </c>
      <c r="P53" s="201" t="s">
        <v>944</v>
      </c>
      <c r="Q53" s="201" t="s">
        <v>944</v>
      </c>
      <c r="R53" s="200" t="s">
        <v>944</v>
      </c>
      <c r="Y53" s="4"/>
      <c r="Z53" s="4"/>
      <c r="AA53" s="2"/>
      <c r="AB53" s="2"/>
      <c r="AC53" s="214"/>
      <c r="AD53" s="2"/>
      <c r="AE53" s="34"/>
      <c r="AF53" s="34"/>
      <c r="AG53" s="34"/>
      <c r="AH53" s="34"/>
    </row>
    <row r="54" spans="2:34" x14ac:dyDescent="0.35">
      <c r="B54" s="175">
        <v>2032</v>
      </c>
      <c r="C54" s="4" t="s">
        <v>1130</v>
      </c>
      <c r="D54" s="4"/>
      <c r="E54" s="7" t="s">
        <v>944</v>
      </c>
      <c r="F54" s="214" t="s">
        <v>946</v>
      </c>
      <c r="G54" t="s">
        <v>944</v>
      </c>
      <c r="H54" s="7" t="s">
        <v>236</v>
      </c>
      <c r="I54" s="34" t="s">
        <v>944</v>
      </c>
      <c r="J54" s="34" t="s">
        <v>944</v>
      </c>
      <c r="K54" s="34" t="s">
        <v>944</v>
      </c>
      <c r="L54" s="7" t="s">
        <v>236</v>
      </c>
      <c r="M54" s="34" t="s">
        <v>944</v>
      </c>
      <c r="N54" s="34" t="s">
        <v>944</v>
      </c>
      <c r="O54" s="34" t="s">
        <v>944</v>
      </c>
      <c r="P54" s="201" t="s">
        <v>944</v>
      </c>
      <c r="Q54" s="201" t="s">
        <v>944</v>
      </c>
      <c r="R54" s="200" t="s">
        <v>944</v>
      </c>
      <c r="Y54" s="4"/>
      <c r="Z54" s="4"/>
      <c r="AA54" s="2"/>
      <c r="AB54" s="2"/>
      <c r="AC54" s="214"/>
      <c r="AD54" s="2"/>
      <c r="AE54" s="34"/>
      <c r="AF54" s="34"/>
      <c r="AG54" s="34"/>
      <c r="AH54" s="34"/>
    </row>
    <row r="55" spans="2:34" x14ac:dyDescent="0.35">
      <c r="B55" s="175">
        <v>2033</v>
      </c>
      <c r="C55" s="4" t="s">
        <v>1130</v>
      </c>
      <c r="D55" s="4"/>
      <c r="E55" s="7" t="s">
        <v>944</v>
      </c>
      <c r="F55" s="214" t="s">
        <v>946</v>
      </c>
      <c r="G55" t="s">
        <v>944</v>
      </c>
      <c r="H55" s="7" t="s">
        <v>236</v>
      </c>
      <c r="I55" s="34" t="s">
        <v>944</v>
      </c>
      <c r="J55" s="34" t="s">
        <v>944</v>
      </c>
      <c r="K55" s="34" t="s">
        <v>944</v>
      </c>
      <c r="L55" s="7" t="s">
        <v>236</v>
      </c>
      <c r="M55" s="34" t="s">
        <v>944</v>
      </c>
      <c r="N55" s="34" t="s">
        <v>944</v>
      </c>
      <c r="O55" s="34" t="s">
        <v>944</v>
      </c>
      <c r="P55" s="201" t="s">
        <v>944</v>
      </c>
      <c r="Q55" s="201" t="s">
        <v>944</v>
      </c>
      <c r="R55" s="200" t="s">
        <v>944</v>
      </c>
      <c r="Y55" s="4"/>
      <c r="Z55" s="4"/>
      <c r="AA55" s="2"/>
      <c r="AB55" s="2"/>
      <c r="AC55" s="214"/>
      <c r="AD55" s="2"/>
      <c r="AE55" s="34"/>
      <c r="AF55" s="34"/>
      <c r="AG55" s="34"/>
      <c r="AH55" s="34"/>
    </row>
    <row r="56" spans="2:34" x14ac:dyDescent="0.35">
      <c r="B56" s="175">
        <v>2034</v>
      </c>
      <c r="C56" s="4" t="s">
        <v>1130</v>
      </c>
      <c r="D56" s="4"/>
      <c r="E56" s="7" t="s">
        <v>944</v>
      </c>
      <c r="F56" s="214" t="s">
        <v>946</v>
      </c>
      <c r="G56" t="s">
        <v>944</v>
      </c>
      <c r="H56" s="7" t="s">
        <v>236</v>
      </c>
      <c r="I56" s="34" t="s">
        <v>944</v>
      </c>
      <c r="J56" s="34" t="s">
        <v>944</v>
      </c>
      <c r="K56" s="34" t="s">
        <v>944</v>
      </c>
      <c r="L56" s="7" t="s">
        <v>236</v>
      </c>
      <c r="M56" s="34" t="s">
        <v>944</v>
      </c>
      <c r="N56" s="34" t="s">
        <v>944</v>
      </c>
      <c r="O56" s="34" t="s">
        <v>944</v>
      </c>
      <c r="P56" s="201" t="s">
        <v>944</v>
      </c>
      <c r="Q56" s="201" t="s">
        <v>944</v>
      </c>
      <c r="R56" s="200" t="s">
        <v>944</v>
      </c>
      <c r="Y56" s="4"/>
      <c r="Z56" s="4"/>
      <c r="AA56" s="2"/>
      <c r="AB56" s="2"/>
      <c r="AC56" s="214"/>
      <c r="AD56" s="2"/>
      <c r="AE56" s="34"/>
      <c r="AF56" s="34"/>
      <c r="AG56" s="34"/>
      <c r="AH56" s="34"/>
    </row>
    <row r="57" spans="2:34" x14ac:dyDescent="0.35">
      <c r="B57" s="175">
        <v>2035</v>
      </c>
      <c r="C57" s="4" t="s">
        <v>1130</v>
      </c>
      <c r="D57" s="4"/>
      <c r="E57" s="7" t="s">
        <v>944</v>
      </c>
      <c r="F57" s="214" t="s">
        <v>946</v>
      </c>
      <c r="G57" t="s">
        <v>944</v>
      </c>
      <c r="H57" s="7" t="s">
        <v>236</v>
      </c>
      <c r="I57" s="34" t="s">
        <v>944</v>
      </c>
      <c r="J57" s="34" t="s">
        <v>944</v>
      </c>
      <c r="K57" s="34" t="s">
        <v>944</v>
      </c>
      <c r="L57" s="7" t="s">
        <v>236</v>
      </c>
      <c r="M57" s="34" t="s">
        <v>944</v>
      </c>
      <c r="N57" s="34" t="s">
        <v>944</v>
      </c>
      <c r="O57" s="34" t="s">
        <v>944</v>
      </c>
      <c r="P57" s="201" t="s">
        <v>944</v>
      </c>
      <c r="Q57" s="201" t="s">
        <v>944</v>
      </c>
      <c r="R57" s="200" t="s">
        <v>944</v>
      </c>
      <c r="Y57" s="4"/>
      <c r="Z57" s="4"/>
      <c r="AA57" s="2"/>
      <c r="AB57" s="2"/>
      <c r="AC57" s="214"/>
      <c r="AD57" s="2"/>
      <c r="AE57" s="34"/>
      <c r="AF57" s="34"/>
      <c r="AG57" s="34"/>
      <c r="AH57" s="34"/>
    </row>
    <row r="58" spans="2:34" x14ac:dyDescent="0.35">
      <c r="B58" s="175">
        <v>2036</v>
      </c>
      <c r="C58" s="4" t="s">
        <v>1130</v>
      </c>
      <c r="D58" s="4"/>
      <c r="E58" s="7" t="s">
        <v>944</v>
      </c>
      <c r="F58" s="214" t="s">
        <v>946</v>
      </c>
      <c r="G58" t="s">
        <v>944</v>
      </c>
      <c r="H58" s="7" t="s">
        <v>236</v>
      </c>
      <c r="I58" s="34" t="s">
        <v>944</v>
      </c>
      <c r="J58" s="34" t="s">
        <v>944</v>
      </c>
      <c r="K58" s="34" t="s">
        <v>944</v>
      </c>
      <c r="L58" s="7" t="s">
        <v>236</v>
      </c>
      <c r="M58" s="34" t="s">
        <v>944</v>
      </c>
      <c r="N58" s="34" t="s">
        <v>944</v>
      </c>
      <c r="O58" s="34" t="s">
        <v>944</v>
      </c>
      <c r="P58" s="201" t="s">
        <v>944</v>
      </c>
      <c r="Q58" s="201" t="s">
        <v>944</v>
      </c>
      <c r="R58" s="200" t="s">
        <v>944</v>
      </c>
      <c r="Y58" s="4"/>
      <c r="Z58" s="4"/>
      <c r="AA58" s="2"/>
      <c r="AB58" s="2"/>
      <c r="AC58" s="214"/>
      <c r="AD58" s="2"/>
      <c r="AE58" s="34"/>
      <c r="AF58" s="34"/>
      <c r="AG58" s="34"/>
      <c r="AH58" s="34"/>
    </row>
    <row r="59" spans="2:34" x14ac:dyDescent="0.35">
      <c r="B59" s="175">
        <v>2037</v>
      </c>
      <c r="C59" s="4" t="s">
        <v>1130</v>
      </c>
      <c r="D59" s="4"/>
      <c r="E59" s="7" t="s">
        <v>944</v>
      </c>
      <c r="F59" s="214" t="s">
        <v>946</v>
      </c>
      <c r="G59" t="s">
        <v>944</v>
      </c>
      <c r="H59" s="7" t="s">
        <v>236</v>
      </c>
      <c r="I59" s="34" t="s">
        <v>944</v>
      </c>
      <c r="J59" s="34" t="s">
        <v>944</v>
      </c>
      <c r="K59" s="34" t="s">
        <v>944</v>
      </c>
      <c r="L59" s="7" t="s">
        <v>236</v>
      </c>
      <c r="M59" s="34" t="s">
        <v>944</v>
      </c>
      <c r="N59" s="34" t="s">
        <v>944</v>
      </c>
      <c r="O59" s="34" t="s">
        <v>944</v>
      </c>
      <c r="P59" s="201" t="s">
        <v>944</v>
      </c>
      <c r="Q59" s="201" t="s">
        <v>944</v>
      </c>
      <c r="R59" s="200" t="s">
        <v>944</v>
      </c>
      <c r="Y59" s="4"/>
      <c r="Z59" s="4"/>
      <c r="AA59" s="2"/>
      <c r="AB59" s="2"/>
      <c r="AC59" s="214"/>
      <c r="AD59" s="2"/>
      <c r="AE59" s="34"/>
      <c r="AF59" s="34"/>
      <c r="AG59" s="34"/>
      <c r="AH59" s="34"/>
    </row>
    <row r="60" spans="2:34" x14ac:dyDescent="0.35">
      <c r="B60" s="175">
        <v>2038</v>
      </c>
      <c r="C60" s="4" t="s">
        <v>1130</v>
      </c>
      <c r="D60" s="4"/>
      <c r="E60" s="7" t="s">
        <v>944</v>
      </c>
      <c r="F60" s="214" t="s">
        <v>946</v>
      </c>
      <c r="G60" t="s">
        <v>944</v>
      </c>
      <c r="H60" s="7" t="s">
        <v>236</v>
      </c>
      <c r="I60" s="34" t="s">
        <v>944</v>
      </c>
      <c r="J60" s="34" t="s">
        <v>944</v>
      </c>
      <c r="K60" s="34" t="s">
        <v>944</v>
      </c>
      <c r="L60" s="7" t="s">
        <v>236</v>
      </c>
      <c r="M60" s="34" t="s">
        <v>944</v>
      </c>
      <c r="N60" s="34" t="s">
        <v>944</v>
      </c>
      <c r="O60" s="34" t="s">
        <v>944</v>
      </c>
      <c r="P60" s="201" t="s">
        <v>944</v>
      </c>
      <c r="Q60" s="201" t="s">
        <v>944</v>
      </c>
      <c r="R60" s="200" t="s">
        <v>944</v>
      </c>
      <c r="Y60" s="4"/>
      <c r="Z60" s="4"/>
      <c r="AA60" s="2"/>
      <c r="AB60" s="2"/>
      <c r="AC60" s="214"/>
      <c r="AD60" s="2"/>
      <c r="AE60" s="34"/>
      <c r="AF60" s="34"/>
      <c r="AG60" s="34"/>
      <c r="AH60" s="34"/>
    </row>
    <row r="61" spans="2:34" x14ac:dyDescent="0.35">
      <c r="B61" s="175">
        <v>2039</v>
      </c>
      <c r="C61" s="4" t="s">
        <v>1130</v>
      </c>
      <c r="D61" s="4"/>
      <c r="E61" s="7" t="s">
        <v>944</v>
      </c>
      <c r="F61" s="214" t="s">
        <v>946</v>
      </c>
      <c r="G61" t="s">
        <v>944</v>
      </c>
      <c r="H61" s="7" t="s">
        <v>236</v>
      </c>
      <c r="I61" s="34" t="s">
        <v>944</v>
      </c>
      <c r="J61" s="34" t="s">
        <v>944</v>
      </c>
      <c r="K61" s="34" t="s">
        <v>944</v>
      </c>
      <c r="L61" s="7" t="s">
        <v>236</v>
      </c>
      <c r="M61" s="34" t="s">
        <v>944</v>
      </c>
      <c r="N61" s="34" t="s">
        <v>944</v>
      </c>
      <c r="O61" s="34" t="s">
        <v>944</v>
      </c>
      <c r="P61" s="201" t="s">
        <v>944</v>
      </c>
      <c r="Q61" s="201" t="s">
        <v>944</v>
      </c>
      <c r="R61" s="200" t="s">
        <v>944</v>
      </c>
      <c r="Y61" s="4"/>
      <c r="Z61" s="4"/>
      <c r="AA61" s="2"/>
      <c r="AB61" s="2"/>
      <c r="AC61" s="214"/>
      <c r="AD61" s="2"/>
      <c r="AE61" s="34"/>
      <c r="AF61" s="34"/>
      <c r="AG61" s="34"/>
      <c r="AH61" s="34"/>
    </row>
    <row r="62" spans="2:34" x14ac:dyDescent="0.35">
      <c r="B62" s="175">
        <v>2040</v>
      </c>
      <c r="C62" s="4" t="s">
        <v>1130</v>
      </c>
      <c r="D62" s="4"/>
      <c r="E62" s="7" t="s">
        <v>944</v>
      </c>
      <c r="F62" s="214" t="s">
        <v>946</v>
      </c>
      <c r="G62" t="s">
        <v>944</v>
      </c>
      <c r="H62" s="7" t="s">
        <v>236</v>
      </c>
      <c r="I62" s="34" t="s">
        <v>944</v>
      </c>
      <c r="J62" s="34" t="s">
        <v>944</v>
      </c>
      <c r="K62" s="34" t="s">
        <v>944</v>
      </c>
      <c r="L62" s="7" t="s">
        <v>236</v>
      </c>
      <c r="M62" s="34" t="s">
        <v>944</v>
      </c>
      <c r="N62" s="34" t="s">
        <v>944</v>
      </c>
      <c r="O62" s="34" t="s">
        <v>944</v>
      </c>
      <c r="P62" s="201" t="s">
        <v>944</v>
      </c>
      <c r="Q62" s="201" t="s">
        <v>944</v>
      </c>
      <c r="R62" s="200" t="s">
        <v>944</v>
      </c>
      <c r="Y62" s="4"/>
      <c r="Z62" s="4"/>
      <c r="AA62" s="2"/>
      <c r="AB62" s="2"/>
      <c r="AC62" s="214"/>
      <c r="AD62" s="2"/>
      <c r="AE62" s="34"/>
      <c r="AF62" s="34"/>
      <c r="AG62" s="34"/>
      <c r="AH62" s="34"/>
    </row>
    <row r="63" spans="2:34" x14ac:dyDescent="0.35">
      <c r="B63" s="175">
        <v>2041</v>
      </c>
      <c r="C63" s="4" t="s">
        <v>1130</v>
      </c>
      <c r="D63" s="4"/>
      <c r="E63" s="7" t="s">
        <v>944</v>
      </c>
      <c r="F63" s="214" t="s">
        <v>946</v>
      </c>
      <c r="G63" t="s">
        <v>944</v>
      </c>
      <c r="H63" s="7" t="s">
        <v>236</v>
      </c>
      <c r="I63" s="34" t="s">
        <v>944</v>
      </c>
      <c r="J63" s="34" t="s">
        <v>944</v>
      </c>
      <c r="K63" s="34" t="s">
        <v>944</v>
      </c>
      <c r="L63" s="7" t="s">
        <v>236</v>
      </c>
      <c r="M63" s="34" t="s">
        <v>944</v>
      </c>
      <c r="N63" s="34" t="s">
        <v>944</v>
      </c>
      <c r="O63" s="34" t="s">
        <v>944</v>
      </c>
      <c r="P63" s="201" t="s">
        <v>944</v>
      </c>
      <c r="Q63" s="201" t="s">
        <v>944</v>
      </c>
      <c r="R63" s="200" t="s">
        <v>944</v>
      </c>
      <c r="Y63" s="4"/>
      <c r="Z63" s="4"/>
      <c r="AA63" s="2"/>
      <c r="AB63" s="2"/>
      <c r="AC63" s="214"/>
      <c r="AD63" s="2"/>
      <c r="AE63" s="34"/>
      <c r="AF63" s="34"/>
      <c r="AG63" s="34"/>
      <c r="AH63" s="34"/>
    </row>
    <row r="64" spans="2:34" x14ac:dyDescent="0.35">
      <c r="B64" s="175">
        <v>2042</v>
      </c>
      <c r="C64" s="4" t="s">
        <v>1130</v>
      </c>
      <c r="D64" s="4"/>
      <c r="E64" s="7" t="s">
        <v>944</v>
      </c>
      <c r="F64" s="214" t="s">
        <v>946</v>
      </c>
      <c r="G64" t="s">
        <v>944</v>
      </c>
      <c r="H64" s="7" t="s">
        <v>236</v>
      </c>
      <c r="I64" s="34" t="s">
        <v>944</v>
      </c>
      <c r="J64" s="34" t="s">
        <v>944</v>
      </c>
      <c r="K64" s="34" t="s">
        <v>944</v>
      </c>
      <c r="L64" s="7" t="s">
        <v>236</v>
      </c>
      <c r="M64" s="34" t="s">
        <v>944</v>
      </c>
      <c r="N64" s="34" t="s">
        <v>944</v>
      </c>
      <c r="O64" s="34" t="s">
        <v>944</v>
      </c>
      <c r="P64" s="201" t="s">
        <v>944</v>
      </c>
      <c r="Q64" s="201" t="s">
        <v>944</v>
      </c>
      <c r="R64" s="200" t="s">
        <v>944</v>
      </c>
      <c r="Y64" s="4"/>
      <c r="Z64" s="4"/>
      <c r="AA64" s="2"/>
      <c r="AB64" s="2"/>
      <c r="AC64" s="214"/>
      <c r="AD64" s="2"/>
      <c r="AE64" s="34"/>
      <c r="AF64" s="34"/>
      <c r="AG64" s="34"/>
      <c r="AH64" s="34"/>
    </row>
    <row r="65" spans="2:34" x14ac:dyDescent="0.35">
      <c r="B65" s="175">
        <v>2043</v>
      </c>
      <c r="C65" s="4" t="s">
        <v>1130</v>
      </c>
      <c r="D65" s="4"/>
      <c r="E65" s="7" t="s">
        <v>944</v>
      </c>
      <c r="F65" s="214" t="s">
        <v>946</v>
      </c>
      <c r="G65" t="s">
        <v>944</v>
      </c>
      <c r="H65" s="7" t="s">
        <v>236</v>
      </c>
      <c r="I65" s="34" t="s">
        <v>944</v>
      </c>
      <c r="J65" s="34" t="s">
        <v>944</v>
      </c>
      <c r="K65" s="34" t="s">
        <v>944</v>
      </c>
      <c r="L65" s="7" t="s">
        <v>236</v>
      </c>
      <c r="M65" s="34" t="s">
        <v>944</v>
      </c>
      <c r="N65" s="34" t="s">
        <v>944</v>
      </c>
      <c r="O65" s="34" t="s">
        <v>944</v>
      </c>
      <c r="P65" s="201" t="s">
        <v>944</v>
      </c>
      <c r="Q65" s="201" t="s">
        <v>944</v>
      </c>
      <c r="R65" s="200" t="s">
        <v>944</v>
      </c>
      <c r="Y65" s="4"/>
      <c r="Z65" s="4"/>
      <c r="AA65" s="2"/>
      <c r="AB65" s="2"/>
      <c r="AC65" s="214"/>
      <c r="AD65" s="2"/>
      <c r="AE65" s="34"/>
      <c r="AF65" s="34"/>
      <c r="AG65" s="34"/>
      <c r="AH65" s="34"/>
    </row>
    <row r="66" spans="2:34" x14ac:dyDescent="0.35">
      <c r="B66" s="175">
        <v>2044</v>
      </c>
      <c r="C66" s="4" t="s">
        <v>1130</v>
      </c>
      <c r="D66" s="4"/>
      <c r="E66" s="7" t="s">
        <v>944</v>
      </c>
      <c r="F66" s="214" t="s">
        <v>946</v>
      </c>
      <c r="G66" t="s">
        <v>944</v>
      </c>
      <c r="H66" s="7" t="s">
        <v>236</v>
      </c>
      <c r="I66" s="34" t="s">
        <v>944</v>
      </c>
      <c r="J66" s="34" t="s">
        <v>944</v>
      </c>
      <c r="K66" s="34" t="s">
        <v>944</v>
      </c>
      <c r="L66" s="7" t="s">
        <v>236</v>
      </c>
      <c r="M66" s="34" t="s">
        <v>944</v>
      </c>
      <c r="N66" s="34" t="s">
        <v>944</v>
      </c>
      <c r="O66" s="34" t="s">
        <v>944</v>
      </c>
      <c r="P66" s="201" t="s">
        <v>944</v>
      </c>
      <c r="Q66" s="201" t="s">
        <v>944</v>
      </c>
      <c r="R66" s="200" t="s">
        <v>944</v>
      </c>
      <c r="Y66" s="4"/>
      <c r="Z66" s="4"/>
      <c r="AA66" s="2"/>
      <c r="AB66" s="2"/>
      <c r="AC66" s="214"/>
      <c r="AD66" s="2"/>
      <c r="AE66" s="34"/>
      <c r="AF66" s="34"/>
      <c r="AG66" s="34"/>
      <c r="AH66" s="34"/>
    </row>
    <row r="67" spans="2:34" ht="15" thickBot="1" x14ac:dyDescent="0.4">
      <c r="B67" s="382">
        <v>2045</v>
      </c>
      <c r="C67" s="154" t="s">
        <v>1130</v>
      </c>
      <c r="D67" s="154"/>
      <c r="E67" s="196" t="s">
        <v>944</v>
      </c>
      <c r="F67" s="216" t="s">
        <v>946</v>
      </c>
      <c r="G67" s="204" t="s">
        <v>944</v>
      </c>
      <c r="H67" s="196" t="s">
        <v>236</v>
      </c>
      <c r="I67" s="157" t="s">
        <v>944</v>
      </c>
      <c r="J67" s="157" t="s">
        <v>944</v>
      </c>
      <c r="K67" s="157" t="s">
        <v>944</v>
      </c>
      <c r="L67" s="196" t="s">
        <v>236</v>
      </c>
      <c r="M67" s="157" t="s">
        <v>944</v>
      </c>
      <c r="N67" s="157" t="s">
        <v>944</v>
      </c>
      <c r="O67" s="157" t="s">
        <v>944</v>
      </c>
      <c r="P67" s="157" t="s">
        <v>944</v>
      </c>
      <c r="Q67" s="157" t="s">
        <v>944</v>
      </c>
      <c r="R67" s="158" t="s">
        <v>944</v>
      </c>
      <c r="Y67" s="4"/>
      <c r="Z67" s="4"/>
      <c r="AA67" s="2"/>
      <c r="AB67" s="2"/>
      <c r="AC67" s="214"/>
      <c r="AD67" s="2"/>
      <c r="AE67" s="34"/>
      <c r="AF67" s="34"/>
      <c r="AG67" s="34"/>
      <c r="AH67" s="34"/>
    </row>
    <row r="68" spans="2:34" ht="15" thickTop="1" x14ac:dyDescent="0.35"/>
  </sheetData>
  <phoneticPr fontId="4" type="noConversion"/>
  <hyperlinks>
    <hyperlink ref="W2" r:id="rId1" xr:uid="{5501E885-0FE0-4D80-904B-90C7B0A683DD}"/>
    <hyperlink ref="E44" r:id="rId2" xr:uid="{13E58669-2F5F-4C61-88DB-53BBD44C4DBB}"/>
    <hyperlink ref="S46" r:id="rId3" xr:uid="{7D39ECB9-B5C7-47D6-AFB8-9F18FA65145B}"/>
    <hyperlink ref="G45" r:id="rId4" xr:uid="{10BA1E2E-CF0B-44FB-AA31-A462DC68DBF8}"/>
    <hyperlink ref="R44" r:id="rId5" xr:uid="{987E1E0E-48B0-4164-89A2-097333AEF4EC}"/>
    <hyperlink ref="C46" r:id="rId6" xr:uid="{3E42C49B-3D0C-4009-BDEA-EF348BAF9B25}"/>
    <hyperlink ref="G44" r:id="rId7" xr:uid="{1EB189AF-286B-4E73-A340-C87B1E3BC4DA}"/>
    <hyperlink ref="S42" r:id="rId8" xr:uid="{F6662922-DFBC-4D23-B66D-6DD6BCB4ADF1}"/>
    <hyperlink ref="E46" r:id="rId9" xr:uid="{5775626A-62E5-4062-ACF8-6EE452327B0F}"/>
  </hyperlinks>
  <pageMargins left="0.7" right="0.7" top="0.75" bottom="0.75" header="0.3" footer="0.3"/>
  <pageSetup paperSize="9" orientation="portrait" verticalDpi="0" r:id="rId10"/>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A5FAE-94BF-4A38-82B8-59C537A36532}">
  <dimension ref="A1:Y70"/>
  <sheetViews>
    <sheetView zoomScaleNormal="100" workbookViewId="0">
      <pane xSplit="2" ySplit="11" topLeftCell="C12" activePane="bottomRight" state="frozen"/>
      <selection pane="topRight" activeCell="C1" sqref="C1"/>
      <selection pane="bottomLeft" activeCell="A13" sqref="A13"/>
      <selection pane="bottomRight" activeCell="F3" sqref="A3:F3"/>
    </sheetView>
  </sheetViews>
  <sheetFormatPr defaultRowHeight="14.5" x14ac:dyDescent="0.35"/>
  <cols>
    <col min="1" max="1" width="5.7265625" customWidth="1"/>
    <col min="2" max="2" width="8" customWidth="1"/>
    <col min="3" max="3" width="9.90625" customWidth="1"/>
    <col min="4" max="4" width="11" customWidth="1"/>
    <col min="5" max="5" width="8.1796875" customWidth="1"/>
    <col min="6" max="6" width="10.08984375" customWidth="1"/>
    <col min="7" max="7" width="9.453125" customWidth="1"/>
    <col min="8" max="8" width="12.26953125" customWidth="1"/>
    <col min="9" max="9" width="13" customWidth="1"/>
    <col min="10" max="10" width="12.1796875" customWidth="1"/>
    <col min="11" max="11" width="10.1796875" customWidth="1"/>
    <col min="12" max="12" width="10.26953125" customWidth="1"/>
    <col min="13" max="13" width="8.81640625" customWidth="1"/>
    <col min="14" max="14" width="12" customWidth="1"/>
    <col min="15" max="16" width="10.26953125" customWidth="1"/>
    <col min="17" max="17" width="9.54296875" customWidth="1"/>
    <col min="18" max="18" width="7.81640625" customWidth="1"/>
    <col min="19" max="19" width="9" customWidth="1"/>
    <col min="20" max="20" width="5.08984375" customWidth="1"/>
    <col min="21" max="21" width="6.54296875" customWidth="1"/>
    <col min="22" max="22" width="22.453125" customWidth="1"/>
    <col min="23" max="23" width="7.08984375" customWidth="1"/>
    <col min="24" max="24" width="6.08984375" customWidth="1"/>
    <col min="25" max="25" width="4.90625" customWidth="1"/>
    <col min="27" max="27" width="9.6328125" customWidth="1"/>
    <col min="28" max="28" width="11.7265625" customWidth="1"/>
    <col min="29" max="29" width="8.26953125" customWidth="1"/>
    <col min="30" max="30" width="10.26953125" customWidth="1"/>
    <col min="32" max="32" width="12.36328125" customWidth="1"/>
    <col min="33" max="33" width="12" customWidth="1"/>
    <col min="34" max="34" width="10.08984375" customWidth="1"/>
    <col min="35" max="35" width="10.36328125" customWidth="1"/>
    <col min="37" max="37" width="11.26953125" customWidth="1"/>
    <col min="38" max="38" width="10.08984375" customWidth="1"/>
    <col min="39" max="39" width="10.7265625" customWidth="1"/>
    <col min="40" max="40" width="9.7265625" customWidth="1"/>
  </cols>
  <sheetData>
    <row r="1" spans="1:25" ht="28.5" x14ac:dyDescent="0.65">
      <c r="A1" s="9" t="str">
        <f>AI_Models!A1</f>
        <v>New AI chips by Nvidia will cause Russia to lose war in Ukraine #72/99</v>
      </c>
    </row>
    <row r="2" spans="1:25" ht="15.5" x14ac:dyDescent="0.35">
      <c r="A2" s="10" t="str">
        <f>KeyChips!A2</f>
        <v>Proprietary. © H. Mathiesen. This material can be used by others free of charge provided that the author H. Mathiesen is attributed and a clickable link is made visible to the location of used material on www.hmexperience.dk</v>
      </c>
      <c r="W2">
        <v>24</v>
      </c>
      <c r="X2" t="s">
        <v>403</v>
      </c>
    </row>
    <row r="3" spans="1:25" ht="15.5" x14ac:dyDescent="0.35">
      <c r="A3" s="615" t="str">
        <f>AI_Models!A3</f>
        <v>Links to all sources are available in sources table below</v>
      </c>
      <c r="B3" s="616"/>
      <c r="C3" s="616"/>
      <c r="D3" s="616"/>
      <c r="E3" s="616"/>
      <c r="F3" s="616"/>
      <c r="G3" s="76">
        <f>Calc_Moores_Law!G8</f>
        <v>4.6602372183207397E-2</v>
      </c>
      <c r="H3" s="131">
        <f>AI_Supercomputers!T3</f>
        <v>2.0129870129870131</v>
      </c>
      <c r="I3" t="s">
        <v>200</v>
      </c>
      <c r="Q3">
        <v>0.05</v>
      </c>
      <c r="S3" t="s">
        <v>402</v>
      </c>
      <c r="W3">
        <v>320</v>
      </c>
      <c r="X3" t="s">
        <v>469</v>
      </c>
    </row>
    <row r="4" spans="1:25" ht="24" thickBot="1" x14ac:dyDescent="0.6">
      <c r="B4" s="30" t="s">
        <v>1029</v>
      </c>
      <c r="C4" s="31"/>
      <c r="D4" s="31"/>
      <c r="E4" s="31"/>
      <c r="F4" s="31"/>
      <c r="G4" s="31"/>
      <c r="H4" s="31"/>
      <c r="I4" s="31"/>
      <c r="J4" s="31"/>
      <c r="K4" s="31"/>
      <c r="L4" s="31"/>
      <c r="M4" s="31"/>
      <c r="N4" s="31"/>
      <c r="O4" s="31"/>
      <c r="P4" s="31"/>
      <c r="Q4" s="31"/>
      <c r="R4" s="31"/>
      <c r="V4" s="2">
        <v>1000</v>
      </c>
      <c r="W4" t="s">
        <v>408</v>
      </c>
      <c r="X4" t="s">
        <v>407</v>
      </c>
    </row>
    <row r="5" spans="1:25" ht="15" thickTop="1" x14ac:dyDescent="0.35">
      <c r="B5" s="205" t="s">
        <v>7</v>
      </c>
      <c r="C5" s="197" t="s">
        <v>468</v>
      </c>
      <c r="D5" s="84" t="str">
        <f>AI_Chip_Prod_TFLOPS_GB_RAM!E5</f>
        <v># of new AI</v>
      </c>
      <c r="E5" s="197" t="s">
        <v>963</v>
      </c>
      <c r="F5" s="197" t="s">
        <v>466</v>
      </c>
      <c r="G5" s="197" t="s">
        <v>961</v>
      </c>
      <c r="H5" s="197" t="s">
        <v>1020</v>
      </c>
      <c r="I5" s="197" t="s">
        <v>968</v>
      </c>
      <c r="J5" s="197" t="s">
        <v>972</v>
      </c>
      <c r="K5" s="197" t="s">
        <v>1022</v>
      </c>
      <c r="L5" s="197" t="s">
        <v>404</v>
      </c>
      <c r="M5" s="197" t="s">
        <v>593</v>
      </c>
      <c r="N5" s="197" t="s">
        <v>595</v>
      </c>
      <c r="O5" s="197" t="s">
        <v>404</v>
      </c>
      <c r="P5" s="197" t="s">
        <v>474</v>
      </c>
      <c r="Q5" s="197" t="s">
        <v>476</v>
      </c>
      <c r="R5" s="197" t="s">
        <v>477</v>
      </c>
      <c r="S5" s="351" t="s">
        <v>526</v>
      </c>
      <c r="V5" s="2">
        <v>1000000</v>
      </c>
      <c r="W5" t="s">
        <v>331</v>
      </c>
      <c r="X5" t="s">
        <v>385</v>
      </c>
    </row>
    <row r="6" spans="1:25" x14ac:dyDescent="0.35">
      <c r="B6" s="206"/>
      <c r="C6" s="207" t="s">
        <v>395</v>
      </c>
      <c r="D6" s="135" t="str">
        <f>AI_Chip_Prod_TFLOPS_GB_RAM!E6</f>
        <v>chipsets sold</v>
      </c>
      <c r="E6" s="13" t="s">
        <v>962</v>
      </c>
      <c r="F6" s="207" t="s">
        <v>467</v>
      </c>
      <c r="G6" s="207" t="s">
        <v>1023</v>
      </c>
      <c r="H6" s="208" t="s">
        <v>1021</v>
      </c>
      <c r="I6" s="208" t="s">
        <v>969</v>
      </c>
      <c r="J6" s="208" t="s">
        <v>401</v>
      </c>
      <c r="K6" s="209" t="s">
        <v>1014</v>
      </c>
      <c r="L6" s="208" t="s">
        <v>405</v>
      </c>
      <c r="M6" s="208" t="s">
        <v>594</v>
      </c>
      <c r="N6" s="208" t="s">
        <v>596</v>
      </c>
      <c r="O6" s="208" t="s">
        <v>472</v>
      </c>
      <c r="P6" s="208" t="s">
        <v>475</v>
      </c>
      <c r="Q6" s="208" t="s">
        <v>401</v>
      </c>
      <c r="R6" s="208" t="s">
        <v>395</v>
      </c>
      <c r="S6" s="403" t="s">
        <v>550</v>
      </c>
      <c r="V6" s="2">
        <v>1000000000</v>
      </c>
      <c r="W6" t="s">
        <v>242</v>
      </c>
      <c r="X6" t="s">
        <v>241</v>
      </c>
    </row>
    <row r="7" spans="1:25" x14ac:dyDescent="0.35">
      <c r="B7" s="206"/>
      <c r="C7" s="207" t="s">
        <v>584</v>
      </c>
      <c r="D7" s="135" t="str">
        <f>AI_Chip_Prod_TFLOPS_GB_RAM!E7</f>
        <v>globally</v>
      </c>
      <c r="E7" s="207" t="s">
        <v>949</v>
      </c>
      <c r="F7" s="207" t="s">
        <v>465</v>
      </c>
      <c r="G7" s="208" t="s">
        <v>949</v>
      </c>
      <c r="H7" s="209" t="s">
        <v>400</v>
      </c>
      <c r="I7" s="209" t="s">
        <v>970</v>
      </c>
      <c r="J7" s="209" t="s">
        <v>971</v>
      </c>
      <c r="K7" s="208" t="s">
        <v>470</v>
      </c>
      <c r="L7" s="209" t="s">
        <v>410</v>
      </c>
      <c r="M7" s="209" t="s">
        <v>401</v>
      </c>
      <c r="N7" s="209" t="s">
        <v>597</v>
      </c>
      <c r="O7" s="209" t="s">
        <v>473</v>
      </c>
      <c r="P7" s="209" t="s">
        <v>412</v>
      </c>
      <c r="Q7" s="209" t="s">
        <v>465</v>
      </c>
      <c r="R7" s="209" t="s">
        <v>479</v>
      </c>
      <c r="S7" s="404" t="s">
        <v>101</v>
      </c>
      <c r="V7" s="2">
        <v>1000000000000</v>
      </c>
      <c r="W7" t="s">
        <v>130</v>
      </c>
      <c r="X7" t="s">
        <v>127</v>
      </c>
    </row>
    <row r="8" spans="1:25" ht="15" thickBot="1" x14ac:dyDescent="0.4">
      <c r="B8" s="210"/>
      <c r="C8" s="453" t="s">
        <v>1031</v>
      </c>
      <c r="D8" s="453"/>
      <c r="E8" s="453"/>
      <c r="F8" s="454"/>
      <c r="G8" s="453" t="s">
        <v>1016</v>
      </c>
      <c r="H8" s="455" t="s">
        <v>585</v>
      </c>
      <c r="I8" s="455" t="s">
        <v>974</v>
      </c>
      <c r="J8" s="455" t="s">
        <v>974</v>
      </c>
      <c r="K8" s="468" t="s">
        <v>405</v>
      </c>
      <c r="L8" s="453"/>
      <c r="M8" s="456"/>
      <c r="N8" s="456"/>
      <c r="O8" s="453"/>
      <c r="P8" s="456" t="s">
        <v>401</v>
      </c>
      <c r="Q8" s="457"/>
      <c r="R8" s="457"/>
      <c r="S8" s="458"/>
      <c r="T8" s="8" t="s">
        <v>32</v>
      </c>
      <c r="V8" s="2">
        <v>1000000000000000</v>
      </c>
      <c r="W8" t="s">
        <v>150</v>
      </c>
      <c r="X8" t="s">
        <v>149</v>
      </c>
    </row>
    <row r="9" spans="1:25" ht="15" thickTop="1" x14ac:dyDescent="0.35">
      <c r="B9" s="433" t="s">
        <v>1008</v>
      </c>
      <c r="C9" s="434"/>
      <c r="D9" s="491">
        <f>((D19/D13)^(1/($B19-$B13)))-1</f>
        <v>0.56600883805725521</v>
      </c>
      <c r="E9" s="491">
        <f>((E19/E13)^(1/($B19-$B13)))-1</f>
        <v>-4.0735172960455479E-3</v>
      </c>
      <c r="F9" s="491">
        <f t="shared" ref="F9:S9" si="0">((F19/F13)^(1/($B19-$B13)))-1</f>
        <v>0.55962967396966867</v>
      </c>
      <c r="G9" s="491">
        <f t="shared" si="0"/>
        <v>0.29091831925428391</v>
      </c>
      <c r="H9" s="491">
        <f t="shared" si="0"/>
        <v>1.0215894971622261</v>
      </c>
      <c r="I9" s="491">
        <f t="shared" si="0"/>
        <v>1.4110636794991476</v>
      </c>
      <c r="J9" s="491">
        <f t="shared" si="0"/>
        <v>1.4110636794991476</v>
      </c>
      <c r="K9" s="499" t="s">
        <v>45</v>
      </c>
      <c r="L9" s="491">
        <f t="shared" si="0"/>
        <v>2.6349285083649976E-2</v>
      </c>
      <c r="M9" s="491">
        <f t="shared" si="0"/>
        <v>-3.6507516001003881E-2</v>
      </c>
      <c r="N9" s="491">
        <f t="shared" si="0"/>
        <v>-1.1120177864160308E-2</v>
      </c>
      <c r="O9" s="491">
        <f t="shared" si="0"/>
        <v>2.0444608040587342E-2</v>
      </c>
      <c r="P9" s="499" t="s">
        <v>45</v>
      </c>
      <c r="Q9" s="491">
        <f t="shared" si="0"/>
        <v>1.3230417336403932</v>
      </c>
      <c r="R9" s="499" t="s">
        <v>45</v>
      </c>
      <c r="S9" s="493">
        <f t="shared" si="0"/>
        <v>3.2641884693381806E-2</v>
      </c>
      <c r="V9" s="2">
        <v>1E+18</v>
      </c>
      <c r="W9" t="s">
        <v>131</v>
      </c>
      <c r="X9" t="s">
        <v>128</v>
      </c>
    </row>
    <row r="10" spans="1:25" x14ac:dyDescent="0.35">
      <c r="B10" s="426" t="s">
        <v>1009</v>
      </c>
      <c r="C10" s="442"/>
      <c r="D10" s="421">
        <f>((D35/D19)^(1/($B35-$B19)))-1</f>
        <v>0.23521752533102802</v>
      </c>
      <c r="E10" s="421">
        <f>((E35/E19)^(1/($B35-$B19)))-1</f>
        <v>-0.11351690916505208</v>
      </c>
      <c r="F10" s="421">
        <f t="shared" ref="F10:S10" si="1">((F35/F19)^(1/($B35-$B19)))-1</f>
        <v>9.4999449708945249E-2</v>
      </c>
      <c r="G10" s="421">
        <f t="shared" si="1"/>
        <v>4.6602372183207397E-2</v>
      </c>
      <c r="H10" s="421">
        <f t="shared" si="1"/>
        <v>0.2927815921737249</v>
      </c>
      <c r="I10" s="421">
        <f t="shared" si="1"/>
        <v>0.31495849976972745</v>
      </c>
      <c r="J10" s="421">
        <f t="shared" si="1"/>
        <v>0.31495849976972745</v>
      </c>
      <c r="K10" s="498" t="s">
        <v>45</v>
      </c>
      <c r="L10" s="421">
        <f t="shared" si="1"/>
        <v>0.1149301565747205</v>
      </c>
      <c r="M10" s="421">
        <f t="shared" si="1"/>
        <v>-5.9460684465159286E-2</v>
      </c>
      <c r="N10" s="421">
        <f t="shared" si="1"/>
        <v>4.8635646333940352E-2</v>
      </c>
      <c r="O10" s="421">
        <f t="shared" si="1"/>
        <v>7.2655547597662018E-2</v>
      </c>
      <c r="P10" s="498" t="s">
        <v>45</v>
      </c>
      <c r="Q10" s="421">
        <f t="shared" si="1"/>
        <v>0.23677016733014056</v>
      </c>
      <c r="R10" s="498" t="s">
        <v>45</v>
      </c>
      <c r="S10" s="495">
        <f t="shared" si="1"/>
        <v>8.6694408701111225E-2</v>
      </c>
      <c r="X10" s="14" t="s">
        <v>129</v>
      </c>
      <c r="Y10" t="s">
        <v>45</v>
      </c>
    </row>
    <row r="11" spans="1:25" ht="15" thickBot="1" x14ac:dyDescent="0.4">
      <c r="B11" s="73" t="s">
        <v>1024</v>
      </c>
      <c r="C11" s="87"/>
      <c r="D11" s="95">
        <f>((D35/D13)^(1/($B35-$B13)))-1</f>
        <v>0.31779604143784179</v>
      </c>
      <c r="E11" s="95">
        <f>((E35/E13)^(1/($B35-$B13)))-1</f>
        <v>-8.4920805902312657E-2</v>
      </c>
      <c r="F11" s="95">
        <f t="shared" ref="F11:S11" si="2">((F35/F13)^(1/($B35-$B13)))-1</f>
        <v>0.20588773958406281</v>
      </c>
      <c r="G11" s="95">
        <f t="shared" si="2"/>
        <v>0.10823489088237515</v>
      </c>
      <c r="H11" s="95">
        <f t="shared" si="2"/>
        <v>0.4604275521880925</v>
      </c>
      <c r="I11" s="95">
        <f t="shared" si="2"/>
        <v>0.55138725616275996</v>
      </c>
      <c r="J11" s="95">
        <f t="shared" si="2"/>
        <v>0.55138725616275996</v>
      </c>
      <c r="K11" s="366" t="s">
        <v>45</v>
      </c>
      <c r="L11" s="95">
        <f t="shared" si="2"/>
        <v>9.0040015036750409E-2</v>
      </c>
      <c r="M11" s="95">
        <f t="shared" si="2"/>
        <v>-5.325551419680663E-2</v>
      </c>
      <c r="N11" s="95">
        <f t="shared" si="2"/>
        <v>3.1989373540873389E-2</v>
      </c>
      <c r="O11" s="95">
        <f t="shared" si="2"/>
        <v>5.8156860330183857E-2</v>
      </c>
      <c r="P11" s="366" t="s">
        <v>45</v>
      </c>
      <c r="Q11" s="95">
        <f t="shared" si="2"/>
        <v>0.4687673301174391</v>
      </c>
      <c r="R11" s="366" t="s">
        <v>45</v>
      </c>
      <c r="S11" s="98">
        <f t="shared" si="2"/>
        <v>7.1678269243691473E-2</v>
      </c>
      <c r="X11" s="14"/>
    </row>
    <row r="12" spans="1:25" ht="15" thickTop="1" x14ac:dyDescent="0.35">
      <c r="B12" s="23">
        <v>2022</v>
      </c>
      <c r="C12" s="380" t="s">
        <v>45</v>
      </c>
      <c r="D12" s="376" t="s">
        <v>45</v>
      </c>
      <c r="E12" s="376" t="s">
        <v>45</v>
      </c>
      <c r="F12" s="383">
        <v>15</v>
      </c>
      <c r="G12" s="384" t="s">
        <v>45</v>
      </c>
      <c r="H12" s="385" t="s">
        <v>45</v>
      </c>
      <c r="I12" s="385" t="s">
        <v>45</v>
      </c>
      <c r="J12" s="384" t="s">
        <v>45</v>
      </c>
      <c r="K12" s="402" t="s">
        <v>45</v>
      </c>
      <c r="L12" s="376">
        <f>K41</f>
        <v>28500</v>
      </c>
      <c r="M12" s="386">
        <v>0.05</v>
      </c>
      <c r="N12" s="383">
        <f t="shared" ref="N12:N35" si="3">((L12*V$6)*M12)/V$6</f>
        <v>1425</v>
      </c>
      <c r="O12" s="384" t="s">
        <v>45</v>
      </c>
      <c r="P12" s="384" t="s">
        <v>45</v>
      </c>
      <c r="Q12" s="387" t="s">
        <v>45</v>
      </c>
      <c r="R12" s="387" t="s">
        <v>45</v>
      </c>
      <c r="S12" s="405">
        <f>R41</f>
        <v>100560</v>
      </c>
      <c r="U12" s="140"/>
    </row>
    <row r="13" spans="1:25" x14ac:dyDescent="0.35">
      <c r="B13" s="23">
        <v>2023</v>
      </c>
      <c r="C13" s="375" t="str">
        <f>AI_Chip_Prod_TFLOPS_GB_RAM!C12</f>
        <v>-</v>
      </c>
      <c r="D13" s="372">
        <v>550000</v>
      </c>
      <c r="E13" s="373">
        <f>AI_Chip_Prod_TFLOPS_GB_RAM!F12</f>
        <v>56363.63636363636</v>
      </c>
      <c r="F13" s="373">
        <v>31</v>
      </c>
      <c r="G13" s="372">
        <f>KeyChips!R12</f>
        <v>700</v>
      </c>
      <c r="H13" s="372">
        <f t="shared" ref="H13:H35" si="4">(D13*G13*H$3)/V$5</f>
        <v>775</v>
      </c>
      <c r="I13" s="372">
        <f>SUM(H12:H13)</f>
        <v>775</v>
      </c>
      <c r="J13" s="372">
        <f t="shared" ref="J13:J35" si="5">(I13*W$2*W$3)/V$5</f>
        <v>5.952</v>
      </c>
      <c r="K13" s="397">
        <f>K42</f>
        <v>2.5620696314338609E-2</v>
      </c>
      <c r="L13" s="372">
        <f>L12*(1+K13)</f>
        <v>29230.189844958652</v>
      </c>
      <c r="M13" s="388">
        <f>M12</f>
        <v>0.05</v>
      </c>
      <c r="N13" s="373">
        <f t="shared" si="3"/>
        <v>1461.5094922479327</v>
      </c>
      <c r="O13" s="372">
        <f>L13-J13</f>
        <v>29224.23784495865</v>
      </c>
      <c r="P13" s="371">
        <f>J13/L13</f>
        <v>2.0362508870350513E-4</v>
      </c>
      <c r="Q13" s="389">
        <f t="shared" ref="Q13:Q35" si="6">((J13*V$6)*M13)/V$6</f>
        <v>0.29759999999999998</v>
      </c>
      <c r="R13" s="397">
        <f>R42</f>
        <v>3.2641884693381806E-2</v>
      </c>
      <c r="S13" s="405">
        <f>S12*(1+R13)</f>
        <v>103842.46792476648</v>
      </c>
    </row>
    <row r="14" spans="1:25" x14ac:dyDescent="0.35">
      <c r="B14" s="23">
        <v>2024</v>
      </c>
      <c r="C14" s="377">
        <f>AI_Chip_Prod_TFLOPS_GB_RAM!C13</f>
        <v>2.6363636363636362</v>
      </c>
      <c r="D14" s="372">
        <f>D13*(1+C14)</f>
        <v>2000000</v>
      </c>
      <c r="E14" s="373">
        <f>AI_Chip_Prod_TFLOPS_GB_RAM!F13</f>
        <v>33000</v>
      </c>
      <c r="F14" s="373">
        <f t="shared" ref="F14:F35" si="7">(D14*E14)/V$6</f>
        <v>66</v>
      </c>
      <c r="G14" s="372">
        <f>KeyChips!R12</f>
        <v>700</v>
      </c>
      <c r="H14" s="372">
        <f t="shared" si="4"/>
        <v>2818.1818181818185</v>
      </c>
      <c r="I14" s="372">
        <f>SUM(H12:H14)</f>
        <v>3593.1818181818185</v>
      </c>
      <c r="J14" s="372">
        <f t="shared" si="5"/>
        <v>27.595636363636366</v>
      </c>
      <c r="K14" s="397">
        <f>K13</f>
        <v>2.5620696314338609E-2</v>
      </c>
      <c r="L14" s="372">
        <f t="shared" ref="L14:L35" si="8">L13*(1+K14)</f>
        <v>29979.087662186801</v>
      </c>
      <c r="M14" s="388">
        <f t="shared" ref="M14:M35" si="9">M13</f>
        <v>0.05</v>
      </c>
      <c r="N14" s="373">
        <f t="shared" si="3"/>
        <v>1498.9543831093401</v>
      </c>
      <c r="O14" s="372">
        <f t="shared" ref="O14:O35" si="10">L14-J14</f>
        <v>29951.492025823165</v>
      </c>
      <c r="P14" s="371">
        <f t="shared" ref="P14:P35" si="11">J14/L14</f>
        <v>9.2049620303966996E-4</v>
      </c>
      <c r="Q14" s="389">
        <f t="shared" si="6"/>
        <v>1.3797818181818184</v>
      </c>
      <c r="R14" s="397">
        <f>R13</f>
        <v>3.2641884693381806E-2</v>
      </c>
      <c r="S14" s="405">
        <f>S13*(1+R14)</f>
        <v>107232.0817890429</v>
      </c>
    </row>
    <row r="15" spans="1:25" x14ac:dyDescent="0.35">
      <c r="B15" s="23">
        <v>2025</v>
      </c>
      <c r="C15" s="377">
        <f>AI_Chip_Prod_TFLOPS_GB_RAM!C14</f>
        <v>0</v>
      </c>
      <c r="D15" s="372">
        <f t="shared" ref="D15:D35" si="12">D14*(1+C15)</f>
        <v>2000000</v>
      </c>
      <c r="E15" s="373">
        <f>AI_Chip_Prod_TFLOPS_GB_RAM!F14</f>
        <v>65000</v>
      </c>
      <c r="F15" s="373">
        <f t="shared" si="7"/>
        <v>130</v>
      </c>
      <c r="G15" s="372">
        <f>KeyChips!R16</f>
        <v>2700</v>
      </c>
      <c r="H15" s="372">
        <f t="shared" si="4"/>
        <v>10870.129870129871</v>
      </c>
      <c r="I15" s="372">
        <f>SUM(H12:H15)</f>
        <v>14463.311688311689</v>
      </c>
      <c r="J15" s="372">
        <f t="shared" si="5"/>
        <v>111.07823376623377</v>
      </c>
      <c r="K15" s="397">
        <f>K14</f>
        <v>2.5620696314338609E-2</v>
      </c>
      <c r="L15" s="372">
        <f t="shared" si="8"/>
        <v>30747.172762960625</v>
      </c>
      <c r="M15" s="388">
        <v>4.4999999999999998E-2</v>
      </c>
      <c r="N15" s="373">
        <f t="shared" si="3"/>
        <v>1383.6227743332281</v>
      </c>
      <c r="O15" s="372">
        <f t="shared" si="10"/>
        <v>30636.09452919439</v>
      </c>
      <c r="P15" s="371">
        <f t="shared" si="11"/>
        <v>3.6126324401456324E-3</v>
      </c>
      <c r="Q15" s="373">
        <f t="shared" si="6"/>
        <v>4.9985205194805191</v>
      </c>
      <c r="R15" s="397">
        <f t="shared" ref="R15:R35" si="13">R14</f>
        <v>3.2641884693381806E-2</v>
      </c>
      <c r="S15" s="405">
        <f t="shared" ref="S15:S35" si="14">S14*(1+R15)</f>
        <v>110732.33903823212</v>
      </c>
    </row>
    <row r="16" spans="1:25" x14ac:dyDescent="0.35">
      <c r="B16" s="175">
        <v>2026</v>
      </c>
      <c r="C16" s="4">
        <f>AI_Chip_Prod_TFLOPS_GB_RAM!C15</f>
        <v>0.6</v>
      </c>
      <c r="D16" s="2">
        <f t="shared" si="12"/>
        <v>3200000</v>
      </c>
      <c r="E16" s="214">
        <f>AI_Chip_Prod_TFLOPS_GB_RAM!F15</f>
        <v>60000</v>
      </c>
      <c r="F16" s="213">
        <f t="shared" si="7"/>
        <v>192</v>
      </c>
      <c r="G16" s="2">
        <f t="shared" ref="G16:G35" si="15">G15*(1+G$3)</f>
        <v>2825.8264048946598</v>
      </c>
      <c r="H16" s="2">
        <f t="shared" si="4"/>
        <v>18202.725932827943</v>
      </c>
      <c r="I16" s="2">
        <f>SUM(H12:H16)</f>
        <v>32666.037621139632</v>
      </c>
      <c r="J16" s="2">
        <f t="shared" si="5"/>
        <v>250.87516893035237</v>
      </c>
      <c r="K16" s="59">
        <f>K15</f>
        <v>2.5620696314338609E-2</v>
      </c>
      <c r="L16" s="2">
        <f>L15*(1+K16)</f>
        <v>31534.936738844943</v>
      </c>
      <c r="M16" s="218">
        <f>M15</f>
        <v>4.4999999999999998E-2</v>
      </c>
      <c r="N16" s="213">
        <f t="shared" si="3"/>
        <v>1419.0721532480222</v>
      </c>
      <c r="O16" s="2">
        <f t="shared" si="10"/>
        <v>31284.061569914589</v>
      </c>
      <c r="P16" s="76">
        <f t="shared" si="11"/>
        <v>7.9554676455501714E-3</v>
      </c>
      <c r="Q16" s="213">
        <f t="shared" si="6"/>
        <v>11.289382601865857</v>
      </c>
      <c r="R16" s="59">
        <f t="shared" si="13"/>
        <v>3.2641884693381806E-2</v>
      </c>
      <c r="S16" s="406">
        <f>S15*(1+R16)</f>
        <v>114346.85128094656</v>
      </c>
      <c r="U16" s="2"/>
    </row>
    <row r="17" spans="2:19" x14ac:dyDescent="0.35">
      <c r="B17" s="175">
        <v>2027</v>
      </c>
      <c r="C17" s="4">
        <f>AI_Chip_Prod_TFLOPS_GB_RAM!C16</f>
        <v>0.5</v>
      </c>
      <c r="D17" s="2">
        <f t="shared" si="12"/>
        <v>4800000</v>
      </c>
      <c r="E17" s="214">
        <f>AI_Chip_Prod_TFLOPS_GB_RAM!F16</f>
        <v>60000</v>
      </c>
      <c r="F17" s="213">
        <f t="shared" si="7"/>
        <v>288</v>
      </c>
      <c r="G17" s="2">
        <f t="shared" si="15"/>
        <v>2957.5166187406958</v>
      </c>
      <c r="H17" s="2">
        <f t="shared" si="4"/>
        <v>28576.524212247765</v>
      </c>
      <c r="I17" s="2">
        <f t="shared" ref="I17:I34" si="16">SUM(H12:H17)</f>
        <v>61242.561833387401</v>
      </c>
      <c r="J17" s="2">
        <f t="shared" si="5"/>
        <v>470.3428748804152</v>
      </c>
      <c r="K17" s="59">
        <f>K16</f>
        <v>2.5620696314338609E-2</v>
      </c>
      <c r="L17" s="2">
        <f t="shared" si="8"/>
        <v>32342.883776322768</v>
      </c>
      <c r="M17" s="218">
        <f>M16</f>
        <v>4.4999999999999998E-2</v>
      </c>
      <c r="N17" s="213">
        <f t="shared" si="3"/>
        <v>1455.4297699345243</v>
      </c>
      <c r="O17" s="2">
        <f t="shared" si="10"/>
        <v>31872.540901442353</v>
      </c>
      <c r="P17" s="59">
        <f t="shared" si="11"/>
        <v>1.4542391400012969E-2</v>
      </c>
      <c r="Q17" s="213">
        <f t="shared" si="6"/>
        <v>21.165429369618682</v>
      </c>
      <c r="R17" s="59">
        <f t="shared" si="13"/>
        <v>3.2641884693381806E-2</v>
      </c>
      <c r="S17" s="406">
        <f t="shared" si="14"/>
        <v>118079.34801551049</v>
      </c>
    </row>
    <row r="18" spans="2:19" x14ac:dyDescent="0.35">
      <c r="B18" s="175">
        <v>2028</v>
      </c>
      <c r="C18" s="4">
        <f>AI_Chip_Prod_TFLOPS_GB_RAM!C17</f>
        <v>0.3</v>
      </c>
      <c r="D18" s="2">
        <f t="shared" si="12"/>
        <v>6240000</v>
      </c>
      <c r="E18" s="214">
        <f>AI_Chip_Prod_TFLOPS_GB_RAM!F17</f>
        <v>55000</v>
      </c>
      <c r="F18" s="213">
        <f t="shared" si="7"/>
        <v>343.2</v>
      </c>
      <c r="G18" s="2">
        <f t="shared" si="15"/>
        <v>3095.3439089452709</v>
      </c>
      <c r="H18" s="2">
        <f t="shared" si="4"/>
        <v>38880.735438076183</v>
      </c>
      <c r="I18" s="2">
        <f t="shared" si="16"/>
        <v>100123.29727146358</v>
      </c>
      <c r="J18" s="2">
        <f t="shared" si="5"/>
        <v>768.94692304484033</v>
      </c>
      <c r="K18" s="59">
        <f>K17</f>
        <v>2.5620696314338609E-2</v>
      </c>
      <c r="L18" s="2">
        <f t="shared" si="8"/>
        <v>33171.530979485884</v>
      </c>
      <c r="M18" s="218">
        <v>0.04</v>
      </c>
      <c r="N18" s="213">
        <f t="shared" si="3"/>
        <v>1326.8612391794354</v>
      </c>
      <c r="O18" s="2">
        <f t="shared" si="10"/>
        <v>32402.584056441043</v>
      </c>
      <c r="P18" s="59">
        <f t="shared" si="11"/>
        <v>2.3180929560362367E-2</v>
      </c>
      <c r="Q18" s="213">
        <f t="shared" si="6"/>
        <v>30.757876921793613</v>
      </c>
      <c r="R18" s="59">
        <f t="shared" si="13"/>
        <v>3.2641884693381806E-2</v>
      </c>
      <c r="S18" s="406">
        <f t="shared" si="14"/>
        <v>121933.68047810248</v>
      </c>
    </row>
    <row r="19" spans="2:19" x14ac:dyDescent="0.35">
      <c r="B19" s="381">
        <v>2029</v>
      </c>
      <c r="C19" s="143">
        <f>AI_Chip_Prod_TFLOPS_GB_RAM!C18</f>
        <v>0.3</v>
      </c>
      <c r="D19" s="128">
        <f t="shared" si="12"/>
        <v>8112000</v>
      </c>
      <c r="E19" s="215">
        <f>AI_Chip_Prod_TFLOPS_GB_RAM!F18</f>
        <v>55000</v>
      </c>
      <c r="F19" s="215">
        <f t="shared" si="7"/>
        <v>446.16</v>
      </c>
      <c r="G19" s="128">
        <f t="shared" si="15"/>
        <v>3239.5942778249623</v>
      </c>
      <c r="H19" s="128">
        <f t="shared" si="4"/>
        <v>52900.470924233705</v>
      </c>
      <c r="I19" s="128">
        <f t="shared" si="16"/>
        <v>152248.76819569728</v>
      </c>
      <c r="J19" s="128">
        <f t="shared" si="5"/>
        <v>1169.2705397429552</v>
      </c>
      <c r="K19" s="189">
        <v>0.03</v>
      </c>
      <c r="L19" s="128">
        <f t="shared" si="8"/>
        <v>34166.67690887046</v>
      </c>
      <c r="M19" s="219">
        <f t="shared" si="9"/>
        <v>0.04</v>
      </c>
      <c r="N19" s="215">
        <f t="shared" si="3"/>
        <v>1366.6670763548184</v>
      </c>
      <c r="O19" s="128">
        <f t="shared" si="10"/>
        <v>32997.406369127508</v>
      </c>
      <c r="P19" s="189">
        <f t="shared" si="11"/>
        <v>3.4222542123766957E-2</v>
      </c>
      <c r="Q19" s="215">
        <f t="shared" si="6"/>
        <v>46.770821589718203</v>
      </c>
      <c r="R19" s="189">
        <f t="shared" si="13"/>
        <v>3.2641884693381806E-2</v>
      </c>
      <c r="S19" s="407">
        <f t="shared" si="14"/>
        <v>125913.82561650836</v>
      </c>
    </row>
    <row r="20" spans="2:19" x14ac:dyDescent="0.35">
      <c r="B20" s="175">
        <v>2030</v>
      </c>
      <c r="C20" s="4">
        <f>AI_Chip_Prod_TFLOPS_GB_RAM!C19</f>
        <v>0.25</v>
      </c>
      <c r="D20" s="2">
        <f t="shared" si="12"/>
        <v>10140000</v>
      </c>
      <c r="E20" s="214">
        <f>AI_Chip_Prod_TFLOPS_GB_RAM!F19</f>
        <v>50000</v>
      </c>
      <c r="F20" s="213">
        <f t="shared" si="7"/>
        <v>507</v>
      </c>
      <c r="G20" s="2">
        <f t="shared" si="15"/>
        <v>3390.5670560827502</v>
      </c>
      <c r="H20" s="2">
        <f t="shared" si="4"/>
        <v>69207.197948639718</v>
      </c>
      <c r="I20" s="2">
        <f t="shared" si="16"/>
        <v>218637.78432615518</v>
      </c>
      <c r="J20" s="2">
        <f t="shared" si="5"/>
        <v>1679.1381836248718</v>
      </c>
      <c r="K20" s="59">
        <v>0.04</v>
      </c>
      <c r="L20" s="2">
        <f t="shared" si="8"/>
        <v>35533.343985225278</v>
      </c>
      <c r="M20" s="218">
        <f t="shared" si="9"/>
        <v>0.04</v>
      </c>
      <c r="N20" s="213">
        <f t="shared" si="3"/>
        <v>1421.3337594090112</v>
      </c>
      <c r="O20" s="2">
        <f t="shared" si="10"/>
        <v>33854.205801600408</v>
      </c>
      <c r="P20" s="59">
        <f t="shared" si="11"/>
        <v>4.725528180863179E-2</v>
      </c>
      <c r="Q20" s="213">
        <f t="shared" si="6"/>
        <v>67.165527344994871</v>
      </c>
      <c r="R20" s="59">
        <v>0.04</v>
      </c>
      <c r="S20" s="406">
        <f t="shared" si="14"/>
        <v>130950.3786411687</v>
      </c>
    </row>
    <row r="21" spans="2:19" x14ac:dyDescent="0.35">
      <c r="B21" s="175">
        <v>2031</v>
      </c>
      <c r="C21" s="4">
        <f>AI_Chip_Prod_TFLOPS_GB_RAM!C20</f>
        <v>0.25</v>
      </c>
      <c r="D21" s="2">
        <f t="shared" si="12"/>
        <v>12675000</v>
      </c>
      <c r="E21" s="214">
        <f>AI_Chip_Prod_TFLOPS_GB_RAM!F20</f>
        <v>50000</v>
      </c>
      <c r="F21" s="213">
        <f t="shared" si="7"/>
        <v>633.75</v>
      </c>
      <c r="G21" s="2">
        <f t="shared" si="15"/>
        <v>3548.5755239424402</v>
      </c>
      <c r="H21" s="2">
        <f t="shared" si="4"/>
        <v>90540.521931498923</v>
      </c>
      <c r="I21" s="2">
        <f t="shared" si="16"/>
        <v>298308.17638752423</v>
      </c>
      <c r="J21" s="2">
        <f t="shared" si="5"/>
        <v>2291.0067946561862</v>
      </c>
      <c r="K21" s="59">
        <v>0.05</v>
      </c>
      <c r="L21" s="2">
        <f t="shared" si="8"/>
        <v>37310.011184486546</v>
      </c>
      <c r="M21" s="218">
        <v>3.5000000000000003E-2</v>
      </c>
      <c r="N21" s="213">
        <f t="shared" si="3"/>
        <v>1305.8503914570292</v>
      </c>
      <c r="O21" s="2">
        <f t="shared" si="10"/>
        <v>35019.004389830363</v>
      </c>
      <c r="P21" s="59">
        <f t="shared" si="11"/>
        <v>6.1404612915495017E-2</v>
      </c>
      <c r="Q21" s="213">
        <f t="shared" si="6"/>
        <v>80.18523781296652</v>
      </c>
      <c r="R21" s="59">
        <f t="shared" si="13"/>
        <v>0.04</v>
      </c>
      <c r="S21" s="406">
        <f t="shared" si="14"/>
        <v>136188.39378681546</v>
      </c>
    </row>
    <row r="22" spans="2:19" x14ac:dyDescent="0.35">
      <c r="B22" s="175">
        <v>2032</v>
      </c>
      <c r="C22" s="4">
        <f>AI_Chip_Prod_TFLOPS_GB_RAM!C21</f>
        <v>0.25</v>
      </c>
      <c r="D22" s="2">
        <f t="shared" si="12"/>
        <v>15843750</v>
      </c>
      <c r="E22" s="214">
        <f>AI_Chip_Prod_TFLOPS_GB_RAM!F21</f>
        <v>45000</v>
      </c>
      <c r="F22" s="213">
        <f t="shared" si="7"/>
        <v>712.96875</v>
      </c>
      <c r="G22" s="2">
        <f t="shared" si="15"/>
        <v>3713.9475612294259</v>
      </c>
      <c r="H22" s="2">
        <f t="shared" si="4"/>
        <v>118449.9062902656</v>
      </c>
      <c r="I22" s="2">
        <f t="shared" si="16"/>
        <v>398555.35674496193</v>
      </c>
      <c r="J22" s="2">
        <f t="shared" si="5"/>
        <v>3060.9051398013075</v>
      </c>
      <c r="K22" s="59">
        <v>0.06</v>
      </c>
      <c r="L22" s="2">
        <f t="shared" si="8"/>
        <v>39548.61185555574</v>
      </c>
      <c r="M22" s="218">
        <f t="shared" si="9"/>
        <v>3.5000000000000003E-2</v>
      </c>
      <c r="N22" s="213">
        <f t="shared" si="3"/>
        <v>1384.2014149444512</v>
      </c>
      <c r="O22" s="2">
        <f t="shared" si="10"/>
        <v>36487.70671575443</v>
      </c>
      <c r="P22" s="59">
        <f t="shared" si="11"/>
        <v>7.7396019637319208E-2</v>
      </c>
      <c r="Q22" s="213">
        <f t="shared" si="6"/>
        <v>107.13167989304577</v>
      </c>
      <c r="R22" s="59">
        <f t="shared" si="13"/>
        <v>0.04</v>
      </c>
      <c r="S22" s="406">
        <f t="shared" si="14"/>
        <v>141635.9295382881</v>
      </c>
    </row>
    <row r="23" spans="2:19" x14ac:dyDescent="0.35">
      <c r="B23" s="175">
        <v>2033</v>
      </c>
      <c r="C23" s="4">
        <f>AI_Chip_Prod_TFLOPS_GB_RAM!C22</f>
        <v>0.25</v>
      </c>
      <c r="D23" s="2">
        <f t="shared" si="12"/>
        <v>19804687.5</v>
      </c>
      <c r="E23" s="214">
        <f>AI_Chip_Prod_TFLOPS_GB_RAM!F22</f>
        <v>40000</v>
      </c>
      <c r="F23" s="213">
        <f t="shared" si="7"/>
        <v>792.1875</v>
      </c>
      <c r="G23" s="2">
        <f t="shared" si="15"/>
        <v>3887.0263277467552</v>
      </c>
      <c r="H23" s="2">
        <f t="shared" si="4"/>
        <v>154962.44113533827</v>
      </c>
      <c r="I23" s="2">
        <f t="shared" si="16"/>
        <v>524941.2736680524</v>
      </c>
      <c r="J23" s="2">
        <f t="shared" si="5"/>
        <v>4031.5489817706421</v>
      </c>
      <c r="K23" s="59">
        <v>0.08</v>
      </c>
      <c r="L23" s="2">
        <f t="shared" si="8"/>
        <v>42712.500804000199</v>
      </c>
      <c r="M23" s="218">
        <f t="shared" si="9"/>
        <v>3.5000000000000003E-2</v>
      </c>
      <c r="N23" s="213">
        <f t="shared" si="3"/>
        <v>1494.9375281400073</v>
      </c>
      <c r="O23" s="2">
        <f t="shared" si="10"/>
        <v>38680.951822229559</v>
      </c>
      <c r="P23" s="59">
        <f t="shared" si="11"/>
        <v>9.4388034085634037E-2</v>
      </c>
      <c r="Q23" s="213">
        <f t="shared" si="6"/>
        <v>141.10421436197248</v>
      </c>
      <c r="R23" s="59">
        <f t="shared" si="13"/>
        <v>0.04</v>
      </c>
      <c r="S23" s="406">
        <f t="shared" si="14"/>
        <v>147301.36671981963</v>
      </c>
    </row>
    <row r="24" spans="2:19" x14ac:dyDescent="0.35">
      <c r="B24" s="175">
        <v>2034</v>
      </c>
      <c r="C24" s="4">
        <f>AI_Chip_Prod_TFLOPS_GB_RAM!C23</f>
        <v>0.25</v>
      </c>
      <c r="D24" s="2">
        <f t="shared" si="12"/>
        <v>24755859.375</v>
      </c>
      <c r="E24" s="214">
        <f>AI_Chip_Prod_TFLOPS_GB_RAM!F23</f>
        <v>35000</v>
      </c>
      <c r="F24" s="213">
        <f t="shared" si="7"/>
        <v>866.455078125</v>
      </c>
      <c r="G24" s="2">
        <f t="shared" si="15"/>
        <v>4068.1709753583355</v>
      </c>
      <c r="H24" s="2">
        <f t="shared" si="4"/>
        <v>202730.07311443207</v>
      </c>
      <c r="I24" s="2">
        <f t="shared" si="16"/>
        <v>688790.61134440824</v>
      </c>
      <c r="J24" s="2">
        <f t="shared" si="5"/>
        <v>5289.9118951250557</v>
      </c>
      <c r="K24" s="59">
        <v>0.09</v>
      </c>
      <c r="L24" s="2">
        <f t="shared" si="8"/>
        <v>46556.625876360224</v>
      </c>
      <c r="M24" s="218">
        <v>0.03</v>
      </c>
      <c r="N24" s="213">
        <f t="shared" si="3"/>
        <v>1396.6987762908066</v>
      </c>
      <c r="O24" s="2">
        <f t="shared" si="10"/>
        <v>41266.713981235167</v>
      </c>
      <c r="P24" s="59">
        <f t="shared" si="11"/>
        <v>0.1136231802788587</v>
      </c>
      <c r="Q24" s="213">
        <f t="shared" si="6"/>
        <v>158.69735685375167</v>
      </c>
      <c r="R24" s="59">
        <v>0.06</v>
      </c>
      <c r="S24" s="406">
        <f t="shared" si="14"/>
        <v>156139.44872300883</v>
      </c>
    </row>
    <row r="25" spans="2:19" x14ac:dyDescent="0.35">
      <c r="B25" s="175">
        <v>2035</v>
      </c>
      <c r="C25" s="4">
        <f>AI_Chip_Prod_TFLOPS_GB_RAM!C24</f>
        <v>0.25</v>
      </c>
      <c r="D25" s="2">
        <f t="shared" si="12"/>
        <v>30944824.21875</v>
      </c>
      <c r="E25" s="214">
        <f>AI_Chip_Prod_TFLOPS_GB_RAM!F24</f>
        <v>30000</v>
      </c>
      <c r="F25" s="213">
        <f t="shared" si="7"/>
        <v>928.3447265625</v>
      </c>
      <c r="G25" s="2">
        <f t="shared" si="15"/>
        <v>4257.7573932569067</v>
      </c>
      <c r="H25" s="2">
        <f t="shared" si="4"/>
        <v>265222.21929304959</v>
      </c>
      <c r="I25" s="2">
        <f t="shared" si="16"/>
        <v>901112.35971322423</v>
      </c>
      <c r="J25" s="2">
        <f t="shared" si="5"/>
        <v>6920.5429225975622</v>
      </c>
      <c r="K25" s="59">
        <v>0.1</v>
      </c>
      <c r="L25" s="2">
        <f t="shared" si="8"/>
        <v>51212.28846399625</v>
      </c>
      <c r="M25" s="218">
        <f t="shared" si="9"/>
        <v>0.03</v>
      </c>
      <c r="N25" s="213">
        <f t="shared" si="3"/>
        <v>1536.3686539198875</v>
      </c>
      <c r="O25" s="2">
        <f t="shared" si="10"/>
        <v>44291.74554139869</v>
      </c>
      <c r="P25" s="59">
        <f t="shared" si="11"/>
        <v>0.13513442047142471</v>
      </c>
      <c r="Q25" s="213">
        <f t="shared" si="6"/>
        <v>207.61628767792689</v>
      </c>
      <c r="R25" s="59">
        <f t="shared" si="13"/>
        <v>0.06</v>
      </c>
      <c r="S25" s="406">
        <f t="shared" si="14"/>
        <v>165507.81564638935</v>
      </c>
    </row>
    <row r="26" spans="2:19" x14ac:dyDescent="0.35">
      <c r="B26" s="175">
        <v>2036</v>
      </c>
      <c r="C26" s="4">
        <f>AI_Chip_Prod_TFLOPS_GB_RAM!C25</f>
        <v>0.25</v>
      </c>
      <c r="D26" s="2">
        <f t="shared" si="12"/>
        <v>38681030.2734375</v>
      </c>
      <c r="E26" s="214">
        <f>AI_Chip_Prod_TFLOPS_GB_RAM!F25</f>
        <v>25000</v>
      </c>
      <c r="F26" s="213">
        <f t="shared" si="7"/>
        <v>967.0257568359375</v>
      </c>
      <c r="G26" s="2">
        <f t="shared" si="15"/>
        <v>4456.1789879632679</v>
      </c>
      <c r="H26" s="2">
        <f t="shared" si="4"/>
        <v>346977.75483475073</v>
      </c>
      <c r="I26" s="2">
        <f t="shared" si="16"/>
        <v>1178882.9165993351</v>
      </c>
      <c r="J26" s="2">
        <f t="shared" si="5"/>
        <v>9053.8207994828954</v>
      </c>
      <c r="K26" s="59">
        <v>0.11</v>
      </c>
      <c r="L26" s="2">
        <f t="shared" si="8"/>
        <v>56845.640195035841</v>
      </c>
      <c r="M26" s="218">
        <f t="shared" si="9"/>
        <v>0.03</v>
      </c>
      <c r="N26" s="213">
        <f t="shared" si="3"/>
        <v>1705.3692058510751</v>
      </c>
      <c r="O26" s="2">
        <f t="shared" si="10"/>
        <v>47791.819395552942</v>
      </c>
      <c r="P26" s="59">
        <f t="shared" si="11"/>
        <v>0.15927027593355414</v>
      </c>
      <c r="Q26" s="213">
        <f t="shared" si="6"/>
        <v>271.6146239844868</v>
      </c>
      <c r="R26" s="59">
        <f t="shared" si="13"/>
        <v>0.06</v>
      </c>
      <c r="S26" s="406">
        <f t="shared" si="14"/>
        <v>175438.28458517272</v>
      </c>
    </row>
    <row r="27" spans="2:19" x14ac:dyDescent="0.35">
      <c r="B27" s="175">
        <v>2037</v>
      </c>
      <c r="C27" s="4">
        <f>AI_Chip_Prod_TFLOPS_GB_RAM!C26</f>
        <v>0.25</v>
      </c>
      <c r="D27" s="2">
        <f t="shared" si="12"/>
        <v>48351287.841796875</v>
      </c>
      <c r="E27" s="214">
        <f>AI_Chip_Prod_TFLOPS_GB_RAM!F26</f>
        <v>20000</v>
      </c>
      <c r="F27" s="213">
        <f t="shared" si="7"/>
        <v>967.0257568359375</v>
      </c>
      <c r="G27" s="2">
        <f t="shared" si="15"/>
        <v>4663.8474996753203</v>
      </c>
      <c r="H27" s="2">
        <f t="shared" si="4"/>
        <v>453934.67663106683</v>
      </c>
      <c r="I27" s="2">
        <f t="shared" si="16"/>
        <v>1542277.0712989029</v>
      </c>
      <c r="J27" s="2">
        <f t="shared" si="5"/>
        <v>11844.687907575573</v>
      </c>
      <c r="K27" s="59">
        <v>0.13</v>
      </c>
      <c r="L27" s="2">
        <f t="shared" si="8"/>
        <v>64235.573420390494</v>
      </c>
      <c r="M27" s="218">
        <v>2.5000000000000001E-2</v>
      </c>
      <c r="N27" s="213">
        <f t="shared" si="3"/>
        <v>1605.8893355097625</v>
      </c>
      <c r="O27" s="2">
        <f t="shared" si="10"/>
        <v>52390.885512814923</v>
      </c>
      <c r="P27" s="59">
        <f t="shared" si="11"/>
        <v>0.18439452279903953</v>
      </c>
      <c r="Q27" s="213">
        <f t="shared" si="6"/>
        <v>296.11719768938934</v>
      </c>
      <c r="R27" s="59">
        <f t="shared" si="13"/>
        <v>0.06</v>
      </c>
      <c r="S27" s="406">
        <f t="shared" si="14"/>
        <v>185964.58166028309</v>
      </c>
    </row>
    <row r="28" spans="2:19" x14ac:dyDescent="0.35">
      <c r="B28" s="175">
        <v>2038</v>
      </c>
      <c r="C28" s="4">
        <f>AI_Chip_Prod_TFLOPS_GB_RAM!C27</f>
        <v>0.25</v>
      </c>
      <c r="D28" s="2">
        <f t="shared" si="12"/>
        <v>60439109.802246094</v>
      </c>
      <c r="E28" s="214">
        <f>AI_Chip_Prod_TFLOPS_GB_RAM!F27</f>
        <v>17000</v>
      </c>
      <c r="F28" s="213">
        <f t="shared" si="7"/>
        <v>1027.4648666381836</v>
      </c>
      <c r="G28" s="2">
        <f t="shared" si="15"/>
        <v>4881.1938566609106</v>
      </c>
      <c r="H28" s="2">
        <f t="shared" si="4"/>
        <v>593861.38672286447</v>
      </c>
      <c r="I28" s="2">
        <f t="shared" si="16"/>
        <v>2017688.5517315022</v>
      </c>
      <c r="J28" s="2">
        <f t="shared" si="5"/>
        <v>15495.848077297935</v>
      </c>
      <c r="K28" s="59">
        <v>0.14000000000000001</v>
      </c>
      <c r="L28" s="2">
        <f t="shared" si="8"/>
        <v>73228.553699245167</v>
      </c>
      <c r="M28" s="218">
        <f t="shared" si="9"/>
        <v>2.5000000000000001E-2</v>
      </c>
      <c r="N28" s="213">
        <f t="shared" si="3"/>
        <v>1830.7138424811294</v>
      </c>
      <c r="O28" s="2">
        <f t="shared" si="10"/>
        <v>57732.705621947229</v>
      </c>
      <c r="P28" s="59">
        <f t="shared" si="11"/>
        <v>0.21160936949458917</v>
      </c>
      <c r="Q28" s="213">
        <f t="shared" si="6"/>
        <v>387.39620193244843</v>
      </c>
      <c r="R28" s="59">
        <v>0.1</v>
      </c>
      <c r="S28" s="406">
        <f t="shared" si="14"/>
        <v>204561.0398263114</v>
      </c>
    </row>
    <row r="29" spans="2:19" x14ac:dyDescent="0.35">
      <c r="B29" s="175">
        <v>2039</v>
      </c>
      <c r="C29" s="4">
        <f>AI_Chip_Prod_TFLOPS_GB_RAM!C28</f>
        <v>0.25</v>
      </c>
      <c r="D29" s="2">
        <f t="shared" si="12"/>
        <v>75548887.252807617</v>
      </c>
      <c r="E29" s="214">
        <f>AI_Chip_Prod_TFLOPS_GB_RAM!F28</f>
        <v>17000</v>
      </c>
      <c r="F29" s="213">
        <f t="shared" si="7"/>
        <v>1284.3310832977295</v>
      </c>
      <c r="G29" s="2">
        <f t="shared" si="15"/>
        <v>5108.669069467408</v>
      </c>
      <c r="H29" s="2">
        <f t="shared" si="4"/>
        <v>776920.92011519894</v>
      </c>
      <c r="I29" s="2">
        <f t="shared" si="16"/>
        <v>2639647.0307113626</v>
      </c>
      <c r="J29" s="2">
        <f t="shared" si="5"/>
        <v>20272.489195863265</v>
      </c>
      <c r="K29" s="59">
        <v>0.15</v>
      </c>
      <c r="L29" s="2">
        <f t="shared" si="8"/>
        <v>84212.836754131931</v>
      </c>
      <c r="M29" s="218">
        <f t="shared" si="9"/>
        <v>2.5000000000000001E-2</v>
      </c>
      <c r="N29" s="213">
        <f t="shared" si="3"/>
        <v>2105.3209188532987</v>
      </c>
      <c r="O29" s="2">
        <f t="shared" si="10"/>
        <v>63940.347558268666</v>
      </c>
      <c r="P29" s="59">
        <f t="shared" si="11"/>
        <v>0.2407292044448151</v>
      </c>
      <c r="Q29" s="213">
        <f t="shared" si="6"/>
        <v>506.81222989658164</v>
      </c>
      <c r="R29" s="59">
        <f t="shared" si="13"/>
        <v>0.1</v>
      </c>
      <c r="S29" s="406">
        <f t="shared" si="14"/>
        <v>225017.14380894255</v>
      </c>
    </row>
    <row r="30" spans="2:19" x14ac:dyDescent="0.35">
      <c r="B30" s="175">
        <v>2040</v>
      </c>
      <c r="C30" s="4">
        <f>AI_Chip_Prod_TFLOPS_GB_RAM!C29</f>
        <v>0.25</v>
      </c>
      <c r="D30" s="2">
        <f t="shared" si="12"/>
        <v>94436109.066009521</v>
      </c>
      <c r="E30" s="214">
        <f>AI_Chip_Prod_TFLOPS_GB_RAM!F29</f>
        <v>15000</v>
      </c>
      <c r="F30" s="213">
        <f t="shared" si="7"/>
        <v>1416.5416359901428</v>
      </c>
      <c r="G30" s="2">
        <f t="shared" si="15"/>
        <v>5346.7451668035683</v>
      </c>
      <c r="H30" s="2">
        <f t="shared" si="4"/>
        <v>1016409.0974891593</v>
      </c>
      <c r="I30" s="2">
        <f t="shared" si="16"/>
        <v>3453326.0550860902</v>
      </c>
      <c r="J30" s="2">
        <f t="shared" si="5"/>
        <v>26521.544103061173</v>
      </c>
      <c r="K30" s="59">
        <v>0.15</v>
      </c>
      <c r="L30" s="2">
        <f t="shared" si="8"/>
        <v>96844.762267251717</v>
      </c>
      <c r="M30" s="218">
        <f>0.02</f>
        <v>0.02</v>
      </c>
      <c r="N30" s="213">
        <f t="shared" si="3"/>
        <v>1936.8952453450345</v>
      </c>
      <c r="O30" s="2">
        <f t="shared" si="10"/>
        <v>70323.218164190548</v>
      </c>
      <c r="P30" s="59">
        <f t="shared" si="11"/>
        <v>0.27385625698447807</v>
      </c>
      <c r="Q30" s="213">
        <f t="shared" si="6"/>
        <v>530.43088206122343</v>
      </c>
      <c r="R30" s="59">
        <f t="shared" si="13"/>
        <v>0.1</v>
      </c>
      <c r="S30" s="406">
        <f t="shared" si="14"/>
        <v>247518.85818983681</v>
      </c>
    </row>
    <row r="31" spans="2:19" x14ac:dyDescent="0.35">
      <c r="B31" s="175">
        <v>2041</v>
      </c>
      <c r="C31" s="4">
        <f>AI_Chip_Prod_TFLOPS_GB_RAM!C30</f>
        <v>0.25</v>
      </c>
      <c r="D31" s="2">
        <f t="shared" si="12"/>
        <v>118045136.3325119</v>
      </c>
      <c r="E31" s="214">
        <f>AI_Chip_Prod_TFLOPS_GB_RAM!F30</f>
        <v>15000</v>
      </c>
      <c r="F31" s="213">
        <f t="shared" si="7"/>
        <v>1770.6770449876785</v>
      </c>
      <c r="G31" s="2">
        <f t="shared" si="15"/>
        <v>5595.9161750357134</v>
      </c>
      <c r="H31" s="2">
        <f t="shared" si="4"/>
        <v>1329720.2156759338</v>
      </c>
      <c r="I31" s="2">
        <f t="shared" si="16"/>
        <v>4517824.051468974</v>
      </c>
      <c r="J31" s="2">
        <f t="shared" si="5"/>
        <v>34696.888715281726</v>
      </c>
      <c r="K31" s="59">
        <v>0.15</v>
      </c>
      <c r="L31" s="2">
        <f t="shared" si="8"/>
        <v>111371.47660733947</v>
      </c>
      <c r="M31" s="218">
        <f t="shared" si="9"/>
        <v>0.02</v>
      </c>
      <c r="N31" s="213">
        <f t="shared" si="3"/>
        <v>2227.4295321467894</v>
      </c>
      <c r="O31" s="2">
        <f t="shared" si="10"/>
        <v>76674.587892057752</v>
      </c>
      <c r="P31" s="59">
        <f t="shared" si="11"/>
        <v>0.31154196543170526</v>
      </c>
      <c r="Q31" s="213">
        <f t="shared" si="6"/>
        <v>693.93777430563455</v>
      </c>
      <c r="R31" s="59">
        <f t="shared" si="13"/>
        <v>0.1</v>
      </c>
      <c r="S31" s="406">
        <f t="shared" si="14"/>
        <v>272270.7440088205</v>
      </c>
    </row>
    <row r="32" spans="2:19" x14ac:dyDescent="0.35">
      <c r="B32" s="175">
        <v>2042</v>
      </c>
      <c r="C32" s="4">
        <f>AI_Chip_Prod_TFLOPS_GB_RAM!C31</f>
        <v>0.25</v>
      </c>
      <c r="D32" s="2">
        <f t="shared" si="12"/>
        <v>147556420.41563988</v>
      </c>
      <c r="E32" s="214">
        <f>AI_Chip_Prod_TFLOPS_GB_RAM!F31</f>
        <v>13000</v>
      </c>
      <c r="F32" s="213">
        <f t="shared" si="7"/>
        <v>1918.2334654033184</v>
      </c>
      <c r="G32" s="2">
        <f t="shared" si="15"/>
        <v>5856.6991433307585</v>
      </c>
      <c r="H32" s="2">
        <f t="shared" si="4"/>
        <v>1739610.4150829983</v>
      </c>
      <c r="I32" s="2">
        <f t="shared" si="16"/>
        <v>5910456.7117172219</v>
      </c>
      <c r="J32" s="2">
        <f t="shared" si="5"/>
        <v>45392.307545988268</v>
      </c>
      <c r="K32" s="59">
        <v>0.15</v>
      </c>
      <c r="L32" s="2">
        <f t="shared" si="8"/>
        <v>128077.19809844038</v>
      </c>
      <c r="M32" s="218">
        <f t="shared" si="9"/>
        <v>0.02</v>
      </c>
      <c r="N32" s="213">
        <f t="shared" si="3"/>
        <v>2561.5439619688077</v>
      </c>
      <c r="O32" s="2">
        <f t="shared" si="10"/>
        <v>82684.890552452111</v>
      </c>
      <c r="P32" s="59">
        <f t="shared" si="11"/>
        <v>0.35441365223417565</v>
      </c>
      <c r="Q32" s="213">
        <f t="shared" si="6"/>
        <v>907.84615091976536</v>
      </c>
      <c r="R32" s="59">
        <v>0.15</v>
      </c>
      <c r="S32" s="406">
        <f t="shared" si="14"/>
        <v>313111.35561014357</v>
      </c>
    </row>
    <row r="33" spans="2:20" x14ac:dyDescent="0.35">
      <c r="B33" s="175">
        <v>2043</v>
      </c>
      <c r="C33" s="4">
        <f>AI_Chip_Prod_TFLOPS_GB_RAM!C32</f>
        <v>0.2</v>
      </c>
      <c r="D33" s="2">
        <f t="shared" si="12"/>
        <v>177067704.49876785</v>
      </c>
      <c r="E33" s="214">
        <f>AI_Chip_Prod_TFLOPS_GB_RAM!F32</f>
        <v>10000</v>
      </c>
      <c r="F33" s="213">
        <f t="shared" si="7"/>
        <v>1770.6770449876785</v>
      </c>
      <c r="G33" s="2">
        <f t="shared" si="15"/>
        <v>6129.6352165733306</v>
      </c>
      <c r="H33" s="2">
        <f t="shared" si="4"/>
        <v>2184816.4645205759</v>
      </c>
      <c r="I33" s="2">
        <f t="shared" si="16"/>
        <v>7641338.4996067304</v>
      </c>
      <c r="J33" s="2">
        <f t="shared" si="5"/>
        <v>58685.479676979689</v>
      </c>
      <c r="K33" s="59">
        <v>0.15</v>
      </c>
      <c r="L33" s="2">
        <f t="shared" si="8"/>
        <v>147288.77781320643</v>
      </c>
      <c r="M33" s="218">
        <v>1.4999999999999999E-2</v>
      </c>
      <c r="N33" s="213">
        <f t="shared" si="3"/>
        <v>2209.3316671980965</v>
      </c>
      <c r="O33" s="2">
        <f t="shared" si="10"/>
        <v>88603.298136226746</v>
      </c>
      <c r="P33" s="59">
        <f t="shared" si="11"/>
        <v>0.39843822827700687</v>
      </c>
      <c r="Q33" s="213">
        <f t="shared" si="6"/>
        <v>880.28219515469527</v>
      </c>
      <c r="R33" s="59">
        <f t="shared" si="13"/>
        <v>0.15</v>
      </c>
      <c r="S33" s="406">
        <f t="shared" si="14"/>
        <v>360078.05895166507</v>
      </c>
    </row>
    <row r="34" spans="2:20" x14ac:dyDescent="0.35">
      <c r="B34" s="175">
        <v>2044</v>
      </c>
      <c r="C34" s="4">
        <f>AI_Chip_Prod_TFLOPS_GB_RAM!C33</f>
        <v>0.17</v>
      </c>
      <c r="D34" s="2">
        <f t="shared" si="12"/>
        <v>207169214.26355839</v>
      </c>
      <c r="E34" s="214">
        <f>AI_Chip_Prod_TFLOPS_GB_RAM!F33</f>
        <v>8000</v>
      </c>
      <c r="F34" s="213">
        <f t="shared" si="7"/>
        <v>1657.3537141084671</v>
      </c>
      <c r="G34" s="2">
        <f t="shared" si="15"/>
        <v>6415.2907582833759</v>
      </c>
      <c r="H34" s="2">
        <f t="shared" si="4"/>
        <v>2675361.8906260314</v>
      </c>
      <c r="I34" s="2">
        <f t="shared" si="16"/>
        <v>9722839.0035098977</v>
      </c>
      <c r="J34" s="2">
        <f t="shared" si="5"/>
        <v>74671.403546956004</v>
      </c>
      <c r="K34" s="59">
        <v>0.15</v>
      </c>
      <c r="L34" s="2">
        <f t="shared" si="8"/>
        <v>169382.09448518738</v>
      </c>
      <c r="M34" s="218">
        <f t="shared" si="9"/>
        <v>1.4999999999999999E-2</v>
      </c>
      <c r="N34" s="213">
        <f t="shared" si="3"/>
        <v>2540.7314172778106</v>
      </c>
      <c r="O34" s="2">
        <f t="shared" si="10"/>
        <v>94710.690938231375</v>
      </c>
      <c r="P34" s="59">
        <f>J34/L34</f>
        <v>0.44084590979884292</v>
      </c>
      <c r="Q34" s="213">
        <f t="shared" si="6"/>
        <v>1120.0710532043399</v>
      </c>
      <c r="R34" s="59">
        <f t="shared" si="13"/>
        <v>0.15</v>
      </c>
      <c r="S34" s="406">
        <f t="shared" si="14"/>
        <v>414089.76779441477</v>
      </c>
    </row>
    <row r="35" spans="2:20" ht="15" thickBot="1" x14ac:dyDescent="0.4">
      <c r="B35" s="382">
        <v>2045</v>
      </c>
      <c r="C35" s="154">
        <f>AI_Chip_Prod_TFLOPS_GB_RAM!C34</f>
        <v>0.15</v>
      </c>
      <c r="D35" s="155">
        <f t="shared" si="12"/>
        <v>238244596.40309212</v>
      </c>
      <c r="E35" s="216">
        <f>AI_Chip_Prod_TFLOPS_GB_RAM!F34</f>
        <v>8000</v>
      </c>
      <c r="F35" s="216">
        <f t="shared" si="7"/>
        <v>1905.9567712247367</v>
      </c>
      <c r="G35" s="155">
        <f t="shared" si="15"/>
        <v>6714.2585258643885</v>
      </c>
      <c r="H35" s="155">
        <f t="shared" si="4"/>
        <v>3220046.1163544175</v>
      </c>
      <c r="I35" s="155">
        <f>SUM(H30:H35)</f>
        <v>12165964.199749116</v>
      </c>
      <c r="J35" s="155">
        <f t="shared" si="5"/>
        <v>93434.60505407321</v>
      </c>
      <c r="K35" s="192">
        <v>0.15</v>
      </c>
      <c r="L35" s="155">
        <f t="shared" si="8"/>
        <v>194789.40865796548</v>
      </c>
      <c r="M35" s="220">
        <f t="shared" si="9"/>
        <v>1.4999999999999999E-2</v>
      </c>
      <c r="N35" s="216">
        <f t="shared" si="3"/>
        <v>2921.8411298694818</v>
      </c>
      <c r="O35" s="155">
        <f t="shared" si="10"/>
        <v>101354.80360389227</v>
      </c>
      <c r="P35" s="192">
        <f t="shared" si="11"/>
        <v>0.47966984292321996</v>
      </c>
      <c r="Q35" s="216">
        <f t="shared" si="6"/>
        <v>1401.519075811098</v>
      </c>
      <c r="R35" s="192">
        <f t="shared" si="13"/>
        <v>0.15</v>
      </c>
      <c r="S35" s="265">
        <f t="shared" si="14"/>
        <v>476203.23296357697</v>
      </c>
    </row>
    <row r="36" spans="2:20" ht="16" thickTop="1" x14ac:dyDescent="0.35">
      <c r="B36" s="141" t="s">
        <v>406</v>
      </c>
      <c r="C36" s="31"/>
      <c r="D36" s="31"/>
      <c r="E36" s="31"/>
      <c r="F36" s="31"/>
      <c r="G36" s="31"/>
      <c r="H36" s="31"/>
      <c r="I36" s="31"/>
      <c r="J36" s="31"/>
      <c r="K36" s="31"/>
      <c r="L36" s="31"/>
      <c r="M36" s="31"/>
      <c r="N36" s="31"/>
      <c r="O36" s="31"/>
      <c r="P36" s="31"/>
      <c r="Q36" s="31"/>
      <c r="R36" s="31"/>
    </row>
    <row r="38" spans="2:20" ht="24" thickBot="1" x14ac:dyDescent="0.6">
      <c r="B38" s="30" t="s">
        <v>38</v>
      </c>
      <c r="C38" s="31"/>
      <c r="D38" s="31"/>
      <c r="E38" s="31"/>
      <c r="F38" s="31"/>
      <c r="G38" s="31"/>
      <c r="H38" s="31"/>
      <c r="I38" s="31"/>
      <c r="J38" s="31"/>
      <c r="K38" s="31"/>
      <c r="L38" s="31"/>
      <c r="M38" s="172"/>
      <c r="N38" s="31"/>
      <c r="O38" s="31"/>
      <c r="P38" s="172"/>
      <c r="Q38" s="172"/>
      <c r="R38" s="31"/>
      <c r="T38" s="89" t="s">
        <v>32</v>
      </c>
    </row>
    <row r="39" spans="2:20" ht="15" thickTop="1" x14ac:dyDescent="0.35">
      <c r="B39" s="83" t="s">
        <v>7</v>
      </c>
      <c r="C39" s="84" t="str">
        <f t="shared" ref="C39:J41" si="17">C5</f>
        <v>Annual</v>
      </c>
      <c r="D39" s="84" t="str">
        <f t="shared" si="17"/>
        <v># of new AI</v>
      </c>
      <c r="E39" s="84" t="str">
        <f t="shared" ref="E39" si="18">E5</f>
        <v>USD for</v>
      </c>
      <c r="F39" s="84" t="str">
        <f t="shared" si="17"/>
        <v>Value of AI</v>
      </c>
      <c r="G39" s="84" t="str">
        <f t="shared" ref="G39:G41" si="19">G5</f>
        <v>Watt use</v>
      </c>
      <c r="H39" s="84" t="str">
        <f t="shared" si="17"/>
        <v>Power for</v>
      </c>
      <c r="I39" s="197" t="str">
        <f t="shared" si="17"/>
        <v xml:space="preserve">Global power </v>
      </c>
      <c r="J39" s="84" t="str">
        <f t="shared" si="17"/>
        <v>Global use</v>
      </c>
      <c r="K39" s="84" t="s">
        <v>409</v>
      </c>
      <c r="L39" s="84" t="s">
        <v>404</v>
      </c>
      <c r="M39" s="84" t="s">
        <v>404</v>
      </c>
      <c r="N39" s="84" t="s">
        <v>404</v>
      </c>
      <c r="O39" s="84" t="s">
        <v>404</v>
      </c>
      <c r="P39" s="84" t="str">
        <f t="shared" ref="P39:P41" si="20">P5</f>
        <v xml:space="preserve">Power use </v>
      </c>
      <c r="Q39" s="84" t="str">
        <f>Q5</f>
        <v xml:space="preserve">Cost of AI </v>
      </c>
      <c r="R39" s="84" t="s">
        <v>1017</v>
      </c>
      <c r="S39" s="85" t="str">
        <f>S5</f>
        <v xml:space="preserve">Global </v>
      </c>
    </row>
    <row r="40" spans="2:20" x14ac:dyDescent="0.35">
      <c r="B40" s="21">
        <v>2008</v>
      </c>
      <c r="C40" s="135" t="str">
        <f t="shared" si="17"/>
        <v>growth</v>
      </c>
      <c r="D40" s="135" t="str">
        <f t="shared" si="17"/>
        <v>chipsets sold</v>
      </c>
      <c r="E40" s="135" t="str">
        <f t="shared" ref="E40" si="21">E6</f>
        <v>one AI</v>
      </c>
      <c r="F40" s="135" t="str">
        <f t="shared" si="17"/>
        <v>chip sales</v>
      </c>
      <c r="G40" s="136" t="str">
        <f t="shared" si="19"/>
        <v>for one AI</v>
      </c>
      <c r="H40" s="136" t="str">
        <f t="shared" si="17"/>
        <v>new compute</v>
      </c>
      <c r="I40" s="208" t="str">
        <f t="shared" si="17"/>
        <v>for AI compute</v>
      </c>
      <c r="J40" s="136" t="str">
        <f t="shared" si="17"/>
        <v>electricity</v>
      </c>
      <c r="K40" s="142">
        <v>20000</v>
      </c>
      <c r="L40" s="136" t="str">
        <f>L6</f>
        <v>production</v>
      </c>
      <c r="M40" s="136" t="str">
        <f t="shared" ref="M40:O40" si="22">M6</f>
        <v>1kWh of</v>
      </c>
      <c r="N40" s="136" t="str">
        <f t="shared" si="22"/>
        <v>elec. prod.</v>
      </c>
      <c r="O40" s="136" t="str">
        <f t="shared" si="22"/>
        <v>not for AI</v>
      </c>
      <c r="P40" s="136" t="str">
        <f t="shared" si="20"/>
        <v>for AI in %</v>
      </c>
      <c r="Q40" s="136" t="str">
        <f>Q6</f>
        <v>electricity</v>
      </c>
      <c r="R40" s="217">
        <v>64140</v>
      </c>
      <c r="S40" s="411" t="str">
        <f>S6</f>
        <v>GDP, USD</v>
      </c>
    </row>
    <row r="41" spans="2:20" x14ac:dyDescent="0.35">
      <c r="B41" s="21">
        <v>2022</v>
      </c>
      <c r="C41" s="135" t="str">
        <f t="shared" si="17"/>
        <v>AI chipset</v>
      </c>
      <c r="D41" s="135" t="str">
        <f t="shared" si="17"/>
        <v>globally</v>
      </c>
      <c r="E41" s="135" t="str">
        <f t="shared" ref="E41" si="23">E7</f>
        <v>chipset</v>
      </c>
      <c r="F41" s="135" t="str">
        <f t="shared" si="17"/>
        <v>billion USD</v>
      </c>
      <c r="G41" s="136" t="str">
        <f t="shared" si="19"/>
        <v>chipset</v>
      </c>
      <c r="H41" s="137" t="str">
        <f t="shared" si="17"/>
        <v>million watt</v>
      </c>
      <c r="I41" s="209" t="str">
        <f t="shared" si="17"/>
        <v>in million watt</v>
      </c>
      <c r="J41" s="137" t="str">
        <f t="shared" si="17"/>
        <v>for AI in TWh</v>
      </c>
      <c r="K41" s="142">
        <v>28500</v>
      </c>
      <c r="L41" s="137" t="str">
        <f>L7</f>
        <v>in TWh</v>
      </c>
      <c r="M41" s="137" t="str">
        <f t="shared" ref="M41:O41" si="24">M7</f>
        <v>electricity</v>
      </c>
      <c r="N41" s="137" t="str">
        <f t="shared" si="24"/>
        <v>in billion USD</v>
      </c>
      <c r="O41" s="137" t="str">
        <f t="shared" si="24"/>
        <v>use in TWh</v>
      </c>
      <c r="P41" s="137" t="str">
        <f t="shared" si="20"/>
        <v xml:space="preserve">of global </v>
      </c>
      <c r="Q41" s="137" t="str">
        <f>Q7</f>
        <v>billion USD</v>
      </c>
      <c r="R41" s="137">
        <v>100560</v>
      </c>
      <c r="S41" s="166" t="str">
        <f>S7</f>
        <v>billions</v>
      </c>
    </row>
    <row r="42" spans="2:20" ht="15" thickBot="1" x14ac:dyDescent="0.4">
      <c r="B42" s="210"/>
      <c r="C42" s="453"/>
      <c r="D42" s="453"/>
      <c r="E42" s="453"/>
      <c r="F42" s="460"/>
      <c r="G42" s="460" t="s">
        <v>305</v>
      </c>
      <c r="H42" s="461" t="s">
        <v>517</v>
      </c>
      <c r="I42" s="462" t="s">
        <v>957</v>
      </c>
      <c r="J42" s="453"/>
      <c r="K42" s="453">
        <f>((K41/K40)^(1/($B41-$B40)))-1</f>
        <v>2.5620696314338609E-2</v>
      </c>
      <c r="L42" s="453"/>
      <c r="M42" s="461"/>
      <c r="N42" s="463"/>
      <c r="O42" s="453"/>
      <c r="P42" s="453"/>
      <c r="Q42" s="463" t="s">
        <v>413</v>
      </c>
      <c r="R42" s="453">
        <f>((R41/R40)^(1/($B41-$B40)))-1</f>
        <v>3.2641884693381806E-2</v>
      </c>
      <c r="S42" s="458"/>
    </row>
    <row r="43" spans="2:20" ht="15" thickTop="1" x14ac:dyDescent="0.35">
      <c r="B43" s="433" t="str">
        <f>B9</f>
        <v>Growth 2023 to 2029</v>
      </c>
      <c r="C43" s="434"/>
      <c r="D43" s="464" t="s">
        <v>138</v>
      </c>
      <c r="E43" s="464" t="s">
        <v>138</v>
      </c>
      <c r="F43" s="464" t="s">
        <v>138</v>
      </c>
      <c r="G43" s="464" t="s">
        <v>138</v>
      </c>
      <c r="H43" s="464" t="s">
        <v>138</v>
      </c>
      <c r="I43" s="464" t="s">
        <v>138</v>
      </c>
      <c r="J43" s="464" t="s">
        <v>138</v>
      </c>
      <c r="K43" s="464" t="s">
        <v>138</v>
      </c>
      <c r="L43" s="464" t="s">
        <v>138</v>
      </c>
      <c r="M43" s="464" t="s">
        <v>138</v>
      </c>
      <c r="N43" s="464" t="s">
        <v>138</v>
      </c>
      <c r="O43" s="464" t="s">
        <v>138</v>
      </c>
      <c r="P43" s="436" t="s">
        <v>45</v>
      </c>
      <c r="Q43" s="464" t="s">
        <v>138</v>
      </c>
      <c r="R43" s="436" t="s">
        <v>45</v>
      </c>
      <c r="S43" s="465" t="s">
        <v>138</v>
      </c>
    </row>
    <row r="44" spans="2:20" x14ac:dyDescent="0.35">
      <c r="B44" s="426" t="str">
        <f>B10</f>
        <v>Growth 2029 to 2045</v>
      </c>
      <c r="C44" s="442"/>
      <c r="D44" s="488" t="s">
        <v>138</v>
      </c>
      <c r="E44" s="488" t="s">
        <v>138</v>
      </c>
      <c r="F44" s="488" t="s">
        <v>138</v>
      </c>
      <c r="G44" s="488" t="s">
        <v>138</v>
      </c>
      <c r="H44" s="488" t="s">
        <v>138</v>
      </c>
      <c r="I44" s="488" t="s">
        <v>138</v>
      </c>
      <c r="J44" s="488" t="s">
        <v>138</v>
      </c>
      <c r="K44" s="488" t="s">
        <v>138</v>
      </c>
      <c r="L44" s="488" t="s">
        <v>138</v>
      </c>
      <c r="M44" s="488" t="s">
        <v>138</v>
      </c>
      <c r="N44" s="488" t="s">
        <v>138</v>
      </c>
      <c r="O44" s="488" t="s">
        <v>138</v>
      </c>
      <c r="P44" s="445" t="s">
        <v>45</v>
      </c>
      <c r="Q44" s="488" t="s">
        <v>138</v>
      </c>
      <c r="R44" s="445" t="s">
        <v>45</v>
      </c>
      <c r="S44" s="489" t="s">
        <v>138</v>
      </c>
    </row>
    <row r="45" spans="2:20" ht="15" thickBot="1" x14ac:dyDescent="0.4">
      <c r="B45" s="73" t="str">
        <f>B11</f>
        <v>Growth 2023 to 2045</v>
      </c>
      <c r="C45" s="87"/>
      <c r="D45" s="449" t="s">
        <v>138</v>
      </c>
      <c r="E45" s="449" t="s">
        <v>138</v>
      </c>
      <c r="F45" s="449" t="s">
        <v>138</v>
      </c>
      <c r="G45" s="449" t="s">
        <v>138</v>
      </c>
      <c r="H45" s="449" t="s">
        <v>138</v>
      </c>
      <c r="I45" s="449" t="s">
        <v>138</v>
      </c>
      <c r="J45" s="449" t="s">
        <v>138</v>
      </c>
      <c r="K45" s="449" t="s">
        <v>138</v>
      </c>
      <c r="L45" s="449" t="s">
        <v>138</v>
      </c>
      <c r="M45" s="449" t="s">
        <v>138</v>
      </c>
      <c r="N45" s="449" t="s">
        <v>138</v>
      </c>
      <c r="O45" s="449" t="s">
        <v>138</v>
      </c>
      <c r="P45" s="363" t="s">
        <v>45</v>
      </c>
      <c r="Q45" s="449" t="s">
        <v>138</v>
      </c>
      <c r="R45" s="363" t="s">
        <v>45</v>
      </c>
      <c r="S45" s="466" t="s">
        <v>138</v>
      </c>
    </row>
    <row r="46" spans="2:20" ht="15" thickTop="1" x14ac:dyDescent="0.35">
      <c r="B46" s="175">
        <v>2022</v>
      </c>
      <c r="C46" s="377" t="s">
        <v>45</v>
      </c>
      <c r="D46" s="393" t="s">
        <v>399</v>
      </c>
      <c r="E46" s="394" t="s">
        <v>45</v>
      </c>
      <c r="F46" s="395" t="s">
        <v>444</v>
      </c>
      <c r="G46" s="384" t="s">
        <v>45</v>
      </c>
      <c r="H46" s="385" t="s">
        <v>45</v>
      </c>
      <c r="I46" s="385" t="s">
        <v>45</v>
      </c>
      <c r="J46" s="385" t="s">
        <v>45</v>
      </c>
      <c r="K46" s="384" t="s">
        <v>45</v>
      </c>
      <c r="L46" s="385" t="s">
        <v>45</v>
      </c>
      <c r="M46" s="398" t="s">
        <v>413</v>
      </c>
      <c r="N46" s="399" t="s">
        <v>944</v>
      </c>
      <c r="O46" s="385" t="s">
        <v>45</v>
      </c>
      <c r="P46" s="385" t="s">
        <v>45</v>
      </c>
      <c r="Q46" s="385" t="s">
        <v>45</v>
      </c>
      <c r="R46" s="385" t="s">
        <v>45</v>
      </c>
      <c r="S46" s="412" t="s">
        <v>478</v>
      </c>
      <c r="T46" s="459" t="s">
        <v>45</v>
      </c>
    </row>
    <row r="47" spans="2:20" x14ac:dyDescent="0.35">
      <c r="B47" s="175">
        <v>2023</v>
      </c>
      <c r="C47" s="377" t="s">
        <v>45</v>
      </c>
      <c r="D47" s="374" t="s">
        <v>954</v>
      </c>
      <c r="E47" s="390" t="s">
        <v>236</v>
      </c>
      <c r="F47" s="395" t="s">
        <v>444</v>
      </c>
      <c r="G47" s="372" t="s">
        <v>305</v>
      </c>
      <c r="H47" s="374" t="s">
        <v>944</v>
      </c>
      <c r="I47" s="374" t="s">
        <v>944</v>
      </c>
      <c r="J47" s="374" t="s">
        <v>944</v>
      </c>
      <c r="K47" s="396" t="s">
        <v>411</v>
      </c>
      <c r="L47" s="374" t="s">
        <v>944</v>
      </c>
      <c r="M47" s="372" t="s">
        <v>960</v>
      </c>
      <c r="N47" s="374" t="s">
        <v>944</v>
      </c>
      <c r="O47" s="374" t="s">
        <v>944</v>
      </c>
      <c r="P47" s="374" t="s">
        <v>944</v>
      </c>
      <c r="Q47" s="374" t="s">
        <v>944</v>
      </c>
      <c r="R47" s="374" t="s">
        <v>944</v>
      </c>
      <c r="S47" s="413" t="s">
        <v>944</v>
      </c>
    </row>
    <row r="48" spans="2:20" x14ac:dyDescent="0.35">
      <c r="B48" s="175">
        <v>2024</v>
      </c>
      <c r="C48" s="391" t="s">
        <v>943</v>
      </c>
      <c r="D48" s="374" t="s">
        <v>944</v>
      </c>
      <c r="E48" s="390" t="s">
        <v>236</v>
      </c>
      <c r="F48" s="374" t="s">
        <v>944</v>
      </c>
      <c r="G48" s="372" t="s">
        <v>305</v>
      </c>
      <c r="H48" s="374" t="s">
        <v>944</v>
      </c>
      <c r="I48" s="374" t="s">
        <v>944</v>
      </c>
      <c r="J48" s="374" t="s">
        <v>944</v>
      </c>
      <c r="K48" s="372" t="s">
        <v>958</v>
      </c>
      <c r="L48" s="374" t="s">
        <v>944</v>
      </c>
      <c r="M48" s="372" t="s">
        <v>960</v>
      </c>
      <c r="N48" s="374" t="s">
        <v>944</v>
      </c>
      <c r="O48" s="374" t="s">
        <v>944</v>
      </c>
      <c r="P48" s="374" t="s">
        <v>944</v>
      </c>
      <c r="Q48" s="374" t="s">
        <v>944</v>
      </c>
      <c r="R48" s="374" t="s">
        <v>944</v>
      </c>
      <c r="S48" s="413" t="s">
        <v>944</v>
      </c>
    </row>
    <row r="49" spans="2:21" x14ac:dyDescent="0.35">
      <c r="B49" s="175">
        <v>2025</v>
      </c>
      <c r="C49" s="377" t="s">
        <v>952</v>
      </c>
      <c r="D49" s="374" t="s">
        <v>944</v>
      </c>
      <c r="E49" s="390" t="s">
        <v>236</v>
      </c>
      <c r="F49" s="374" t="s">
        <v>944</v>
      </c>
      <c r="G49" s="372" t="s">
        <v>305</v>
      </c>
      <c r="H49" s="374" t="s">
        <v>944</v>
      </c>
      <c r="I49" s="374" t="s">
        <v>944</v>
      </c>
      <c r="J49" s="374" t="s">
        <v>944</v>
      </c>
      <c r="K49" s="372" t="s">
        <v>958</v>
      </c>
      <c r="L49" s="374" t="s">
        <v>944</v>
      </c>
      <c r="M49" s="372" t="s">
        <v>960</v>
      </c>
      <c r="N49" s="374" t="s">
        <v>944</v>
      </c>
      <c r="O49" s="374" t="s">
        <v>944</v>
      </c>
      <c r="P49" s="374" t="s">
        <v>944</v>
      </c>
      <c r="Q49" s="374" t="s">
        <v>944</v>
      </c>
      <c r="R49" s="374" t="s">
        <v>944</v>
      </c>
      <c r="S49" s="413" t="s">
        <v>944</v>
      </c>
    </row>
    <row r="50" spans="2:21" x14ac:dyDescent="0.35">
      <c r="B50" s="175">
        <v>2026</v>
      </c>
      <c r="C50" s="4" t="s">
        <v>945</v>
      </c>
      <c r="D50" s="7" t="s">
        <v>944</v>
      </c>
      <c r="E50" s="392" t="s">
        <v>236</v>
      </c>
      <c r="F50" s="7" t="s">
        <v>944</v>
      </c>
      <c r="G50" s="7" t="s">
        <v>944</v>
      </c>
      <c r="H50" s="7" t="s">
        <v>944</v>
      </c>
      <c r="I50" s="7" t="s">
        <v>944</v>
      </c>
      <c r="J50" s="7" t="s">
        <v>944</v>
      </c>
      <c r="K50" s="2" t="s">
        <v>958</v>
      </c>
      <c r="L50" s="7" t="s">
        <v>944</v>
      </c>
      <c r="M50" s="2" t="s">
        <v>960</v>
      </c>
      <c r="N50" s="7" t="s">
        <v>944</v>
      </c>
      <c r="O50" s="7" t="s">
        <v>944</v>
      </c>
      <c r="P50" s="7" t="s">
        <v>944</v>
      </c>
      <c r="Q50" s="7" t="s">
        <v>944</v>
      </c>
      <c r="R50" s="7" t="s">
        <v>944</v>
      </c>
      <c r="S50" s="414" t="s">
        <v>944</v>
      </c>
      <c r="U50" s="2"/>
    </row>
    <row r="51" spans="2:21" x14ac:dyDescent="0.35">
      <c r="B51" s="175">
        <v>2027</v>
      </c>
      <c r="C51" s="4" t="s">
        <v>945</v>
      </c>
      <c r="D51" s="7" t="s">
        <v>944</v>
      </c>
      <c r="E51" s="214" t="s">
        <v>946</v>
      </c>
      <c r="F51" s="7" t="s">
        <v>944</v>
      </c>
      <c r="G51" s="7" t="s">
        <v>944</v>
      </c>
      <c r="H51" s="7" t="s">
        <v>944</v>
      </c>
      <c r="I51" s="7" t="s">
        <v>944</v>
      </c>
      <c r="J51" s="7" t="s">
        <v>944</v>
      </c>
      <c r="K51" s="2" t="s">
        <v>958</v>
      </c>
      <c r="L51" s="7" t="s">
        <v>944</v>
      </c>
      <c r="M51" s="2" t="s">
        <v>960</v>
      </c>
      <c r="N51" s="7" t="s">
        <v>944</v>
      </c>
      <c r="O51" s="7" t="s">
        <v>944</v>
      </c>
      <c r="P51" s="7" t="s">
        <v>944</v>
      </c>
      <c r="Q51" s="7" t="s">
        <v>944</v>
      </c>
      <c r="R51" s="7" t="s">
        <v>944</v>
      </c>
      <c r="S51" s="414" t="s">
        <v>944</v>
      </c>
    </row>
    <row r="52" spans="2:21" x14ac:dyDescent="0.35">
      <c r="B52" s="175">
        <v>2028</v>
      </c>
      <c r="C52" s="4" t="s">
        <v>945</v>
      </c>
      <c r="D52" s="7" t="s">
        <v>944</v>
      </c>
      <c r="E52" s="214" t="s">
        <v>946</v>
      </c>
      <c r="F52" s="7" t="s">
        <v>944</v>
      </c>
      <c r="G52" s="7" t="s">
        <v>944</v>
      </c>
      <c r="H52" s="7" t="s">
        <v>944</v>
      </c>
      <c r="I52" s="7" t="s">
        <v>944</v>
      </c>
      <c r="J52" s="7" t="s">
        <v>944</v>
      </c>
      <c r="K52" s="2" t="s">
        <v>958</v>
      </c>
      <c r="L52" s="7" t="s">
        <v>944</v>
      </c>
      <c r="M52" s="2" t="s">
        <v>960</v>
      </c>
      <c r="N52" s="7" t="s">
        <v>944</v>
      </c>
      <c r="O52" s="7" t="s">
        <v>944</v>
      </c>
      <c r="P52" s="7" t="s">
        <v>944</v>
      </c>
      <c r="Q52" s="7" t="s">
        <v>944</v>
      </c>
      <c r="R52" s="7" t="s">
        <v>944</v>
      </c>
      <c r="S52" s="414" t="s">
        <v>944</v>
      </c>
    </row>
    <row r="53" spans="2:21" x14ac:dyDescent="0.35">
      <c r="B53" s="381">
        <v>2029</v>
      </c>
      <c r="C53" s="143" t="s">
        <v>945</v>
      </c>
      <c r="D53" s="129" t="s">
        <v>944</v>
      </c>
      <c r="E53" s="215" t="s">
        <v>946</v>
      </c>
      <c r="F53" s="129" t="s">
        <v>944</v>
      </c>
      <c r="G53" s="129" t="s">
        <v>944</v>
      </c>
      <c r="H53" s="129" t="s">
        <v>944</v>
      </c>
      <c r="I53" s="129" t="s">
        <v>944</v>
      </c>
      <c r="J53" s="129" t="s">
        <v>944</v>
      </c>
      <c r="K53" s="128" t="s">
        <v>958</v>
      </c>
      <c r="L53" s="129" t="s">
        <v>944</v>
      </c>
      <c r="M53" s="128" t="s">
        <v>960</v>
      </c>
      <c r="N53" s="129" t="s">
        <v>944</v>
      </c>
      <c r="O53" s="129" t="s">
        <v>944</v>
      </c>
      <c r="P53" s="129" t="s">
        <v>944</v>
      </c>
      <c r="Q53" s="129" t="s">
        <v>944</v>
      </c>
      <c r="R53" s="129" t="s">
        <v>944</v>
      </c>
      <c r="S53" s="415" t="s">
        <v>944</v>
      </c>
    </row>
    <row r="54" spans="2:21" x14ac:dyDescent="0.35">
      <c r="B54" s="175">
        <v>2030</v>
      </c>
      <c r="C54" s="4" t="s">
        <v>945</v>
      </c>
      <c r="D54" s="7" t="s">
        <v>944</v>
      </c>
      <c r="E54" s="214" t="s">
        <v>946</v>
      </c>
      <c r="F54" s="7" t="s">
        <v>944</v>
      </c>
      <c r="G54" s="7" t="s">
        <v>944</v>
      </c>
      <c r="H54" s="7" t="s">
        <v>944</v>
      </c>
      <c r="I54" s="7" t="s">
        <v>944</v>
      </c>
      <c r="J54" s="7" t="s">
        <v>944</v>
      </c>
      <c r="K54" s="2" t="s">
        <v>958</v>
      </c>
      <c r="L54" s="7" t="s">
        <v>944</v>
      </c>
      <c r="M54" s="2" t="s">
        <v>960</v>
      </c>
      <c r="N54" s="7" t="s">
        <v>944</v>
      </c>
      <c r="O54" s="7" t="s">
        <v>944</v>
      </c>
      <c r="P54" s="7" t="s">
        <v>944</v>
      </c>
      <c r="Q54" s="7" t="s">
        <v>944</v>
      </c>
      <c r="R54" s="76" t="s">
        <v>964</v>
      </c>
      <c r="S54" s="414" t="s">
        <v>944</v>
      </c>
    </row>
    <row r="55" spans="2:21" x14ac:dyDescent="0.35">
      <c r="B55" s="175">
        <v>2031</v>
      </c>
      <c r="C55" s="4" t="s">
        <v>945</v>
      </c>
      <c r="D55" s="7" t="s">
        <v>944</v>
      </c>
      <c r="E55" s="214" t="s">
        <v>946</v>
      </c>
      <c r="F55" s="7" t="s">
        <v>944</v>
      </c>
      <c r="G55" s="7" t="s">
        <v>944</v>
      </c>
      <c r="H55" s="7" t="s">
        <v>944</v>
      </c>
      <c r="I55" s="7" t="s">
        <v>944</v>
      </c>
      <c r="J55" s="7" t="s">
        <v>944</v>
      </c>
      <c r="K55" s="2" t="s">
        <v>958</v>
      </c>
      <c r="L55" s="7" t="s">
        <v>944</v>
      </c>
      <c r="M55" s="2" t="s">
        <v>960</v>
      </c>
      <c r="N55" s="7" t="s">
        <v>944</v>
      </c>
      <c r="O55" s="7" t="s">
        <v>944</v>
      </c>
      <c r="P55" s="7" t="s">
        <v>944</v>
      </c>
      <c r="Q55" s="7" t="s">
        <v>944</v>
      </c>
      <c r="R55" s="7" t="s">
        <v>944</v>
      </c>
      <c r="S55" s="414" t="s">
        <v>944</v>
      </c>
    </row>
    <row r="56" spans="2:21" x14ac:dyDescent="0.35">
      <c r="B56" s="175">
        <v>2032</v>
      </c>
      <c r="C56" s="4" t="s">
        <v>945</v>
      </c>
      <c r="D56" s="7" t="s">
        <v>944</v>
      </c>
      <c r="E56" s="214" t="s">
        <v>946</v>
      </c>
      <c r="F56" s="7" t="s">
        <v>944</v>
      </c>
      <c r="G56" s="7" t="s">
        <v>944</v>
      </c>
      <c r="H56" s="7" t="s">
        <v>944</v>
      </c>
      <c r="I56" s="7" t="s">
        <v>944</v>
      </c>
      <c r="J56" s="7" t="s">
        <v>944</v>
      </c>
      <c r="K56" s="2" t="s">
        <v>958</v>
      </c>
      <c r="L56" s="7" t="s">
        <v>944</v>
      </c>
      <c r="M56" s="2" t="s">
        <v>960</v>
      </c>
      <c r="N56" s="7" t="s">
        <v>944</v>
      </c>
      <c r="O56" s="7" t="s">
        <v>944</v>
      </c>
      <c r="P56" s="7" t="s">
        <v>944</v>
      </c>
      <c r="Q56" s="7" t="s">
        <v>944</v>
      </c>
      <c r="R56" s="7" t="s">
        <v>944</v>
      </c>
      <c r="S56" s="414" t="s">
        <v>944</v>
      </c>
    </row>
    <row r="57" spans="2:21" x14ac:dyDescent="0.35">
      <c r="B57" s="175">
        <v>2033</v>
      </c>
      <c r="C57" s="4" t="s">
        <v>945</v>
      </c>
      <c r="D57" s="7" t="s">
        <v>944</v>
      </c>
      <c r="E57" s="214" t="s">
        <v>946</v>
      </c>
      <c r="F57" s="7" t="s">
        <v>944</v>
      </c>
      <c r="G57" s="7" t="s">
        <v>944</v>
      </c>
      <c r="H57" s="7" t="s">
        <v>944</v>
      </c>
      <c r="I57" s="7" t="s">
        <v>944</v>
      </c>
      <c r="J57" s="7" t="s">
        <v>944</v>
      </c>
      <c r="K57" s="2" t="s">
        <v>958</v>
      </c>
      <c r="L57" s="7" t="s">
        <v>944</v>
      </c>
      <c r="M57" s="2" t="s">
        <v>960</v>
      </c>
      <c r="N57" s="7" t="s">
        <v>944</v>
      </c>
      <c r="O57" s="7" t="s">
        <v>944</v>
      </c>
      <c r="P57" s="7" t="s">
        <v>944</v>
      </c>
      <c r="Q57" s="7" t="s">
        <v>944</v>
      </c>
      <c r="R57" s="7" t="s">
        <v>944</v>
      </c>
      <c r="S57" s="414" t="s">
        <v>944</v>
      </c>
    </row>
    <row r="58" spans="2:21" x14ac:dyDescent="0.35">
      <c r="B58" s="175">
        <v>2034</v>
      </c>
      <c r="C58" s="4" t="s">
        <v>945</v>
      </c>
      <c r="D58" s="7" t="s">
        <v>944</v>
      </c>
      <c r="E58" s="214" t="s">
        <v>946</v>
      </c>
      <c r="F58" s="7" t="s">
        <v>944</v>
      </c>
      <c r="G58" s="7" t="s">
        <v>944</v>
      </c>
      <c r="H58" s="7" t="s">
        <v>944</v>
      </c>
      <c r="I58" s="7" t="s">
        <v>944</v>
      </c>
      <c r="J58" s="7" t="s">
        <v>944</v>
      </c>
      <c r="K58" s="2" t="s">
        <v>958</v>
      </c>
      <c r="L58" s="7" t="s">
        <v>944</v>
      </c>
      <c r="M58" s="2" t="s">
        <v>960</v>
      </c>
      <c r="N58" s="7" t="s">
        <v>944</v>
      </c>
      <c r="O58" s="7" t="s">
        <v>944</v>
      </c>
      <c r="P58" s="7" t="s">
        <v>944</v>
      </c>
      <c r="Q58" s="7" t="s">
        <v>944</v>
      </c>
      <c r="R58" s="76" t="s">
        <v>965</v>
      </c>
      <c r="S58" s="414" t="s">
        <v>944</v>
      </c>
    </row>
    <row r="59" spans="2:21" x14ac:dyDescent="0.35">
      <c r="B59" s="175">
        <v>2035</v>
      </c>
      <c r="C59" s="4" t="s">
        <v>945</v>
      </c>
      <c r="D59" s="7" t="s">
        <v>944</v>
      </c>
      <c r="E59" s="214" t="s">
        <v>946</v>
      </c>
      <c r="F59" s="7" t="s">
        <v>944</v>
      </c>
      <c r="G59" s="7" t="s">
        <v>944</v>
      </c>
      <c r="H59" s="7" t="s">
        <v>944</v>
      </c>
      <c r="I59" s="7" t="s">
        <v>944</v>
      </c>
      <c r="J59" s="7" t="s">
        <v>944</v>
      </c>
      <c r="K59" s="2" t="s">
        <v>958</v>
      </c>
      <c r="L59" s="7" t="s">
        <v>944</v>
      </c>
      <c r="M59" s="2" t="s">
        <v>960</v>
      </c>
      <c r="N59" s="7" t="s">
        <v>944</v>
      </c>
      <c r="O59" s="7" t="s">
        <v>944</v>
      </c>
      <c r="P59" s="7" t="s">
        <v>944</v>
      </c>
      <c r="Q59" s="7" t="s">
        <v>944</v>
      </c>
      <c r="R59" s="7" t="s">
        <v>944</v>
      </c>
      <c r="S59" s="414" t="s">
        <v>944</v>
      </c>
    </row>
    <row r="60" spans="2:21" x14ac:dyDescent="0.35">
      <c r="B60" s="175">
        <v>2036</v>
      </c>
      <c r="C60" s="4" t="s">
        <v>945</v>
      </c>
      <c r="D60" s="7" t="s">
        <v>944</v>
      </c>
      <c r="E60" s="214" t="s">
        <v>946</v>
      </c>
      <c r="F60" s="7" t="s">
        <v>944</v>
      </c>
      <c r="G60" s="7" t="s">
        <v>944</v>
      </c>
      <c r="H60" s="7" t="s">
        <v>944</v>
      </c>
      <c r="I60" s="7" t="s">
        <v>944</v>
      </c>
      <c r="J60" s="7" t="s">
        <v>944</v>
      </c>
      <c r="K60" s="2" t="s">
        <v>958</v>
      </c>
      <c r="L60" s="7" t="s">
        <v>944</v>
      </c>
      <c r="M60" s="2" t="s">
        <v>960</v>
      </c>
      <c r="N60" s="7" t="s">
        <v>944</v>
      </c>
      <c r="O60" s="7" t="s">
        <v>944</v>
      </c>
      <c r="P60" s="7" t="s">
        <v>944</v>
      </c>
      <c r="Q60" s="7" t="s">
        <v>944</v>
      </c>
      <c r="R60" s="7" t="s">
        <v>944</v>
      </c>
      <c r="S60" s="414" t="s">
        <v>944</v>
      </c>
    </row>
    <row r="61" spans="2:21" x14ac:dyDescent="0.35">
      <c r="B61" s="175">
        <v>2037</v>
      </c>
      <c r="C61" s="4" t="s">
        <v>945</v>
      </c>
      <c r="D61" s="7" t="s">
        <v>944</v>
      </c>
      <c r="E61" s="214" t="s">
        <v>946</v>
      </c>
      <c r="F61" s="7" t="s">
        <v>944</v>
      </c>
      <c r="G61" s="7" t="s">
        <v>944</v>
      </c>
      <c r="H61" s="7" t="s">
        <v>944</v>
      </c>
      <c r="I61" s="7" t="s">
        <v>944</v>
      </c>
      <c r="J61" s="7" t="s">
        <v>944</v>
      </c>
      <c r="K61" s="2" t="s">
        <v>958</v>
      </c>
      <c r="L61" s="7" t="s">
        <v>944</v>
      </c>
      <c r="M61" s="2" t="s">
        <v>960</v>
      </c>
      <c r="N61" s="7" t="s">
        <v>944</v>
      </c>
      <c r="O61" s="7" t="s">
        <v>944</v>
      </c>
      <c r="P61" s="7" t="s">
        <v>944</v>
      </c>
      <c r="Q61" s="7" t="s">
        <v>944</v>
      </c>
      <c r="R61" s="7" t="s">
        <v>944</v>
      </c>
      <c r="S61" s="414" t="s">
        <v>944</v>
      </c>
    </row>
    <row r="62" spans="2:21" x14ac:dyDescent="0.35">
      <c r="B62" s="175">
        <v>2038</v>
      </c>
      <c r="C62" s="4" t="s">
        <v>945</v>
      </c>
      <c r="D62" s="7" t="s">
        <v>944</v>
      </c>
      <c r="E62" s="214" t="s">
        <v>946</v>
      </c>
      <c r="F62" s="7" t="s">
        <v>944</v>
      </c>
      <c r="G62" s="7" t="s">
        <v>944</v>
      </c>
      <c r="H62" s="7" t="s">
        <v>944</v>
      </c>
      <c r="I62" s="7" t="s">
        <v>944</v>
      </c>
      <c r="J62" s="7" t="s">
        <v>944</v>
      </c>
      <c r="K62" s="2" t="s">
        <v>958</v>
      </c>
      <c r="L62" s="7" t="s">
        <v>944</v>
      </c>
      <c r="M62" s="2" t="s">
        <v>960</v>
      </c>
      <c r="N62" s="7" t="s">
        <v>944</v>
      </c>
      <c r="O62" s="7" t="s">
        <v>944</v>
      </c>
      <c r="P62" s="7" t="s">
        <v>944</v>
      </c>
      <c r="Q62" s="7" t="s">
        <v>944</v>
      </c>
      <c r="R62" s="76" t="s">
        <v>966</v>
      </c>
      <c r="S62" s="414" t="s">
        <v>944</v>
      </c>
    </row>
    <row r="63" spans="2:21" x14ac:dyDescent="0.35">
      <c r="B63" s="175">
        <v>2039</v>
      </c>
      <c r="C63" s="4" t="s">
        <v>945</v>
      </c>
      <c r="D63" s="7" t="s">
        <v>944</v>
      </c>
      <c r="E63" s="214" t="s">
        <v>946</v>
      </c>
      <c r="F63" s="7" t="s">
        <v>944</v>
      </c>
      <c r="G63" s="7" t="s">
        <v>944</v>
      </c>
      <c r="H63" s="7" t="s">
        <v>944</v>
      </c>
      <c r="I63" s="7" t="s">
        <v>944</v>
      </c>
      <c r="J63" s="7" t="s">
        <v>944</v>
      </c>
      <c r="K63" s="2" t="s">
        <v>959</v>
      </c>
      <c r="L63" s="7" t="s">
        <v>944</v>
      </c>
      <c r="M63" s="2" t="s">
        <v>960</v>
      </c>
      <c r="N63" s="7" t="s">
        <v>944</v>
      </c>
      <c r="O63" s="7" t="s">
        <v>944</v>
      </c>
      <c r="P63" s="7" t="s">
        <v>944</v>
      </c>
      <c r="Q63" s="7" t="s">
        <v>944</v>
      </c>
      <c r="R63" s="7" t="s">
        <v>944</v>
      </c>
      <c r="S63" s="414" t="s">
        <v>944</v>
      </c>
    </row>
    <row r="64" spans="2:21" x14ac:dyDescent="0.35">
      <c r="B64" s="175">
        <v>2040</v>
      </c>
      <c r="C64" s="4" t="s">
        <v>945</v>
      </c>
      <c r="D64" s="7" t="s">
        <v>944</v>
      </c>
      <c r="E64" s="214" t="s">
        <v>946</v>
      </c>
      <c r="F64" s="7" t="s">
        <v>944</v>
      </c>
      <c r="G64" s="7" t="s">
        <v>944</v>
      </c>
      <c r="H64" s="7" t="s">
        <v>944</v>
      </c>
      <c r="I64" s="7" t="s">
        <v>944</v>
      </c>
      <c r="J64" s="7" t="s">
        <v>944</v>
      </c>
      <c r="K64" s="2" t="s">
        <v>959</v>
      </c>
      <c r="L64" s="7" t="s">
        <v>944</v>
      </c>
      <c r="M64" s="2" t="s">
        <v>960</v>
      </c>
      <c r="N64" s="7" t="s">
        <v>944</v>
      </c>
      <c r="O64" s="7" t="s">
        <v>944</v>
      </c>
      <c r="P64" s="7" t="s">
        <v>944</v>
      </c>
      <c r="Q64" s="7" t="s">
        <v>944</v>
      </c>
      <c r="R64" s="7" t="s">
        <v>944</v>
      </c>
      <c r="S64" s="414" t="s">
        <v>944</v>
      </c>
    </row>
    <row r="65" spans="2:19" x14ac:dyDescent="0.35">
      <c r="B65" s="175">
        <v>2041</v>
      </c>
      <c r="C65" s="4" t="s">
        <v>945</v>
      </c>
      <c r="D65" s="7" t="s">
        <v>944</v>
      </c>
      <c r="E65" s="214" t="s">
        <v>946</v>
      </c>
      <c r="F65" s="7" t="s">
        <v>944</v>
      </c>
      <c r="G65" s="7" t="s">
        <v>944</v>
      </c>
      <c r="H65" s="7" t="s">
        <v>944</v>
      </c>
      <c r="I65" s="7" t="s">
        <v>944</v>
      </c>
      <c r="J65" s="7" t="s">
        <v>944</v>
      </c>
      <c r="K65" s="2" t="s">
        <v>959</v>
      </c>
      <c r="L65" s="7" t="s">
        <v>944</v>
      </c>
      <c r="M65" s="2" t="s">
        <v>960</v>
      </c>
      <c r="N65" s="7" t="s">
        <v>944</v>
      </c>
      <c r="O65" s="7" t="s">
        <v>944</v>
      </c>
      <c r="P65" s="7" t="s">
        <v>944</v>
      </c>
      <c r="Q65" s="7" t="s">
        <v>944</v>
      </c>
      <c r="R65" s="7" t="s">
        <v>944</v>
      </c>
      <c r="S65" s="414" t="s">
        <v>944</v>
      </c>
    </row>
    <row r="66" spans="2:19" x14ac:dyDescent="0.35">
      <c r="B66" s="175">
        <v>2042</v>
      </c>
      <c r="C66" s="4" t="s">
        <v>945</v>
      </c>
      <c r="D66" s="7" t="s">
        <v>944</v>
      </c>
      <c r="E66" s="214" t="s">
        <v>946</v>
      </c>
      <c r="F66" s="7" t="s">
        <v>944</v>
      </c>
      <c r="G66" s="7" t="s">
        <v>944</v>
      </c>
      <c r="H66" s="7" t="s">
        <v>944</v>
      </c>
      <c r="I66" s="7" t="s">
        <v>944</v>
      </c>
      <c r="J66" s="7" t="s">
        <v>944</v>
      </c>
      <c r="K66" s="2" t="s">
        <v>959</v>
      </c>
      <c r="L66" s="7" t="s">
        <v>944</v>
      </c>
      <c r="M66" s="2" t="s">
        <v>960</v>
      </c>
      <c r="N66" s="7" t="s">
        <v>944</v>
      </c>
      <c r="O66" s="7" t="s">
        <v>944</v>
      </c>
      <c r="P66" s="7" t="s">
        <v>944</v>
      </c>
      <c r="Q66" s="7" t="s">
        <v>944</v>
      </c>
      <c r="R66" s="76" t="s">
        <v>967</v>
      </c>
      <c r="S66" s="414" t="s">
        <v>944</v>
      </c>
    </row>
    <row r="67" spans="2:19" x14ac:dyDescent="0.35">
      <c r="B67" s="175">
        <v>2043</v>
      </c>
      <c r="C67" s="4" t="s">
        <v>945</v>
      </c>
      <c r="D67" s="7" t="s">
        <v>944</v>
      </c>
      <c r="E67" s="214" t="s">
        <v>946</v>
      </c>
      <c r="F67" s="7" t="s">
        <v>944</v>
      </c>
      <c r="G67" s="7" t="s">
        <v>944</v>
      </c>
      <c r="H67" s="7" t="s">
        <v>944</v>
      </c>
      <c r="I67" s="7" t="s">
        <v>944</v>
      </c>
      <c r="J67" s="7" t="s">
        <v>944</v>
      </c>
      <c r="K67" s="2" t="s">
        <v>959</v>
      </c>
      <c r="L67" s="7" t="s">
        <v>944</v>
      </c>
      <c r="M67" s="2" t="s">
        <v>960</v>
      </c>
      <c r="N67" s="7" t="s">
        <v>944</v>
      </c>
      <c r="O67" s="7" t="s">
        <v>944</v>
      </c>
      <c r="P67" s="7" t="s">
        <v>944</v>
      </c>
      <c r="Q67" s="7" t="s">
        <v>944</v>
      </c>
      <c r="R67" s="7" t="s">
        <v>944</v>
      </c>
      <c r="S67" s="414" t="s">
        <v>944</v>
      </c>
    </row>
    <row r="68" spans="2:19" x14ac:dyDescent="0.35">
      <c r="B68" s="175">
        <v>2044</v>
      </c>
      <c r="C68" s="4" t="s">
        <v>945</v>
      </c>
      <c r="D68" s="7" t="s">
        <v>944</v>
      </c>
      <c r="E68" s="214" t="s">
        <v>946</v>
      </c>
      <c r="F68" s="7" t="s">
        <v>944</v>
      </c>
      <c r="G68" s="7" t="s">
        <v>944</v>
      </c>
      <c r="H68" s="7" t="s">
        <v>944</v>
      </c>
      <c r="I68" s="7" t="s">
        <v>944</v>
      </c>
      <c r="J68" s="7" t="s">
        <v>944</v>
      </c>
      <c r="K68" s="2" t="s">
        <v>959</v>
      </c>
      <c r="L68" s="7" t="s">
        <v>944</v>
      </c>
      <c r="M68" s="2" t="s">
        <v>960</v>
      </c>
      <c r="N68" s="7" t="s">
        <v>944</v>
      </c>
      <c r="O68" s="7" t="s">
        <v>944</v>
      </c>
      <c r="P68" s="7" t="s">
        <v>944</v>
      </c>
      <c r="Q68" s="7" t="s">
        <v>944</v>
      </c>
      <c r="R68" s="7" t="s">
        <v>944</v>
      </c>
      <c r="S68" s="414" t="s">
        <v>944</v>
      </c>
    </row>
    <row r="69" spans="2:19" ht="15" thickBot="1" x14ac:dyDescent="0.4">
      <c r="B69" s="382">
        <v>2045</v>
      </c>
      <c r="C69" s="154" t="s">
        <v>945</v>
      </c>
      <c r="D69" s="196" t="s">
        <v>944</v>
      </c>
      <c r="E69" s="216" t="s">
        <v>946</v>
      </c>
      <c r="F69" s="196" t="s">
        <v>944</v>
      </c>
      <c r="G69" s="196" t="s">
        <v>944</v>
      </c>
      <c r="H69" s="196" t="s">
        <v>944</v>
      </c>
      <c r="I69" s="196" t="s">
        <v>944</v>
      </c>
      <c r="J69" s="196" t="s">
        <v>944</v>
      </c>
      <c r="K69" s="155" t="s">
        <v>959</v>
      </c>
      <c r="L69" s="196" t="s">
        <v>944</v>
      </c>
      <c r="M69" s="155" t="s">
        <v>960</v>
      </c>
      <c r="N69" s="196" t="s">
        <v>944</v>
      </c>
      <c r="O69" s="196" t="s">
        <v>944</v>
      </c>
      <c r="P69" s="196" t="s">
        <v>944</v>
      </c>
      <c r="Q69" s="196" t="s">
        <v>944</v>
      </c>
      <c r="R69" s="196" t="s">
        <v>944</v>
      </c>
      <c r="S69" s="416" t="s">
        <v>944</v>
      </c>
    </row>
    <row r="70" spans="2:19" ht="15" thickTop="1" x14ac:dyDescent="0.35"/>
  </sheetData>
  <phoneticPr fontId="4" type="noConversion"/>
  <hyperlinks>
    <hyperlink ref="X10" r:id="rId1" xr:uid="{5DC9C839-93DE-4E12-B54B-94AB45C2186B}"/>
    <hyperlink ref="K47" r:id="rId2" xr:uid="{13368AEB-5578-419B-8207-FF7AF91FACBF}"/>
    <hyperlink ref="S46" r:id="rId3" xr:uid="{7764F985-0FBB-425F-A70C-EEF1F37D577C}"/>
    <hyperlink ref="Q42" r:id="rId4" xr:uid="{511E3B56-702E-4715-9F87-8AA89A5FEA24}"/>
    <hyperlink ref="D46" r:id="rId5" xr:uid="{9CB5FE3D-BFF1-490C-8715-1FEE7ECDE38A}"/>
    <hyperlink ref="F47" r:id="rId6" xr:uid="{F7D8C16C-F157-4C03-8AAF-DCAC4ED563DF}"/>
    <hyperlink ref="C48" r:id="rId7" xr:uid="{2CF67056-FB9A-45D5-84B3-A5D1CDE917AC}"/>
    <hyperlink ref="F46" r:id="rId8" xr:uid="{37FC3B3A-CF47-47FC-876F-0D4DE4122DDD}"/>
    <hyperlink ref="M46" r:id="rId9" xr:uid="{AF402A85-A9B5-4724-AB71-21CADAB0F029}"/>
  </hyperlinks>
  <pageMargins left="0.7" right="0.7" top="0.75" bottom="0.75" header="0.3" footer="0.3"/>
  <pageSetup paperSize="9" orientation="portrait" verticalDpi="0"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4"/>
  <sheetViews>
    <sheetView workbookViewId="0">
      <pane xSplit="2" ySplit="11" topLeftCell="C12" activePane="bottomRight" state="frozen"/>
      <selection pane="topRight" activeCell="C1" sqref="C1"/>
      <selection pane="bottomLeft" activeCell="A15" sqref="A15"/>
      <selection pane="bottomRight"/>
    </sheetView>
  </sheetViews>
  <sheetFormatPr defaultRowHeight="14.5" x14ac:dyDescent="0.35"/>
  <cols>
    <col min="1" max="1" width="6.81640625" customWidth="1"/>
    <col min="2" max="2" width="5.90625" customWidth="1"/>
    <col min="3" max="3" width="23.81640625" customWidth="1"/>
    <col min="4" max="4" width="10.08984375" customWidth="1"/>
    <col min="5" max="5" width="16.54296875" customWidth="1"/>
    <col min="6" max="6" width="9.1796875" customWidth="1"/>
    <col min="7" max="7" width="7" customWidth="1"/>
    <col min="8" max="8" width="10.36328125" customWidth="1"/>
    <col min="9" max="9" width="15.26953125" customWidth="1"/>
    <col min="10" max="10" width="6.36328125" customWidth="1"/>
    <col min="11" max="12" width="10.08984375" customWidth="1"/>
    <col min="13" max="14" width="5" customWidth="1"/>
    <col min="15" max="15" width="6.08984375" customWidth="1"/>
    <col min="16" max="16" width="23.81640625" customWidth="1"/>
    <col min="17" max="17" width="9.81640625" customWidth="1"/>
    <col min="18" max="18" width="17.453125" customWidth="1"/>
    <col min="19" max="19" width="8.1796875" customWidth="1"/>
    <col min="20" max="20" width="8.36328125" customWidth="1"/>
    <col min="21" max="21" width="9.90625" customWidth="1"/>
    <col min="22" max="23" width="4.26953125" customWidth="1"/>
    <col min="24" max="24" width="6.1796875" customWidth="1"/>
    <col min="25" max="25" width="22.81640625" customWidth="1"/>
    <col min="26" max="26" width="9.54296875" customWidth="1"/>
    <col min="27" max="27" width="19.7265625" customWidth="1"/>
    <col min="28" max="28" width="9.08984375" customWidth="1"/>
    <col min="30" max="30" width="9.54296875" customWidth="1"/>
    <col min="33" max="33" width="40" customWidth="1"/>
    <col min="36" max="36" width="17.54296875" customWidth="1"/>
  </cols>
  <sheetData>
    <row r="1" spans="1:34" ht="28.5" x14ac:dyDescent="0.65">
      <c r="A1" s="9" t="str">
        <f>AI_Models!A1</f>
        <v>New AI chips by Nvidia will cause Russia to lose war in Ukraine #72/99</v>
      </c>
    </row>
    <row r="2" spans="1:34" ht="15.5" x14ac:dyDescent="0.35">
      <c r="A2" s="10" t="s">
        <v>11</v>
      </c>
      <c r="C2" s="7"/>
    </row>
    <row r="3" spans="1:34" ht="15.5" x14ac:dyDescent="0.35">
      <c r="A3" s="615" t="str">
        <f>AI_Models!A3</f>
        <v>Links to all sources are available in sources table below</v>
      </c>
      <c r="B3" s="616"/>
      <c r="C3" s="616"/>
      <c r="D3" s="616"/>
      <c r="E3" s="616"/>
      <c r="F3" s="616"/>
      <c r="AH3" s="3"/>
    </row>
    <row r="4" spans="1:34" s="354" customFormat="1" ht="21.5" thickBot="1" x14ac:dyDescent="0.55000000000000004">
      <c r="B4" s="353" t="s">
        <v>559</v>
      </c>
      <c r="O4" s="353" t="s">
        <v>560</v>
      </c>
      <c r="Q4" s="353"/>
      <c r="X4" s="353" t="s">
        <v>561</v>
      </c>
      <c r="Z4" s="353"/>
    </row>
    <row r="5" spans="1:34" ht="15" thickTop="1" x14ac:dyDescent="0.35">
      <c r="B5" s="67" t="s">
        <v>7</v>
      </c>
      <c r="C5" s="68" t="s">
        <v>289</v>
      </c>
      <c r="D5" s="68" t="s">
        <v>409</v>
      </c>
      <c r="E5" s="68" t="s">
        <v>270</v>
      </c>
      <c r="F5" s="68" t="s">
        <v>294</v>
      </c>
      <c r="G5" s="68" t="s">
        <v>313</v>
      </c>
      <c r="H5" s="68" t="s">
        <v>314</v>
      </c>
      <c r="I5" s="68" t="s">
        <v>315</v>
      </c>
      <c r="J5" s="68" t="s">
        <v>317</v>
      </c>
      <c r="K5" s="68" t="s">
        <v>290</v>
      </c>
      <c r="L5" s="69" t="s">
        <v>290</v>
      </c>
      <c r="O5" s="67" t="s">
        <v>7</v>
      </c>
      <c r="P5" s="68" t="s">
        <v>289</v>
      </c>
      <c r="Q5" s="68" t="s">
        <v>553</v>
      </c>
      <c r="R5" s="68" t="s">
        <v>270</v>
      </c>
      <c r="S5" s="68" t="s">
        <v>294</v>
      </c>
      <c r="T5" s="68" t="s">
        <v>318</v>
      </c>
      <c r="U5" s="69" t="s">
        <v>290</v>
      </c>
      <c r="X5" s="67" t="s">
        <v>7</v>
      </c>
      <c r="Y5" s="68" t="s">
        <v>13</v>
      </c>
      <c r="Z5" s="68" t="s">
        <v>553</v>
      </c>
      <c r="AA5" s="68" t="s">
        <v>270</v>
      </c>
      <c r="AB5" s="68" t="s">
        <v>294</v>
      </c>
      <c r="AC5" s="68" t="s">
        <v>319</v>
      </c>
      <c r="AD5" s="69" t="s">
        <v>290</v>
      </c>
    </row>
    <row r="6" spans="1:34" x14ac:dyDescent="0.35">
      <c r="B6" s="70">
        <v>1989</v>
      </c>
      <c r="C6" s="91" t="s">
        <v>293</v>
      </c>
      <c r="D6" s="91" t="s">
        <v>554</v>
      </c>
      <c r="E6" s="71">
        <v>1180235</v>
      </c>
      <c r="F6" s="71">
        <v>1000</v>
      </c>
      <c r="G6" s="190">
        <v>173</v>
      </c>
      <c r="H6" s="191">
        <f>(E6/E$41)/G6</f>
        <v>6.8221676300578033E-3</v>
      </c>
      <c r="I6" s="71">
        <f>E$40/(H6*E$41)</f>
        <v>146580977.51718935</v>
      </c>
      <c r="J6" s="71">
        <f>I6^(1/2)</f>
        <v>12107.063125183966</v>
      </c>
      <c r="K6" s="496" t="s">
        <v>937</v>
      </c>
      <c r="L6" s="122" t="s">
        <v>937</v>
      </c>
      <c r="O6" s="70">
        <v>1991</v>
      </c>
      <c r="P6" s="91" t="s">
        <v>292</v>
      </c>
      <c r="Q6" s="91" t="s">
        <v>554</v>
      </c>
      <c r="R6" s="71">
        <v>67108864</v>
      </c>
      <c r="S6" s="71">
        <v>400</v>
      </c>
      <c r="T6" s="91">
        <f>0.064/8</f>
        <v>8.0000000000000002E-3</v>
      </c>
      <c r="U6" s="122" t="s">
        <v>390</v>
      </c>
      <c r="X6" s="70">
        <v>1994</v>
      </c>
      <c r="Y6" s="91" t="s">
        <v>297</v>
      </c>
      <c r="Z6" s="91" t="s">
        <v>554</v>
      </c>
      <c r="AA6" s="71">
        <v>67108864</v>
      </c>
      <c r="AB6" s="71">
        <v>400</v>
      </c>
      <c r="AC6" s="91">
        <f>0.000064/8</f>
        <v>7.9999999999999996E-6</v>
      </c>
      <c r="AD6" s="122" t="s">
        <v>390</v>
      </c>
    </row>
    <row r="7" spans="1:34" ht="15" thickBot="1" x14ac:dyDescent="0.4">
      <c r="B7" s="70">
        <v>2023</v>
      </c>
      <c r="C7" s="91" t="s">
        <v>389</v>
      </c>
      <c r="D7" s="91" t="s">
        <v>552</v>
      </c>
      <c r="E7" s="71">
        <v>80000000000</v>
      </c>
      <c r="F7" s="71">
        <v>4</v>
      </c>
      <c r="G7" s="190">
        <v>814</v>
      </c>
      <c r="H7" s="71">
        <f>(E7/E$41)/G7</f>
        <v>98.280098280098287</v>
      </c>
      <c r="I7" s="71">
        <f>E$40/(H7*E$41)</f>
        <v>10174.999999999998</v>
      </c>
      <c r="J7" s="71">
        <f>I7^(1/2)</f>
        <v>100.87120500916006</v>
      </c>
      <c r="K7" s="496" t="s">
        <v>1035</v>
      </c>
      <c r="L7" s="122" t="s">
        <v>1035</v>
      </c>
      <c r="O7" s="70">
        <v>2018</v>
      </c>
      <c r="P7" s="91" t="s">
        <v>295</v>
      </c>
      <c r="Q7" s="91" t="s">
        <v>552</v>
      </c>
      <c r="R7" s="71">
        <v>137438953472</v>
      </c>
      <c r="S7" s="71">
        <v>10</v>
      </c>
      <c r="T7" s="91">
        <f>128/8</f>
        <v>16</v>
      </c>
      <c r="U7" s="122" t="s">
        <v>318</v>
      </c>
      <c r="X7" s="70">
        <v>2023</v>
      </c>
      <c r="Y7" s="91" t="s">
        <v>301</v>
      </c>
      <c r="Z7" s="91" t="s">
        <v>552</v>
      </c>
      <c r="AA7" s="71">
        <v>5333000000000</v>
      </c>
      <c r="AB7" s="71">
        <f>Calc_nm_Law!K24</f>
        <v>4.1106508732833182</v>
      </c>
      <c r="AC7" s="91">
        <f>16/8</f>
        <v>2</v>
      </c>
      <c r="AD7" s="122" t="s">
        <v>319</v>
      </c>
    </row>
    <row r="8" spans="1:34" ht="15" thickTop="1" x14ac:dyDescent="0.35">
      <c r="B8" s="433" t="s">
        <v>1019</v>
      </c>
      <c r="C8" s="492"/>
      <c r="D8" s="499" t="s">
        <v>45</v>
      </c>
      <c r="E8" s="499">
        <f t="shared" ref="E8:J8" si="0">((E7/E6)^(1/($B7-$B6)))-1</f>
        <v>0.38704901651406454</v>
      </c>
      <c r="F8" s="499">
        <f t="shared" si="0"/>
        <v>-0.14989542644125198</v>
      </c>
      <c r="G8" s="499">
        <f t="shared" si="0"/>
        <v>4.6602372183207397E-2</v>
      </c>
      <c r="H8" s="499">
        <f t="shared" si="0"/>
        <v>0.32528747629406474</v>
      </c>
      <c r="I8" s="499">
        <f t="shared" si="0"/>
        <v>-0.24544672919091814</v>
      </c>
      <c r="J8" s="499">
        <f t="shared" si="0"/>
        <v>-0.13134974195071936</v>
      </c>
      <c r="K8" s="499" t="s">
        <v>45</v>
      </c>
      <c r="L8" s="501" t="s">
        <v>45</v>
      </c>
      <c r="O8" s="433" t="s">
        <v>1041</v>
      </c>
      <c r="P8" s="443"/>
      <c r="Q8" s="499" t="s">
        <v>45</v>
      </c>
      <c r="R8" s="491">
        <f>((R7/R6)^(1/($O7-$O6)))-1</f>
        <v>0.32630024571767025</v>
      </c>
      <c r="S8" s="491">
        <f>((S7/S6)^(1/($O7-$O6)))-1</f>
        <v>-0.12770286761543237</v>
      </c>
      <c r="T8" s="491">
        <f>((T7/T6)^(1/($O7-$O6)))-1</f>
        <v>0.32513574852714422</v>
      </c>
      <c r="U8" s="501" t="s">
        <v>45</v>
      </c>
      <c r="X8" s="433" t="s">
        <v>1042</v>
      </c>
      <c r="Y8" s="443"/>
      <c r="Z8" s="499" t="s">
        <v>45</v>
      </c>
      <c r="AA8" s="436">
        <f>((AA7/AA6)^(1/($X7-$X6)))-1</f>
        <v>0.47561182710948535</v>
      </c>
      <c r="AB8" s="436">
        <f>((AB7/AB6)^(1/($X7-$X6)))-1</f>
        <v>-0.14602899714234385</v>
      </c>
      <c r="AC8" s="436">
        <f>((AC7/AC6)^(1/($X7-$X6)))-1</f>
        <v>0.53509713928722014</v>
      </c>
      <c r="AD8" s="518" t="s">
        <v>45</v>
      </c>
    </row>
    <row r="9" spans="1:34" x14ac:dyDescent="0.35">
      <c r="B9" s="426" t="s">
        <v>1008</v>
      </c>
      <c r="C9" s="494"/>
      <c r="D9" s="498" t="s">
        <v>45</v>
      </c>
      <c r="E9" s="498">
        <f>((E18/E12)^(1/($B18-$B12)))-1</f>
        <v>0.38704901651406454</v>
      </c>
      <c r="F9" s="498">
        <f>((F18/F12)^(1/($B18-$B12)))-1</f>
        <v>-0.14989542644125198</v>
      </c>
      <c r="G9" s="498">
        <f t="shared" ref="G9:J9" si="1">((G18/G12)^(1/($B18-$B12)))-1</f>
        <v>4.6602372183207397E-2</v>
      </c>
      <c r="H9" s="498">
        <f t="shared" si="1"/>
        <v>0.32528747629406496</v>
      </c>
      <c r="I9" s="498">
        <f t="shared" si="1"/>
        <v>-0.24544672919091826</v>
      </c>
      <c r="J9" s="498">
        <f t="shared" si="1"/>
        <v>-0.13134974195071947</v>
      </c>
      <c r="K9" s="498">
        <f t="shared" ref="K9" si="2">((K18/K12)^(1/($B18-$B12)))-1</f>
        <v>0.38704901651406454</v>
      </c>
      <c r="L9" s="502" t="s">
        <v>45</v>
      </c>
      <c r="O9" s="426" t="s">
        <v>1008</v>
      </c>
      <c r="P9" s="110"/>
      <c r="Q9" s="498" t="s">
        <v>45</v>
      </c>
      <c r="R9" s="498">
        <f>((R23/R17)^(1/($O23-$O17)))-1</f>
        <v>0.32630024571767025</v>
      </c>
      <c r="S9" s="498">
        <f t="shared" ref="S9:U9" si="3">((S23/S17)^(1/($O23-$O17)))-1</f>
        <v>-0.12770286761543237</v>
      </c>
      <c r="T9" s="498">
        <f t="shared" si="3"/>
        <v>0.32630024571767025</v>
      </c>
      <c r="U9" s="502">
        <f t="shared" si="3"/>
        <v>0.32630024571767025</v>
      </c>
      <c r="X9" s="426" t="s">
        <v>1008</v>
      </c>
      <c r="Y9" s="110"/>
      <c r="Z9" s="498" t="s">
        <v>45</v>
      </c>
      <c r="AA9" s="445">
        <f>((AA18/AA12)^(1/($X18-$X12)))-1</f>
        <v>0.47561182710948535</v>
      </c>
      <c r="AB9" s="445">
        <f t="shared" ref="AB9:AD9" si="4">((AB18/AB12)^(1/($X18-$X12)))-1</f>
        <v>-0.14602899714234385</v>
      </c>
      <c r="AC9" s="445">
        <f t="shared" si="4"/>
        <v>0.47561182710948535</v>
      </c>
      <c r="AD9" s="427">
        <f t="shared" si="4"/>
        <v>0.47561182710948535</v>
      </c>
    </row>
    <row r="10" spans="1:34" x14ac:dyDescent="0.35">
      <c r="B10" s="426" t="s">
        <v>1009</v>
      </c>
      <c r="C10" s="494"/>
      <c r="D10" s="498" t="s">
        <v>45</v>
      </c>
      <c r="E10" s="498">
        <f>((E34/E18)^(1/($B34-$B18)))-1</f>
        <v>0.15649970813506164</v>
      </c>
      <c r="F10" s="498">
        <f>((F34/F18)^(1/($B34-$B18)))-1</f>
        <v>-2.9990324704409099E-2</v>
      </c>
      <c r="G10" s="498">
        <f t="shared" ref="G10:J10" si="5">((G34/G18)^(1/($B34-$B18)))-1</f>
        <v>4.6602372183207397E-2</v>
      </c>
      <c r="H10" s="498">
        <f t="shared" si="5"/>
        <v>0.10500390489523626</v>
      </c>
      <c r="I10" s="498">
        <f t="shared" si="5"/>
        <v>-9.5025822470004351E-2</v>
      </c>
      <c r="J10" s="498">
        <f t="shared" si="5"/>
        <v>-4.8698692563709511E-2</v>
      </c>
      <c r="K10" s="498">
        <f t="shared" ref="K10:L10" si="6">((K34/K18)^(1/($B34-$B18)))-1</f>
        <v>0.15649970813506164</v>
      </c>
      <c r="L10" s="502">
        <f t="shared" si="6"/>
        <v>0.15649970813506164</v>
      </c>
      <c r="O10" s="426" t="s">
        <v>1009</v>
      </c>
      <c r="P10" s="110"/>
      <c r="Q10" s="498" t="s">
        <v>45</v>
      </c>
      <c r="R10" s="498">
        <f>((R39/R23)^(1/($O39-$O23)))-1</f>
        <v>0.22007445709997464</v>
      </c>
      <c r="S10" s="498">
        <f t="shared" ref="S10:U10" si="7">((S39/S23)^(1/($O39-$O23)))-1</f>
        <v>-5.8022141701636776E-2</v>
      </c>
      <c r="T10" s="498">
        <f t="shared" si="7"/>
        <v>0.22007445709997464</v>
      </c>
      <c r="U10" s="502">
        <f t="shared" si="7"/>
        <v>0.22007445709997464</v>
      </c>
      <c r="X10" s="426" t="s">
        <v>1009</v>
      </c>
      <c r="Y10" s="110"/>
      <c r="Z10" s="498" t="s">
        <v>45</v>
      </c>
      <c r="AA10" s="445">
        <f>((AA34/AA18)^(1/($X34-$X18)))-1</f>
        <v>0.20985879512786698</v>
      </c>
      <c r="AB10" s="445">
        <f t="shared" ref="AB10:AD10" si="8">((AB34/AB18)^(1/($X34-$X18)))-1</f>
        <v>-3.5106072461367321E-2</v>
      </c>
      <c r="AC10" s="445">
        <f t="shared" si="8"/>
        <v>0.20985879512786698</v>
      </c>
      <c r="AD10" s="427">
        <f t="shared" si="8"/>
        <v>0.20985879512786698</v>
      </c>
    </row>
    <row r="11" spans="1:34" ht="15" thickBot="1" x14ac:dyDescent="0.4">
      <c r="B11" s="73" t="s">
        <v>1024</v>
      </c>
      <c r="C11" s="96"/>
      <c r="D11" s="366" t="s">
        <v>45</v>
      </c>
      <c r="E11" s="366">
        <f>((E34/E12)^(1/($B34-$B12)))-1</f>
        <v>0.21527994613585943</v>
      </c>
      <c r="F11" s="366">
        <f>((F34/F12)^(1/($B34-$B12)))-1</f>
        <v>-6.4275974179191286E-2</v>
      </c>
      <c r="G11" s="366">
        <f t="shared" ref="G11:K11" si="9">((G34/G12)^(1/($B34-$B12)))-1</f>
        <v>4.6602372183207397E-2</v>
      </c>
      <c r="H11" s="366">
        <f t="shared" si="9"/>
        <v>0.16116681792034493</v>
      </c>
      <c r="I11" s="366">
        <f t="shared" si="9"/>
        <v>-0.13879729891782078</v>
      </c>
      <c r="J11" s="366">
        <f t="shared" si="9"/>
        <v>-7.1989924040595787E-2</v>
      </c>
      <c r="K11" s="366">
        <f t="shared" si="9"/>
        <v>0.21527994613585943</v>
      </c>
      <c r="L11" s="503" t="s">
        <v>45</v>
      </c>
      <c r="O11" s="73" t="s">
        <v>1024</v>
      </c>
      <c r="P11" s="82"/>
      <c r="Q11" s="366" t="s">
        <v>45</v>
      </c>
      <c r="R11" s="366">
        <f>((R39/R17)^(1/($O39-$O17)))-1</f>
        <v>0.2481713299692121</v>
      </c>
      <c r="S11" s="366">
        <f t="shared" ref="S11:T11" si="10">((S39/S17)^(1/($O39-$O17)))-1</f>
        <v>-7.7560097956634766E-2</v>
      </c>
      <c r="T11" s="366">
        <f t="shared" si="10"/>
        <v>0.2481713299692121</v>
      </c>
      <c r="U11" s="503">
        <f>((U39/U17)^(1/($O39-$O17)))-1</f>
        <v>0.2481713299692121</v>
      </c>
      <c r="X11" s="73" t="s">
        <v>1024</v>
      </c>
      <c r="Y11" s="82"/>
      <c r="Z11" s="366" t="s">
        <v>45</v>
      </c>
      <c r="AA11" s="363">
        <f>((AA34/AA12)^(1/($X34-$X12)))-1</f>
        <v>0.27718552609664404</v>
      </c>
      <c r="AB11" s="363">
        <f t="shared" ref="AB11:AD11" si="11">((AB34/AB12)^(1/($X34-$X12)))-1</f>
        <v>-6.671327796157156E-2</v>
      </c>
      <c r="AC11" s="363">
        <f t="shared" si="11"/>
        <v>0.27718552609664404</v>
      </c>
      <c r="AD11" s="180">
        <f t="shared" si="11"/>
        <v>0.27718552609664404</v>
      </c>
    </row>
    <row r="12" spans="1:34" ht="15" thickTop="1" x14ac:dyDescent="0.35">
      <c r="B12" s="175">
        <f>B7</f>
        <v>2023</v>
      </c>
      <c r="C12" s="7"/>
      <c r="D12" s="59">
        <f t="shared" ref="D12:D21" si="12">E$8</f>
        <v>0.38704901651406454</v>
      </c>
      <c r="E12" s="2">
        <f>E7</f>
        <v>80000000000</v>
      </c>
      <c r="F12" s="90">
        <f>F7</f>
        <v>4</v>
      </c>
      <c r="G12" s="2">
        <f>G7</f>
        <v>814</v>
      </c>
      <c r="H12" s="2">
        <f t="shared" ref="H12:H34" si="13">(E12/E$41)/G12</f>
        <v>98.280098280098287</v>
      </c>
      <c r="I12" s="2">
        <f t="shared" ref="I12:I34" si="14">E$40/(H12*E$41)</f>
        <v>10174.999999999998</v>
      </c>
      <c r="J12" s="2">
        <f>I12^(1/2)</f>
        <v>100.87120500916006</v>
      </c>
      <c r="K12" s="6">
        <v>1</v>
      </c>
      <c r="L12" s="514" t="s">
        <v>45</v>
      </c>
      <c r="O12" s="175">
        <f>O7</f>
        <v>2018</v>
      </c>
      <c r="P12" s="7" t="s">
        <v>296</v>
      </c>
      <c r="Q12" s="59">
        <f t="shared" ref="Q12:Q29" si="15">R$8</f>
        <v>0.32630024571767025</v>
      </c>
      <c r="R12" s="2">
        <f>R7</f>
        <v>137438953472</v>
      </c>
      <c r="S12" s="90">
        <f>S7</f>
        <v>10</v>
      </c>
      <c r="T12" s="24">
        <f>T7</f>
        <v>16</v>
      </c>
      <c r="U12" s="56"/>
      <c r="X12" s="175">
        <f>X7</f>
        <v>2023</v>
      </c>
      <c r="Y12" s="7" t="s">
        <v>298</v>
      </c>
      <c r="Z12" s="59">
        <f t="shared" ref="Z12:Z21" si="16">AA$8</f>
        <v>0.47561182710948535</v>
      </c>
      <c r="AA12" s="2">
        <f>AA7</f>
        <v>5333000000000</v>
      </c>
      <c r="AB12" s="90">
        <f>AB7</f>
        <v>4.1106508732833182</v>
      </c>
      <c r="AC12" s="90">
        <f>AC7</f>
        <v>2</v>
      </c>
      <c r="AD12" s="120">
        <v>1</v>
      </c>
    </row>
    <row r="13" spans="1:34" x14ac:dyDescent="0.35">
      <c r="B13" s="175">
        <f>B12+1</f>
        <v>2024</v>
      </c>
      <c r="D13" s="59">
        <f t="shared" si="12"/>
        <v>0.38704901651406454</v>
      </c>
      <c r="E13" s="2">
        <f t="shared" ref="E13:E34" si="17">E12*(1+D12)</f>
        <v>110963921321.12517</v>
      </c>
      <c r="F13" s="90">
        <f>F12*(1+F$8)</f>
        <v>3.4004182942349921</v>
      </c>
      <c r="G13" s="2">
        <f>G12*(1+G$8)</f>
        <v>851.93433095713078</v>
      </c>
      <c r="H13" s="2">
        <f t="shared" si="13"/>
        <v>130.24938341956411</v>
      </c>
      <c r="I13" s="2">
        <f t="shared" si="14"/>
        <v>7677.5795304824069</v>
      </c>
      <c r="J13" s="2">
        <f t="shared" ref="J13:J34" si="18">I13^(1/2)</f>
        <v>87.621798260948779</v>
      </c>
      <c r="K13" s="6">
        <f t="shared" ref="K13:K34" si="19">K12*(1+D12)</f>
        <v>1.3870490165140645</v>
      </c>
      <c r="L13" s="514" t="s">
        <v>45</v>
      </c>
      <c r="O13" s="175">
        <f>O12+1</f>
        <v>2019</v>
      </c>
      <c r="Q13" s="59">
        <f t="shared" si="15"/>
        <v>0.32630024571767025</v>
      </c>
      <c r="R13" s="2">
        <f t="shared" ref="R13:R39" si="20">R12*(1+Q12)</f>
        <v>182285317761.09305</v>
      </c>
      <c r="S13" s="90">
        <f t="shared" ref="S13:S30" si="21">S12*(1+S$8)</f>
        <v>8.7229713238456767</v>
      </c>
      <c r="T13" s="2">
        <f t="shared" ref="T13:T39" si="22">T12*(1+Q12)</f>
        <v>21.220803931482724</v>
      </c>
      <c r="U13" s="56"/>
      <c r="X13" s="175">
        <f>X12+1</f>
        <v>2024</v>
      </c>
      <c r="Z13" s="59">
        <f t="shared" si="16"/>
        <v>0.47561182710948535</v>
      </c>
      <c r="AA13" s="2">
        <f t="shared" ref="AA13:AA34" si="23">AA12*(1+Z12)</f>
        <v>7869437873974.8857</v>
      </c>
      <c r="AB13" s="90">
        <f t="shared" ref="AB13:AB21" si="24">AB12*(1+AB$8)</f>
        <v>3.5103766486554555</v>
      </c>
      <c r="AC13" s="90">
        <f t="shared" ref="AC13:AC34" si="25">AC12*(1+Z12)</f>
        <v>2.9512236542189707</v>
      </c>
      <c r="AD13" s="120">
        <f t="shared" ref="AD13:AD34" si="26">AD12*(1+Z12)</f>
        <v>1.4756118271094854</v>
      </c>
    </row>
    <row r="14" spans="1:34" x14ac:dyDescent="0.35">
      <c r="B14" s="175">
        <f t="shared" ref="B14:B34" si="27">B13+1</f>
        <v>2025</v>
      </c>
      <c r="D14" s="59">
        <f t="shared" si="12"/>
        <v>0.38704901651406454</v>
      </c>
      <c r="E14" s="2">
        <f t="shared" si="17"/>
        <v>153912397937.01071</v>
      </c>
      <c r="F14" s="90">
        <f t="shared" ref="F14:F21" si="28">F13*(1+F$8)</f>
        <v>2.8907111439420032</v>
      </c>
      <c r="G14" s="2">
        <f t="shared" ref="G14:G29" si="29">G13*(1+G$8)</f>
        <v>891.63649172404678</v>
      </c>
      <c r="H14" s="2">
        <f t="shared" si="13"/>
        <v>172.61787664097218</v>
      </c>
      <c r="I14" s="2">
        <f t="shared" si="14"/>
        <v>5793.1427466223522</v>
      </c>
      <c r="J14" s="2">
        <f t="shared" si="18"/>
        <v>76.112697670115153</v>
      </c>
      <c r="K14" s="6">
        <f t="shared" si="19"/>
        <v>1.9239049742126337</v>
      </c>
      <c r="L14" s="514" t="s">
        <v>45</v>
      </c>
      <c r="O14" s="175">
        <f t="shared" ref="O14:O39" si="30">O13+1</f>
        <v>2020</v>
      </c>
      <c r="Q14" s="59">
        <f t="shared" si="15"/>
        <v>0.32630024571767025</v>
      </c>
      <c r="R14" s="2">
        <f t="shared" si="20"/>
        <v>241765061737.26132</v>
      </c>
      <c r="S14" s="90">
        <f t="shared" si="21"/>
        <v>7.6090228716633996</v>
      </c>
      <c r="T14" s="2">
        <f t="shared" si="22"/>
        <v>28.145157468652041</v>
      </c>
      <c r="U14" s="56"/>
      <c r="X14" s="175">
        <f t="shared" ref="X14:X34" si="31">X13+1</f>
        <v>2025</v>
      </c>
      <c r="Z14" s="59">
        <f t="shared" si="16"/>
        <v>0.47561182710948535</v>
      </c>
      <c r="AA14" s="2">
        <f t="shared" si="23"/>
        <v>11612235599540.666</v>
      </c>
      <c r="AB14" s="90">
        <f t="shared" si="24"/>
        <v>2.9977598670603975</v>
      </c>
      <c r="AC14" s="90">
        <f t="shared" si="25"/>
        <v>4.3548605286107875</v>
      </c>
      <c r="AD14" s="120">
        <f t="shared" si="26"/>
        <v>2.1774302643053938</v>
      </c>
    </row>
    <row r="15" spans="1:34" x14ac:dyDescent="0.35">
      <c r="B15" s="175">
        <f t="shared" si="27"/>
        <v>2026</v>
      </c>
      <c r="D15" s="59">
        <f t="shared" si="12"/>
        <v>0.38704901651406454</v>
      </c>
      <c r="E15" s="2">
        <f t="shared" si="17"/>
        <v>213484040187.85205</v>
      </c>
      <c r="F15" s="90">
        <f t="shared" si="28"/>
        <v>2.4574067643023372</v>
      </c>
      <c r="G15" s="2">
        <f t="shared" si="29"/>
        <v>933.18886736350009</v>
      </c>
      <c r="H15" s="2">
        <f t="shared" si="13"/>
        <v>228.76831009675425</v>
      </c>
      <c r="I15" s="2">
        <f t="shared" si="14"/>
        <v>4371.2348077278029</v>
      </c>
      <c r="J15" s="2">
        <f t="shared" si="18"/>
        <v>66.115314471972397</v>
      </c>
      <c r="K15" s="6">
        <f t="shared" si="19"/>
        <v>2.6685505023481504</v>
      </c>
      <c r="L15" s="120">
        <v>1</v>
      </c>
      <c r="O15" s="175">
        <f t="shared" si="30"/>
        <v>2021</v>
      </c>
      <c r="Q15" s="59">
        <f t="shared" si="15"/>
        <v>0.32630024571767025</v>
      </c>
      <c r="R15" s="2">
        <f t="shared" si="20"/>
        <v>320653060788.07739</v>
      </c>
      <c r="S15" s="90">
        <f t="shared" si="21"/>
        <v>6.6373288312005716</v>
      </c>
      <c r="T15" s="2">
        <f t="shared" si="22"/>
        <v>37.328929266435722</v>
      </c>
      <c r="U15" s="56"/>
      <c r="X15" s="175">
        <f t="shared" si="31"/>
        <v>2026</v>
      </c>
      <c r="Z15" s="59">
        <f t="shared" si="16"/>
        <v>0.47561182710948535</v>
      </c>
      <c r="AA15" s="2">
        <f t="shared" si="23"/>
        <v>17135152189864.012</v>
      </c>
      <c r="AB15" s="90">
        <f t="shared" si="24"/>
        <v>2.5600000000000018</v>
      </c>
      <c r="AC15" s="90">
        <f t="shared" si="25"/>
        <v>6.4260837014303434</v>
      </c>
      <c r="AD15" s="120">
        <f t="shared" si="26"/>
        <v>3.2130418507151717</v>
      </c>
    </row>
    <row r="16" spans="1:34" x14ac:dyDescent="0.35">
      <c r="B16" s="175">
        <f t="shared" si="27"/>
        <v>2027</v>
      </c>
      <c r="D16" s="59">
        <f t="shared" si="12"/>
        <v>0.38704901651406454</v>
      </c>
      <c r="E16" s="2">
        <f t="shared" si="17"/>
        <v>296112827984.00922</v>
      </c>
      <c r="F16" s="90">
        <f t="shared" si="28"/>
        <v>2.0890527294276211</v>
      </c>
      <c r="G16" s="2">
        <f t="shared" si="29"/>
        <v>976.67768227759973</v>
      </c>
      <c r="H16" s="2">
        <f t="shared" si="13"/>
        <v>303.18377634418545</v>
      </c>
      <c r="I16" s="2">
        <f t="shared" si="14"/>
        <v>3298.3295216455213</v>
      </c>
      <c r="J16" s="2">
        <f t="shared" si="18"/>
        <v>57.431084977088162</v>
      </c>
      <c r="K16" s="6">
        <f t="shared" si="19"/>
        <v>3.7014103498001147</v>
      </c>
      <c r="L16" s="120">
        <f t="shared" ref="L16:L34" si="32">L15*(1+D15)</f>
        <v>1.3870490165140645</v>
      </c>
      <c r="O16" s="175">
        <f t="shared" si="30"/>
        <v>2022</v>
      </c>
      <c r="Q16" s="59">
        <f t="shared" si="15"/>
        <v>0.32630024571767025</v>
      </c>
      <c r="R16" s="2">
        <f t="shared" si="20"/>
        <v>425282233313.3501</v>
      </c>
      <c r="S16" s="90">
        <f t="shared" si="21"/>
        <v>5.7897229061496729</v>
      </c>
      <c r="T16" s="2">
        <f t="shared" si="22"/>
        <v>49.50936805845123</v>
      </c>
      <c r="U16" s="56"/>
      <c r="X16" s="175">
        <f t="shared" si="31"/>
        <v>2027</v>
      </c>
      <c r="Z16" s="59">
        <f t="shared" si="16"/>
        <v>0.47561182710948535</v>
      </c>
      <c r="AA16" s="2">
        <f t="shared" si="23"/>
        <v>25284833230684.332</v>
      </c>
      <c r="AB16" s="90">
        <f t="shared" si="24"/>
        <v>2.1861657673156012</v>
      </c>
      <c r="AC16" s="90">
        <f t="shared" si="25"/>
        <v>9.4824051118261128</v>
      </c>
      <c r="AD16" s="120">
        <f t="shared" si="26"/>
        <v>4.7412025559130564</v>
      </c>
    </row>
    <row r="17" spans="2:30" x14ac:dyDescent="0.35">
      <c r="B17" s="175">
        <f t="shared" si="27"/>
        <v>2028</v>
      </c>
      <c r="D17" s="59">
        <f t="shared" si="12"/>
        <v>0.38704901651406454</v>
      </c>
      <c r="E17" s="2">
        <f t="shared" si="17"/>
        <v>410723006832.41833</v>
      </c>
      <c r="F17" s="90">
        <f t="shared" si="28"/>
        <v>1.7759132796918065</v>
      </c>
      <c r="G17" s="2">
        <f t="shared" si="29"/>
        <v>1022.1931791301328</v>
      </c>
      <c r="H17" s="2">
        <f t="shared" si="13"/>
        <v>401.80566180448972</v>
      </c>
      <c r="I17" s="2">
        <f t="shared" si="14"/>
        <v>2488.7653287637822</v>
      </c>
      <c r="J17" s="2">
        <f t="shared" si="18"/>
        <v>49.887526785397796</v>
      </c>
      <c r="K17" s="6">
        <f t="shared" si="19"/>
        <v>5.1340375854052285</v>
      </c>
      <c r="L17" s="120">
        <f t="shared" si="32"/>
        <v>1.9239049742126337</v>
      </c>
      <c r="O17" s="175">
        <f t="shared" si="30"/>
        <v>2023</v>
      </c>
      <c r="Q17" s="59">
        <f t="shared" si="15"/>
        <v>0.32630024571767025</v>
      </c>
      <c r="R17" s="2">
        <f t="shared" si="20"/>
        <v>564051930542.85583</v>
      </c>
      <c r="S17" s="90">
        <f t="shared" si="21"/>
        <v>5.0503586883356046</v>
      </c>
      <c r="T17" s="2">
        <f t="shared" si="22"/>
        <v>65.664287021250445</v>
      </c>
      <c r="U17" s="120">
        <v>1</v>
      </c>
      <c r="X17" s="175">
        <f t="shared" si="31"/>
        <v>2028</v>
      </c>
      <c r="Z17" s="59">
        <f t="shared" si="16"/>
        <v>0.47561182710948535</v>
      </c>
      <c r="AA17" s="2">
        <f t="shared" si="23"/>
        <v>37310598961688.742</v>
      </c>
      <c r="AB17" s="90">
        <f t="shared" si="24"/>
        <v>1.8669221727275813</v>
      </c>
      <c r="AC17" s="90">
        <f t="shared" si="25"/>
        <v>13.992349132454054</v>
      </c>
      <c r="AD17" s="120">
        <f t="shared" si="26"/>
        <v>6.9961745662270269</v>
      </c>
    </row>
    <row r="18" spans="2:30" x14ac:dyDescent="0.35">
      <c r="B18" s="381">
        <f t="shared" si="27"/>
        <v>2029</v>
      </c>
      <c r="C18" s="126"/>
      <c r="D18" s="189">
        <f t="shared" si="12"/>
        <v>0.38704901651406454</v>
      </c>
      <c r="E18" s="128">
        <f t="shared" si="17"/>
        <v>569692942686.60522</v>
      </c>
      <c r="F18" s="133">
        <f t="shared" si="28"/>
        <v>1.5097120013097207</v>
      </c>
      <c r="G18" s="128">
        <f t="shared" si="29"/>
        <v>1069.8298061070911</v>
      </c>
      <c r="H18" s="128">
        <f t="shared" si="13"/>
        <v>532.50801149353879</v>
      </c>
      <c r="I18" s="128">
        <f t="shared" si="14"/>
        <v>1877.9060190949513</v>
      </c>
      <c r="J18" s="128">
        <f t="shared" si="18"/>
        <v>43.334813015576188</v>
      </c>
      <c r="K18" s="257">
        <f t="shared" si="19"/>
        <v>7.1211617835825649</v>
      </c>
      <c r="L18" s="138">
        <f t="shared" si="32"/>
        <v>2.6685505023481504</v>
      </c>
      <c r="O18" s="175">
        <f t="shared" si="30"/>
        <v>2024</v>
      </c>
      <c r="Q18" s="59">
        <f t="shared" si="15"/>
        <v>0.32630024571767025</v>
      </c>
      <c r="R18" s="2">
        <f t="shared" si="20"/>
        <v>748102214076.51599</v>
      </c>
      <c r="S18" s="90">
        <f t="shared" si="21"/>
        <v>4.4054134013486346</v>
      </c>
      <c r="T18" s="2">
        <f t="shared" si="22"/>
        <v>87.090560011160093</v>
      </c>
      <c r="U18" s="187">
        <f t="shared" ref="U18:U39" si="33">U17*(1+Q17)</f>
        <v>1.3263002457176702</v>
      </c>
      <c r="X18" s="381">
        <f t="shared" si="31"/>
        <v>2029</v>
      </c>
      <c r="Y18" s="126"/>
      <c r="Z18" s="189">
        <f t="shared" si="16"/>
        <v>0.47561182710948535</v>
      </c>
      <c r="AA18" s="128">
        <f t="shared" si="23"/>
        <v>55055961104406.789</v>
      </c>
      <c r="AB18" s="133">
        <f t="shared" si="24"/>
        <v>1.594297400101367</v>
      </c>
      <c r="AC18" s="133">
        <f t="shared" si="25"/>
        <v>20.647275868894347</v>
      </c>
      <c r="AD18" s="138">
        <f t="shared" si="26"/>
        <v>10.323637934447174</v>
      </c>
    </row>
    <row r="19" spans="2:30" x14ac:dyDescent="0.35">
      <c r="B19" s="175">
        <f t="shared" si="27"/>
        <v>2030</v>
      </c>
      <c r="D19" s="59">
        <f t="shared" si="12"/>
        <v>0.38704901651406454</v>
      </c>
      <c r="E19" s="2">
        <f t="shared" si="17"/>
        <v>790192035868.45911</v>
      </c>
      <c r="F19" s="90">
        <f t="shared" si="28"/>
        <v>1.2834130770699241</v>
      </c>
      <c r="G19" s="2">
        <f t="shared" si="29"/>
        <v>1119.6864129039825</v>
      </c>
      <c r="H19" s="2">
        <f t="shared" si="13"/>
        <v>705.72619865864283</v>
      </c>
      <c r="I19" s="2">
        <f t="shared" si="14"/>
        <v>1416.9801289801574</v>
      </c>
      <c r="J19" s="2">
        <f t="shared" si="18"/>
        <v>37.642796508497575</v>
      </c>
      <c r="K19" s="6">
        <f t="shared" si="19"/>
        <v>9.877400448355738</v>
      </c>
      <c r="L19" s="120">
        <f t="shared" si="32"/>
        <v>3.7014103498001147</v>
      </c>
      <c r="O19" s="175">
        <f t="shared" si="30"/>
        <v>2025</v>
      </c>
      <c r="Q19" s="59">
        <f t="shared" si="15"/>
        <v>0.32630024571767025</v>
      </c>
      <c r="R19" s="2">
        <f t="shared" si="20"/>
        <v>992208150351.61633</v>
      </c>
      <c r="S19" s="90">
        <f t="shared" si="21"/>
        <v>3.8428294769649582</v>
      </c>
      <c r="T19" s="2">
        <f t="shared" si="22"/>
        <v>115.50823114249114</v>
      </c>
      <c r="U19" s="187">
        <f t="shared" si="33"/>
        <v>1.7590723417907526</v>
      </c>
      <c r="X19" s="175">
        <f t="shared" si="31"/>
        <v>2030</v>
      </c>
      <c r="Z19" s="59">
        <f t="shared" si="16"/>
        <v>0.47561182710948535</v>
      </c>
      <c r="AA19" s="2">
        <f t="shared" si="23"/>
        <v>81241227358542.469</v>
      </c>
      <c r="AB19" s="90">
        <f t="shared" si="24"/>
        <v>1.3614837496179182</v>
      </c>
      <c r="AC19" s="90">
        <f t="shared" si="25"/>
        <v>30.467364469732775</v>
      </c>
      <c r="AD19" s="120">
        <f t="shared" si="26"/>
        <v>15.233682234866388</v>
      </c>
    </row>
    <row r="20" spans="2:30" x14ac:dyDescent="0.35">
      <c r="B20" s="175">
        <f t="shared" si="27"/>
        <v>2031</v>
      </c>
      <c r="D20" s="59">
        <f t="shared" si="12"/>
        <v>0.38704901651406454</v>
      </c>
      <c r="E20" s="2">
        <f t="shared" si="17"/>
        <v>1096035086208.5927</v>
      </c>
      <c r="F20" s="90">
        <f t="shared" si="28"/>
        <v>1.0910353265822486</v>
      </c>
      <c r="G20" s="2">
        <f t="shared" si="29"/>
        <v>1171.8664558466144</v>
      </c>
      <c r="H20" s="2">
        <f t="shared" si="13"/>
        <v>935.29009277491662</v>
      </c>
      <c r="I20" s="2">
        <f t="shared" si="14"/>
        <v>1069.1869909934524</v>
      </c>
      <c r="J20" s="2">
        <f t="shared" si="18"/>
        <v>32.698424900802976</v>
      </c>
      <c r="K20" s="6">
        <f t="shared" si="19"/>
        <v>13.700438577607407</v>
      </c>
      <c r="L20" s="120">
        <f t="shared" si="32"/>
        <v>5.1340375854052285</v>
      </c>
      <c r="O20" s="175">
        <f t="shared" si="30"/>
        <v>2026</v>
      </c>
      <c r="Q20" s="59">
        <f t="shared" si="15"/>
        <v>0.32630024571767025</v>
      </c>
      <c r="R20" s="2">
        <f t="shared" si="20"/>
        <v>1315965913614.4238</v>
      </c>
      <c r="S20" s="90">
        <f t="shared" si="21"/>
        <v>3.3520891329994211</v>
      </c>
      <c r="T20" s="2">
        <f t="shared" si="22"/>
        <v>153.19859534669945</v>
      </c>
      <c r="U20" s="187">
        <f t="shared" si="33"/>
        <v>2.3330580791522326</v>
      </c>
      <c r="X20" s="175">
        <f t="shared" si="31"/>
        <v>2031</v>
      </c>
      <c r="Z20" s="59">
        <f t="shared" si="16"/>
        <v>0.47561182710948535</v>
      </c>
      <c r="AA20" s="2">
        <f t="shared" si="23"/>
        <v>119880515939155.95</v>
      </c>
      <c r="AB20" s="90">
        <f t="shared" si="24"/>
        <v>1.1626676430356155</v>
      </c>
      <c r="AC20" s="90">
        <f t="shared" si="25"/>
        <v>44.958003352393</v>
      </c>
      <c r="AD20" s="120">
        <f t="shared" si="26"/>
        <v>22.4790016761965</v>
      </c>
    </row>
    <row r="21" spans="2:30" x14ac:dyDescent="0.35">
      <c r="B21" s="175">
        <f t="shared" si="27"/>
        <v>2032</v>
      </c>
      <c r="C21" s="504" t="s">
        <v>562</v>
      </c>
      <c r="D21" s="59">
        <f t="shared" si="12"/>
        <v>0.38704901651406454</v>
      </c>
      <c r="E21" s="2">
        <f t="shared" si="17"/>
        <v>1520254388390.5364</v>
      </c>
      <c r="F21" s="90">
        <f t="shared" si="28"/>
        <v>0.92749412104173179</v>
      </c>
      <c r="G21" s="2">
        <f t="shared" si="29"/>
        <v>1226.4782125709944</v>
      </c>
      <c r="H21" s="2">
        <f t="shared" si="13"/>
        <v>1239.5282466565111</v>
      </c>
      <c r="I21" s="2">
        <f t="shared" si="14"/>
        <v>806.75854116062965</v>
      </c>
      <c r="J21" s="2">
        <f t="shared" si="18"/>
        <v>28.403495227887529</v>
      </c>
      <c r="K21" s="6">
        <f t="shared" si="19"/>
        <v>19.003179854881704</v>
      </c>
      <c r="L21" s="120">
        <f t="shared" si="32"/>
        <v>7.1211617835825649</v>
      </c>
      <c r="O21" s="175">
        <f t="shared" si="30"/>
        <v>2027</v>
      </c>
      <c r="Q21" s="59">
        <f t="shared" si="15"/>
        <v>0.32630024571767025</v>
      </c>
      <c r="R21" s="2">
        <f t="shared" si="20"/>
        <v>1745365914582.8887</v>
      </c>
      <c r="S21" s="90">
        <f t="shared" si="21"/>
        <v>2.9240177382128665</v>
      </c>
      <c r="T21" s="2">
        <f t="shared" si="22"/>
        <v>203.1873346519294</v>
      </c>
      <c r="U21" s="187">
        <f t="shared" si="33"/>
        <v>3.0943355036532019</v>
      </c>
      <c r="X21" s="175">
        <f t="shared" si="31"/>
        <v>2032</v>
      </c>
      <c r="Z21" s="59">
        <f t="shared" si="16"/>
        <v>0.47561182710948535</v>
      </c>
      <c r="AA21" s="2">
        <f t="shared" si="23"/>
        <v>176897107159805.69</v>
      </c>
      <c r="AB21" s="90">
        <f t="shared" si="24"/>
        <v>0.992884453113272</v>
      </c>
      <c r="AC21" s="90">
        <f t="shared" si="25"/>
        <v>66.340561470018997</v>
      </c>
      <c r="AD21" s="120">
        <f t="shared" si="26"/>
        <v>33.170280735009499</v>
      </c>
    </row>
    <row r="22" spans="2:30" x14ac:dyDescent="0.35">
      <c r="B22" s="175">
        <f t="shared" si="27"/>
        <v>2033</v>
      </c>
      <c r="C22" s="504" t="s">
        <v>555</v>
      </c>
      <c r="D22" s="59">
        <v>0.15</v>
      </c>
      <c r="E22" s="2">
        <f t="shared" si="17"/>
        <v>2108667354268.2842</v>
      </c>
      <c r="F22" s="90">
        <f>F21</f>
        <v>0.92749412104173179</v>
      </c>
      <c r="G22" s="2">
        <f t="shared" si="29"/>
        <v>1283.6350067078229</v>
      </c>
      <c r="H22" s="2">
        <f t="shared" si="13"/>
        <v>1642.7312618066146</v>
      </c>
      <c r="I22" s="2">
        <f t="shared" si="14"/>
        <v>608.74229598591637</v>
      </c>
      <c r="J22" s="2">
        <f t="shared" si="18"/>
        <v>24.672703459206012</v>
      </c>
      <c r="K22" s="6">
        <f t="shared" si="19"/>
        <v>26.358341928353553</v>
      </c>
      <c r="L22" s="120">
        <f t="shared" si="32"/>
        <v>9.877400448355738</v>
      </c>
      <c r="O22" s="175">
        <f t="shared" si="30"/>
        <v>2028</v>
      </c>
      <c r="Q22" s="59">
        <f t="shared" si="15"/>
        <v>0.32630024571767025</v>
      </c>
      <c r="R22" s="2">
        <f t="shared" si="20"/>
        <v>2314879241378.5317</v>
      </c>
      <c r="S22" s="90">
        <f t="shared" si="21"/>
        <v>2.5506122880846926</v>
      </c>
      <c r="T22" s="2">
        <f t="shared" si="22"/>
        <v>269.48741187557249</v>
      </c>
      <c r="U22" s="187">
        <f t="shared" si="33"/>
        <v>4.1040179388281528</v>
      </c>
      <c r="X22" s="175">
        <f t="shared" si="31"/>
        <v>2033</v>
      </c>
      <c r="Y22" s="504" t="s">
        <v>562</v>
      </c>
      <c r="Z22" s="59">
        <v>0.2</v>
      </c>
      <c r="AA22" s="2">
        <f t="shared" si="23"/>
        <v>261031463506463.28</v>
      </c>
      <c r="AB22" s="90">
        <v>0.9</v>
      </c>
      <c r="AC22" s="90">
        <f t="shared" si="25"/>
        <v>97.892917122243858</v>
      </c>
      <c r="AD22" s="120">
        <f t="shared" si="26"/>
        <v>48.946458561121929</v>
      </c>
    </row>
    <row r="23" spans="2:30" x14ac:dyDescent="0.35">
      <c r="B23" s="175">
        <f t="shared" si="27"/>
        <v>2034</v>
      </c>
      <c r="C23" s="505" t="s">
        <v>1032</v>
      </c>
      <c r="D23" s="59">
        <v>0.15</v>
      </c>
      <c r="E23" s="2">
        <f t="shared" si="17"/>
        <v>2424967457408.5269</v>
      </c>
      <c r="F23" s="90">
        <f t="shared" ref="F23:F28" si="34">F22</f>
        <v>0.92749412104173179</v>
      </c>
      <c r="G23" s="2">
        <f t="shared" si="29"/>
        <v>1343.4554430378148</v>
      </c>
      <c r="H23" s="2">
        <f t="shared" si="13"/>
        <v>1805.0226153576054</v>
      </c>
      <c r="I23" s="2">
        <f t="shared" si="14"/>
        <v>554.00967915401054</v>
      </c>
      <c r="J23" s="2">
        <f t="shared" si="18"/>
        <v>23.537410204905946</v>
      </c>
      <c r="K23" s="6">
        <f t="shared" si="19"/>
        <v>30.312093217606584</v>
      </c>
      <c r="L23" s="120">
        <f t="shared" si="32"/>
        <v>11.359010515609098</v>
      </c>
      <c r="O23" s="381">
        <f t="shared" si="30"/>
        <v>2029</v>
      </c>
      <c r="P23" s="129"/>
      <c r="Q23" s="189">
        <f t="shared" si="15"/>
        <v>0.32630024571767025</v>
      </c>
      <c r="R23" s="128">
        <f t="shared" si="20"/>
        <v>3070224906647.0806</v>
      </c>
      <c r="S23" s="133">
        <f t="shared" si="21"/>
        <v>2.2248917847211183</v>
      </c>
      <c r="T23" s="128">
        <f t="shared" si="22"/>
        <v>357.42122058839078</v>
      </c>
      <c r="U23" s="188">
        <f t="shared" si="33"/>
        <v>5.4431600006975058</v>
      </c>
      <c r="X23" s="175">
        <f t="shared" si="31"/>
        <v>2034</v>
      </c>
      <c r="Y23" s="504" t="s">
        <v>555</v>
      </c>
      <c r="Z23" s="59">
        <f>Z22</f>
        <v>0.2</v>
      </c>
      <c r="AA23" s="2">
        <f t="shared" si="23"/>
        <v>313237756207755.94</v>
      </c>
      <c r="AB23" s="90">
        <f>AB22</f>
        <v>0.9</v>
      </c>
      <c r="AC23" s="90">
        <f t="shared" si="25"/>
        <v>117.47150054669262</v>
      </c>
      <c r="AD23" s="120">
        <f t="shared" si="26"/>
        <v>58.735750273346312</v>
      </c>
    </row>
    <row r="24" spans="2:30" x14ac:dyDescent="0.35">
      <c r="B24" s="175">
        <f t="shared" si="27"/>
        <v>2035</v>
      </c>
      <c r="C24" s="504" t="s">
        <v>1033</v>
      </c>
      <c r="D24" s="59">
        <v>0.15</v>
      </c>
      <c r="E24" s="2">
        <f t="shared" si="17"/>
        <v>2788712576019.8057</v>
      </c>
      <c r="F24" s="90">
        <f t="shared" si="34"/>
        <v>0.92749412104173179</v>
      </c>
      <c r="G24" s="2">
        <f t="shared" si="29"/>
        <v>1406.0636536058189</v>
      </c>
      <c r="H24" s="2">
        <f t="shared" si="13"/>
        <v>1983.3473177890735</v>
      </c>
      <c r="I24" s="2">
        <f t="shared" si="14"/>
        <v>504.19812557830011</v>
      </c>
      <c r="J24" s="2">
        <f t="shared" si="18"/>
        <v>22.454356494415514</v>
      </c>
      <c r="K24" s="6">
        <f t="shared" si="19"/>
        <v>34.858907200247572</v>
      </c>
      <c r="L24" s="120">
        <f t="shared" si="32"/>
        <v>13.062862092950462</v>
      </c>
      <c r="O24" s="175">
        <f t="shared" si="30"/>
        <v>2030</v>
      </c>
      <c r="Q24" s="59">
        <f t="shared" si="15"/>
        <v>0.32630024571767025</v>
      </c>
      <c r="R24" s="2">
        <f t="shared" si="20"/>
        <v>4072040048094.5342</v>
      </c>
      <c r="S24" s="90">
        <f t="shared" si="21"/>
        <v>1.9407667236782142</v>
      </c>
      <c r="T24" s="2">
        <f t="shared" si="22"/>
        <v>474.04785269109232</v>
      </c>
      <c r="U24" s="187">
        <f t="shared" si="33"/>
        <v>7.2192644464056963</v>
      </c>
      <c r="X24" s="175">
        <f t="shared" si="31"/>
        <v>2035</v>
      </c>
      <c r="Y24" s="7"/>
      <c r="Z24" s="59">
        <f t="shared" ref="Z24:Z25" si="35">Z23</f>
        <v>0.2</v>
      </c>
      <c r="AA24" s="2">
        <f t="shared" si="23"/>
        <v>375885307449307.13</v>
      </c>
      <c r="AB24" s="90">
        <f t="shared" ref="AB24:AB34" si="36">AB23</f>
        <v>0.9</v>
      </c>
      <c r="AC24" s="90">
        <f t="shared" si="25"/>
        <v>140.96580065603115</v>
      </c>
      <c r="AD24" s="120">
        <f t="shared" si="26"/>
        <v>70.482900328015575</v>
      </c>
    </row>
    <row r="25" spans="2:30" x14ac:dyDescent="0.35">
      <c r="B25" s="175">
        <f t="shared" si="27"/>
        <v>2036</v>
      </c>
      <c r="C25" s="37"/>
      <c r="D25" s="59">
        <v>0.15</v>
      </c>
      <c r="E25" s="2">
        <f t="shared" si="17"/>
        <v>3207019462422.7764</v>
      </c>
      <c r="F25" s="90">
        <f t="shared" si="34"/>
        <v>0.92749412104173179</v>
      </c>
      <c r="G25" s="2">
        <f t="shared" si="29"/>
        <v>1471.5895553044377</v>
      </c>
      <c r="H25" s="2">
        <f t="shared" si="13"/>
        <v>2179.2893615362191</v>
      </c>
      <c r="I25" s="2">
        <f t="shared" si="14"/>
        <v>458.86517763528315</v>
      </c>
      <c r="J25" s="2">
        <f t="shared" si="18"/>
        <v>21.421138570003304</v>
      </c>
      <c r="K25" s="6">
        <f t="shared" si="19"/>
        <v>40.087743280284705</v>
      </c>
      <c r="L25" s="120">
        <f t="shared" si="32"/>
        <v>15.02229140689303</v>
      </c>
      <c r="O25" s="175">
        <f t="shared" si="30"/>
        <v>2031</v>
      </c>
      <c r="Q25" s="59">
        <f t="shared" si="15"/>
        <v>0.32630024571767025</v>
      </c>
      <c r="R25" s="2">
        <f t="shared" si="20"/>
        <v>5400747716359.9746</v>
      </c>
      <c r="S25" s="90">
        <f t="shared" si="21"/>
        <v>1.6929252476918988</v>
      </c>
      <c r="T25" s="2">
        <f t="shared" si="22"/>
        <v>628.72978350612971</v>
      </c>
      <c r="U25" s="187">
        <f t="shared" si="33"/>
        <v>9.5749122091687155</v>
      </c>
      <c r="X25" s="175">
        <f t="shared" si="31"/>
        <v>2036</v>
      </c>
      <c r="Y25" s="7"/>
      <c r="Z25" s="59">
        <f t="shared" si="35"/>
        <v>0.2</v>
      </c>
      <c r="AA25" s="2">
        <f t="shared" si="23"/>
        <v>451062368939168.56</v>
      </c>
      <c r="AB25" s="90">
        <f t="shared" si="36"/>
        <v>0.9</v>
      </c>
      <c r="AC25" s="90">
        <f t="shared" si="25"/>
        <v>169.15896078723736</v>
      </c>
      <c r="AD25" s="120">
        <f t="shared" si="26"/>
        <v>84.579480393618681</v>
      </c>
    </row>
    <row r="26" spans="2:30" x14ac:dyDescent="0.35">
      <c r="B26" s="175">
        <f t="shared" si="27"/>
        <v>2037</v>
      </c>
      <c r="C26" s="37"/>
      <c r="D26" s="59">
        <v>0.15</v>
      </c>
      <c r="E26" s="2">
        <f t="shared" si="17"/>
        <v>3688072381786.1924</v>
      </c>
      <c r="F26" s="90">
        <f t="shared" si="34"/>
        <v>0.92749412104173179</v>
      </c>
      <c r="G26" s="2">
        <f t="shared" si="29"/>
        <v>1540.1691194616558</v>
      </c>
      <c r="H26" s="2">
        <f t="shared" si="13"/>
        <v>2394.5892273669956</v>
      </c>
      <c r="I26" s="2">
        <f t="shared" si="14"/>
        <v>417.6081595003098</v>
      </c>
      <c r="J26" s="2">
        <f t="shared" si="18"/>
        <v>20.435463280784944</v>
      </c>
      <c r="K26" s="6">
        <f t="shared" si="19"/>
        <v>46.100904772327411</v>
      </c>
      <c r="L26" s="120">
        <f t="shared" si="32"/>
        <v>17.275635117926985</v>
      </c>
      <c r="O26" s="175">
        <f t="shared" si="30"/>
        <v>2032</v>
      </c>
      <c r="Q26" s="59">
        <f t="shared" si="15"/>
        <v>0.32630024571767025</v>
      </c>
      <c r="R26" s="2">
        <f t="shared" si="20"/>
        <v>7163013023267.3809</v>
      </c>
      <c r="S26" s="90">
        <f t="shared" si="21"/>
        <v>1.4767338389030771</v>
      </c>
      <c r="T26" s="2">
        <f t="shared" si="22"/>
        <v>833.88446635419746</v>
      </c>
      <c r="U26" s="187">
        <f t="shared" si="33"/>
        <v>12.699208415745588</v>
      </c>
      <c r="X26" s="175">
        <f t="shared" si="31"/>
        <v>2037</v>
      </c>
      <c r="Y26" s="506" t="s">
        <v>563</v>
      </c>
      <c r="Z26" s="59">
        <v>0.1</v>
      </c>
      <c r="AA26" s="2">
        <f t="shared" si="23"/>
        <v>541274842727002.25</v>
      </c>
      <c r="AB26" s="90">
        <f t="shared" si="36"/>
        <v>0.9</v>
      </c>
      <c r="AC26" s="90">
        <f t="shared" si="25"/>
        <v>202.99075294468483</v>
      </c>
      <c r="AD26" s="120">
        <f t="shared" si="26"/>
        <v>101.49537647234241</v>
      </c>
    </row>
    <row r="27" spans="2:30" x14ac:dyDescent="0.35">
      <c r="B27" s="175">
        <f t="shared" si="27"/>
        <v>2038</v>
      </c>
      <c r="C27" s="506" t="s">
        <v>563</v>
      </c>
      <c r="D27" s="59">
        <f t="shared" ref="D27:D34" si="37">G$8</f>
        <v>4.6602372183207397E-2</v>
      </c>
      <c r="E27" s="2">
        <f t="shared" si="17"/>
        <v>4241283239054.1211</v>
      </c>
      <c r="F27" s="90">
        <f t="shared" si="34"/>
        <v>0.92749412104173179</v>
      </c>
      <c r="G27" s="2">
        <f t="shared" si="29"/>
        <v>1611.9446539918906</v>
      </c>
      <c r="H27" s="2">
        <f t="shared" si="13"/>
        <v>2631.1593444296122</v>
      </c>
      <c r="I27" s="2">
        <f t="shared" si="14"/>
        <v>380.0606003270326</v>
      </c>
      <c r="J27" s="2">
        <f t="shared" si="18"/>
        <v>19.495142993244052</v>
      </c>
      <c r="K27" s="6">
        <f t="shared" si="19"/>
        <v>53.016040488176522</v>
      </c>
      <c r="L27" s="120">
        <f t="shared" si="32"/>
        <v>19.866980385616031</v>
      </c>
      <c r="O27" s="175">
        <f t="shared" si="30"/>
        <v>2033</v>
      </c>
      <c r="Q27" s="59">
        <f t="shared" si="15"/>
        <v>0.32630024571767025</v>
      </c>
      <c r="R27" s="2">
        <f t="shared" si="20"/>
        <v>9500305932838.3984</v>
      </c>
      <c r="S27" s="90">
        <f t="shared" si="21"/>
        <v>1.2881506929704083</v>
      </c>
      <c r="T27" s="2">
        <f t="shared" si="22"/>
        <v>1105.9811726257203</v>
      </c>
      <c r="U27" s="187">
        <f t="shared" si="33"/>
        <v>16.842963242223281</v>
      </c>
      <c r="X27" s="175">
        <f t="shared" si="31"/>
        <v>2038</v>
      </c>
      <c r="Y27" s="506" t="s">
        <v>565</v>
      </c>
      <c r="Z27" s="59">
        <f>Z26</f>
        <v>0.1</v>
      </c>
      <c r="AA27" s="2">
        <f t="shared" si="23"/>
        <v>595402326999702.5</v>
      </c>
      <c r="AB27" s="90">
        <f t="shared" si="36"/>
        <v>0.9</v>
      </c>
      <c r="AC27" s="90">
        <f t="shared" si="25"/>
        <v>223.28982823915334</v>
      </c>
      <c r="AD27" s="120">
        <f t="shared" si="26"/>
        <v>111.64491411957667</v>
      </c>
    </row>
    <row r="28" spans="2:30" x14ac:dyDescent="0.35">
      <c r="B28" s="175">
        <f t="shared" si="27"/>
        <v>2039</v>
      </c>
      <c r="C28" s="506" t="s">
        <v>565</v>
      </c>
      <c r="D28" s="59">
        <f t="shared" si="37"/>
        <v>4.6602372183207397E-2</v>
      </c>
      <c r="E28" s="2">
        <f t="shared" si="17"/>
        <v>4438937099094.9209</v>
      </c>
      <c r="F28" s="90">
        <f t="shared" si="34"/>
        <v>0.92749412104173179</v>
      </c>
      <c r="G28" s="2">
        <f t="shared" si="29"/>
        <v>1687.0650986959522</v>
      </c>
      <c r="H28" s="2">
        <f t="shared" si="13"/>
        <v>2631.1593444296122</v>
      </c>
      <c r="I28" s="2">
        <f t="shared" si="14"/>
        <v>380.0606003270326</v>
      </c>
      <c r="J28" s="2">
        <f t="shared" si="18"/>
        <v>19.495142993244052</v>
      </c>
      <c r="K28" s="6">
        <f t="shared" si="19"/>
        <v>55.486713738686518</v>
      </c>
      <c r="L28" s="120">
        <f t="shared" si="32"/>
        <v>20.792828799702992</v>
      </c>
      <c r="O28" s="175">
        <f t="shared" si="30"/>
        <v>2034</v>
      </c>
      <c r="Q28" s="59">
        <f t="shared" si="15"/>
        <v>0.32630024571767025</v>
      </c>
      <c r="R28" s="2">
        <f t="shared" si="20"/>
        <v>12600258093116.607</v>
      </c>
      <c r="S28" s="90">
        <f t="shared" si="21"/>
        <v>1.1236501555572809</v>
      </c>
      <c r="T28" s="2">
        <f t="shared" si="22"/>
        <v>1466.8631010126098</v>
      </c>
      <c r="U28" s="187">
        <f t="shared" si="33"/>
        <v>22.338826286774424</v>
      </c>
      <c r="X28" s="175">
        <f t="shared" si="31"/>
        <v>2039</v>
      </c>
      <c r="Y28" s="506" t="s">
        <v>572</v>
      </c>
      <c r="Z28" s="59">
        <f t="shared" ref="Z28:Z34" si="38">Z27</f>
        <v>0.1</v>
      </c>
      <c r="AA28" s="2">
        <f t="shared" si="23"/>
        <v>654942559699672.75</v>
      </c>
      <c r="AB28" s="90">
        <f t="shared" si="36"/>
        <v>0.9</v>
      </c>
      <c r="AC28" s="90">
        <f t="shared" si="25"/>
        <v>245.61881106306868</v>
      </c>
      <c r="AD28" s="120">
        <f t="shared" si="26"/>
        <v>122.80940553153434</v>
      </c>
    </row>
    <row r="29" spans="2:30" x14ac:dyDescent="0.35">
      <c r="B29" s="175">
        <f t="shared" si="27"/>
        <v>2040</v>
      </c>
      <c r="C29" s="506" t="s">
        <v>566</v>
      </c>
      <c r="D29" s="59">
        <f t="shared" si="37"/>
        <v>4.6602372183207397E-2</v>
      </c>
      <c r="E29" s="2">
        <f t="shared" si="17"/>
        <v>4645802097884.7891</v>
      </c>
      <c r="F29" s="90">
        <f>F28</f>
        <v>0.92749412104173179</v>
      </c>
      <c r="G29" s="2">
        <f t="shared" si="29"/>
        <v>1765.6863343226805</v>
      </c>
      <c r="H29" s="2">
        <f t="shared" si="13"/>
        <v>2631.1593444296122</v>
      </c>
      <c r="I29" s="2">
        <f t="shared" si="14"/>
        <v>380.0606003270326</v>
      </c>
      <c r="J29" s="2">
        <f t="shared" si="18"/>
        <v>19.495142993244052</v>
      </c>
      <c r="K29" s="6">
        <f t="shared" si="19"/>
        <v>58.072526223559876</v>
      </c>
      <c r="L29" s="120">
        <f t="shared" si="32"/>
        <v>21.761823946168466</v>
      </c>
      <c r="O29" s="175">
        <f t="shared" si="30"/>
        <v>2035</v>
      </c>
      <c r="Q29" s="59">
        <f t="shared" si="15"/>
        <v>0.32630024571767025</v>
      </c>
      <c r="R29" s="2">
        <f t="shared" si="20"/>
        <v>16711725405006.619</v>
      </c>
      <c r="S29" s="90">
        <f t="shared" si="21"/>
        <v>0.98015680849608944</v>
      </c>
      <c r="T29" s="2">
        <f t="shared" si="22"/>
        <v>1945.5008913072081</v>
      </c>
      <c r="U29" s="187">
        <f t="shared" si="33"/>
        <v>29.62799079319327</v>
      </c>
      <c r="X29" s="175">
        <f t="shared" si="31"/>
        <v>2040</v>
      </c>
      <c r="Y29" s="506" t="s">
        <v>570</v>
      </c>
      <c r="Z29" s="59">
        <f t="shared" si="38"/>
        <v>0.1</v>
      </c>
      <c r="AA29" s="2">
        <f t="shared" si="23"/>
        <v>720436815669640.13</v>
      </c>
      <c r="AB29" s="90">
        <f t="shared" si="36"/>
        <v>0.9</v>
      </c>
      <c r="AC29" s="90">
        <f t="shared" si="25"/>
        <v>270.18069216937556</v>
      </c>
      <c r="AD29" s="120">
        <f t="shared" si="26"/>
        <v>135.09034608468778</v>
      </c>
    </row>
    <row r="30" spans="2:30" x14ac:dyDescent="0.35">
      <c r="B30" s="175">
        <f t="shared" si="27"/>
        <v>2041</v>
      </c>
      <c r="C30" s="507" t="s">
        <v>1034</v>
      </c>
      <c r="D30" s="59">
        <f t="shared" si="37"/>
        <v>4.6602372183207397E-2</v>
      </c>
      <c r="E30" s="2">
        <f t="shared" si="17"/>
        <v>4862307496339.9414</v>
      </c>
      <c r="F30" s="90">
        <f t="shared" ref="F30:F34" si="39">F29</f>
        <v>0.92749412104173179</v>
      </c>
      <c r="G30" s="2">
        <f t="shared" ref="G30:G34" si="40">G29*(1+G$8)</f>
        <v>1847.9715060335893</v>
      </c>
      <c r="H30" s="2">
        <f t="shared" si="13"/>
        <v>2631.1593444296118</v>
      </c>
      <c r="I30" s="2">
        <f t="shared" si="14"/>
        <v>380.06060032703272</v>
      </c>
      <c r="J30" s="2">
        <f t="shared" si="18"/>
        <v>19.495142993244052</v>
      </c>
      <c r="K30" s="6">
        <f t="shared" si="19"/>
        <v>60.778843704249283</v>
      </c>
      <c r="L30" s="120">
        <f t="shared" si="32"/>
        <v>22.775976565093245</v>
      </c>
      <c r="O30" s="175">
        <f t="shared" si="30"/>
        <v>2036</v>
      </c>
      <c r="P30" s="504" t="s">
        <v>562</v>
      </c>
      <c r="Q30" s="59">
        <v>0.2</v>
      </c>
      <c r="R30" s="2">
        <f t="shared" si="20"/>
        <v>22164765511026.512</v>
      </c>
      <c r="S30" s="90">
        <f t="shared" si="21"/>
        <v>0.85498797333834864</v>
      </c>
      <c r="T30" s="2">
        <f t="shared" si="22"/>
        <v>2580.3183101846967</v>
      </c>
      <c r="U30" s="187">
        <f t="shared" si="33"/>
        <v>39.295611469133107</v>
      </c>
      <c r="X30" s="175">
        <f t="shared" si="31"/>
        <v>2041</v>
      </c>
      <c r="Y30" s="506" t="s">
        <v>568</v>
      </c>
      <c r="Z30" s="59">
        <f t="shared" si="38"/>
        <v>0.1</v>
      </c>
      <c r="AA30" s="2">
        <f t="shared" si="23"/>
        <v>792480497236604.25</v>
      </c>
      <c r="AB30" s="90">
        <f t="shared" si="36"/>
        <v>0.9</v>
      </c>
      <c r="AC30" s="90">
        <f t="shared" si="25"/>
        <v>297.19876138631315</v>
      </c>
      <c r="AD30" s="120">
        <f t="shared" si="26"/>
        <v>148.59938069315658</v>
      </c>
    </row>
    <row r="31" spans="2:30" x14ac:dyDescent="0.35">
      <c r="B31" s="175">
        <f t="shared" si="27"/>
        <v>2042</v>
      </c>
      <c r="C31" s="506" t="s">
        <v>564</v>
      </c>
      <c r="D31" s="59">
        <f t="shared" si="37"/>
        <v>4.6602372183207397E-2</v>
      </c>
      <c r="E31" s="2">
        <f t="shared" si="17"/>
        <v>5088902559953.5742</v>
      </c>
      <c r="F31" s="90">
        <f t="shared" si="39"/>
        <v>0.92749412104173179</v>
      </c>
      <c r="G31" s="2">
        <f t="shared" si="40"/>
        <v>1934.091361941729</v>
      </c>
      <c r="H31" s="2">
        <f t="shared" si="13"/>
        <v>2631.1593444296113</v>
      </c>
      <c r="I31" s="2">
        <f t="shared" si="14"/>
        <v>380.06060032703277</v>
      </c>
      <c r="J31" s="2">
        <f t="shared" si="18"/>
        <v>19.495142993244055</v>
      </c>
      <c r="K31" s="6">
        <f t="shared" si="19"/>
        <v>63.611281999419703</v>
      </c>
      <c r="L31" s="120">
        <f t="shared" si="32"/>
        <v>23.837391101815729</v>
      </c>
      <c r="O31" s="175">
        <f t="shared" si="30"/>
        <v>2037</v>
      </c>
      <c r="P31" s="504" t="s">
        <v>555</v>
      </c>
      <c r="Q31" s="59">
        <v>0.2</v>
      </c>
      <c r="R31" s="2">
        <f t="shared" si="20"/>
        <v>26597718613231.813</v>
      </c>
      <c r="S31" s="90">
        <f>S30</f>
        <v>0.85498797333834864</v>
      </c>
      <c r="T31" s="2">
        <f t="shared" si="22"/>
        <v>3096.3819722216358</v>
      </c>
      <c r="U31" s="187">
        <f t="shared" si="33"/>
        <v>47.154733762959729</v>
      </c>
      <c r="X31" s="175">
        <f t="shared" si="31"/>
        <v>2042</v>
      </c>
      <c r="Y31" s="506" t="s">
        <v>571</v>
      </c>
      <c r="Z31" s="59">
        <f t="shared" si="38"/>
        <v>0.1</v>
      </c>
      <c r="AA31" s="2">
        <f t="shared" si="23"/>
        <v>871728546960264.75</v>
      </c>
      <c r="AB31" s="90">
        <f t="shared" si="36"/>
        <v>0.9</v>
      </c>
      <c r="AC31" s="90">
        <f t="shared" si="25"/>
        <v>326.91863752494447</v>
      </c>
      <c r="AD31" s="120">
        <f t="shared" si="26"/>
        <v>163.45931876247224</v>
      </c>
    </row>
    <row r="32" spans="2:30" x14ac:dyDescent="0.35">
      <c r="B32" s="175">
        <f t="shared" si="27"/>
        <v>2043</v>
      </c>
      <c r="C32" s="506" t="s">
        <v>568</v>
      </c>
      <c r="D32" s="59">
        <f t="shared" si="37"/>
        <v>4.6602372183207397E-2</v>
      </c>
      <c r="E32" s="2">
        <f t="shared" si="17"/>
        <v>5326057491056.6074</v>
      </c>
      <c r="F32" s="90">
        <f t="shared" si="39"/>
        <v>0.92749412104173179</v>
      </c>
      <c r="G32" s="2">
        <f t="shared" si="40"/>
        <v>2024.2246074272639</v>
      </c>
      <c r="H32" s="2">
        <f t="shared" si="13"/>
        <v>2631.1593444296113</v>
      </c>
      <c r="I32" s="2">
        <f t="shared" si="14"/>
        <v>380.06060032703277</v>
      </c>
      <c r="J32" s="2">
        <f t="shared" si="18"/>
        <v>19.495142993244055</v>
      </c>
      <c r="K32" s="6">
        <f t="shared" si="19"/>
        <v>66.575718638207618</v>
      </c>
      <c r="L32" s="120">
        <f t="shared" si="32"/>
        <v>24.948270073819224</v>
      </c>
      <c r="O32" s="175">
        <f t="shared" si="30"/>
        <v>2038</v>
      </c>
      <c r="P32" s="505" t="s">
        <v>1032</v>
      </c>
      <c r="Q32" s="59">
        <v>0.2</v>
      </c>
      <c r="R32" s="2">
        <f t="shared" si="20"/>
        <v>31917262335878.172</v>
      </c>
      <c r="S32" s="90">
        <f t="shared" ref="S32:S39" si="41">S31</f>
        <v>0.85498797333834864</v>
      </c>
      <c r="T32" s="2">
        <f t="shared" si="22"/>
        <v>3715.6583666659626</v>
      </c>
      <c r="U32" s="187">
        <f t="shared" si="33"/>
        <v>56.585680515551672</v>
      </c>
      <c r="X32" s="175">
        <f t="shared" si="31"/>
        <v>2043</v>
      </c>
      <c r="Y32" s="7"/>
      <c r="Z32" s="59">
        <f t="shared" si="38"/>
        <v>0.1</v>
      </c>
      <c r="AA32" s="2">
        <f t="shared" si="23"/>
        <v>958901401656291.25</v>
      </c>
      <c r="AB32" s="90">
        <f t="shared" si="36"/>
        <v>0.9</v>
      </c>
      <c r="AC32" s="90">
        <f t="shared" si="25"/>
        <v>359.61050127743897</v>
      </c>
      <c r="AD32" s="120">
        <f t="shared" si="26"/>
        <v>179.80525063871949</v>
      </c>
    </row>
    <row r="33" spans="2:30" x14ac:dyDescent="0.35">
      <c r="B33" s="175">
        <f t="shared" si="27"/>
        <v>2044</v>
      </c>
      <c r="C33" s="506" t="s">
        <v>569</v>
      </c>
      <c r="D33" s="59">
        <f t="shared" si="37"/>
        <v>4.6602372183207397E-2</v>
      </c>
      <c r="E33" s="2">
        <f t="shared" si="17"/>
        <v>5574264404523.9873</v>
      </c>
      <c r="F33" s="90">
        <f t="shared" si="39"/>
        <v>0.92749412104173179</v>
      </c>
      <c r="G33" s="2">
        <f t="shared" si="40"/>
        <v>2118.558275964996</v>
      </c>
      <c r="H33" s="2">
        <f t="shared" si="13"/>
        <v>2631.1593444296118</v>
      </c>
      <c r="I33" s="2">
        <f t="shared" si="14"/>
        <v>380.06060032703272</v>
      </c>
      <c r="J33" s="2">
        <f t="shared" si="18"/>
        <v>19.495142993244052</v>
      </c>
      <c r="K33" s="6">
        <f t="shared" si="19"/>
        <v>69.678305056549874</v>
      </c>
      <c r="L33" s="120">
        <f t="shared" si="32"/>
        <v>26.110918641126521</v>
      </c>
      <c r="O33" s="175">
        <f t="shared" si="30"/>
        <v>2039</v>
      </c>
      <c r="P33" s="504" t="s">
        <v>1033</v>
      </c>
      <c r="Q33" s="59">
        <v>0.2</v>
      </c>
      <c r="R33" s="2">
        <f t="shared" si="20"/>
        <v>38300714803053.805</v>
      </c>
      <c r="S33" s="90">
        <f t="shared" si="41"/>
        <v>0.85498797333834864</v>
      </c>
      <c r="T33" s="2">
        <f t="shared" si="22"/>
        <v>4458.7900399991549</v>
      </c>
      <c r="U33" s="187">
        <f t="shared" si="33"/>
        <v>67.902816618662001</v>
      </c>
      <c r="X33" s="175">
        <f t="shared" si="31"/>
        <v>2044</v>
      </c>
      <c r="Y33" s="7"/>
      <c r="Z33" s="59">
        <f t="shared" si="38"/>
        <v>0.1</v>
      </c>
      <c r="AA33" s="2">
        <f t="shared" si="23"/>
        <v>1054791541821920.5</v>
      </c>
      <c r="AB33" s="90">
        <f t="shared" si="36"/>
        <v>0.9</v>
      </c>
      <c r="AC33" s="90">
        <f t="shared" si="25"/>
        <v>395.5715514051829</v>
      </c>
      <c r="AD33" s="120">
        <f t="shared" si="26"/>
        <v>197.78577570259145</v>
      </c>
    </row>
    <row r="34" spans="2:30" ht="15" thickBot="1" x14ac:dyDescent="0.4">
      <c r="B34" s="382">
        <f t="shared" si="27"/>
        <v>2045</v>
      </c>
      <c r="C34" s="193" t="s">
        <v>579</v>
      </c>
      <c r="D34" s="192">
        <f t="shared" si="37"/>
        <v>4.6602372183207397E-2</v>
      </c>
      <c r="E34" s="155">
        <f t="shared" si="17"/>
        <v>5834038348951.2188</v>
      </c>
      <c r="F34" s="176">
        <f t="shared" si="39"/>
        <v>0.92749412104173179</v>
      </c>
      <c r="G34" s="155">
        <f t="shared" si="40"/>
        <v>2217.2881172333309</v>
      </c>
      <c r="H34" s="155">
        <f t="shared" si="13"/>
        <v>2631.1593444296113</v>
      </c>
      <c r="I34" s="155">
        <f t="shared" si="14"/>
        <v>380.06060032703277</v>
      </c>
      <c r="J34" s="155">
        <f t="shared" si="18"/>
        <v>19.495142993244055</v>
      </c>
      <c r="K34" s="497">
        <f t="shared" si="19"/>
        <v>72.925479361890268</v>
      </c>
      <c r="L34" s="194">
        <f t="shared" si="32"/>
        <v>27.327749389685746</v>
      </c>
      <c r="O34" s="175">
        <f t="shared" si="30"/>
        <v>2040</v>
      </c>
      <c r="P34" s="506" t="s">
        <v>563</v>
      </c>
      <c r="Q34" s="59">
        <v>0.1</v>
      </c>
      <c r="R34" s="2">
        <f t="shared" si="20"/>
        <v>45960857763664.563</v>
      </c>
      <c r="S34" s="90">
        <f t="shared" si="41"/>
        <v>0.85498797333834864</v>
      </c>
      <c r="T34" s="2">
        <f t="shared" si="22"/>
        <v>5350.5480479989856</v>
      </c>
      <c r="U34" s="187">
        <f t="shared" si="33"/>
        <v>81.483379942394393</v>
      </c>
      <c r="X34" s="382">
        <f t="shared" si="31"/>
        <v>2045</v>
      </c>
      <c r="Y34" s="196"/>
      <c r="Z34" s="192">
        <f t="shared" si="38"/>
        <v>0.1</v>
      </c>
      <c r="AA34" s="155">
        <f t="shared" si="23"/>
        <v>1160270696004112.8</v>
      </c>
      <c r="AB34" s="176">
        <f t="shared" si="36"/>
        <v>0.9</v>
      </c>
      <c r="AC34" s="176">
        <f t="shared" si="25"/>
        <v>435.12870654570122</v>
      </c>
      <c r="AD34" s="194">
        <f t="shared" si="26"/>
        <v>217.56435327285061</v>
      </c>
    </row>
    <row r="35" spans="2:30" ht="15" thickTop="1" x14ac:dyDescent="0.35">
      <c r="B35" s="44" t="s">
        <v>291</v>
      </c>
      <c r="C35" s="31"/>
      <c r="D35" s="31"/>
      <c r="E35" s="31"/>
      <c r="F35" s="31"/>
      <c r="G35" s="31"/>
      <c r="H35" s="31"/>
      <c r="I35" s="31"/>
      <c r="J35" s="31"/>
      <c r="K35" s="31"/>
      <c r="L35" s="31"/>
      <c r="O35" s="175">
        <f t="shared" si="30"/>
        <v>2041</v>
      </c>
      <c r="P35" s="506" t="s">
        <v>565</v>
      </c>
      <c r="Q35" s="59">
        <v>0.1</v>
      </c>
      <c r="R35" s="2">
        <f t="shared" si="20"/>
        <v>50556943540031.023</v>
      </c>
      <c r="S35" s="90">
        <f t="shared" si="41"/>
        <v>0.85498797333834864</v>
      </c>
      <c r="T35" s="2">
        <f t="shared" si="22"/>
        <v>5885.6028527988847</v>
      </c>
      <c r="U35" s="187">
        <f t="shared" si="33"/>
        <v>89.631717936633834</v>
      </c>
      <c r="X35" s="44" t="s">
        <v>291</v>
      </c>
      <c r="Y35" s="31"/>
      <c r="Z35" s="31"/>
      <c r="AA35" s="31"/>
      <c r="AB35" s="31"/>
      <c r="AC35" s="31"/>
      <c r="AD35" s="31"/>
    </row>
    <row r="36" spans="2:30" x14ac:dyDescent="0.35">
      <c r="O36" s="175">
        <f t="shared" si="30"/>
        <v>2042</v>
      </c>
      <c r="P36" s="506" t="s">
        <v>572</v>
      </c>
      <c r="Q36" s="59">
        <v>0.1</v>
      </c>
      <c r="R36" s="2">
        <f t="shared" si="20"/>
        <v>55612637894034.133</v>
      </c>
      <c r="S36" s="90">
        <f t="shared" si="41"/>
        <v>0.85498797333834864</v>
      </c>
      <c r="T36" s="2">
        <f t="shared" si="22"/>
        <v>6474.163138078774</v>
      </c>
      <c r="U36" s="187">
        <f t="shared" si="33"/>
        <v>98.594889730297226</v>
      </c>
    </row>
    <row r="37" spans="2:30" s="8" customFormat="1" x14ac:dyDescent="0.35">
      <c r="B37"/>
      <c r="D37"/>
      <c r="E37"/>
      <c r="F37"/>
      <c r="G37"/>
      <c r="I37" s="8" t="s">
        <v>316</v>
      </c>
      <c r="J37" s="8" t="s">
        <v>184</v>
      </c>
      <c r="K37"/>
      <c r="L37"/>
      <c r="O37" s="175">
        <f t="shared" si="30"/>
        <v>2043</v>
      </c>
      <c r="P37" s="506" t="s">
        <v>570</v>
      </c>
      <c r="Q37" s="59">
        <v>0.1</v>
      </c>
      <c r="R37" s="2">
        <f t="shared" si="20"/>
        <v>61173901683437.555</v>
      </c>
      <c r="S37" s="90">
        <f t="shared" si="41"/>
        <v>0.85498797333834864</v>
      </c>
      <c r="T37" s="2">
        <f t="shared" si="22"/>
        <v>7121.5794518866524</v>
      </c>
      <c r="U37" s="187">
        <f t="shared" si="33"/>
        <v>108.45437870332695</v>
      </c>
    </row>
    <row r="38" spans="2:30" x14ac:dyDescent="0.35">
      <c r="E38" s="2">
        <v>1000000000</v>
      </c>
      <c r="I38" s="2">
        <f>J7^2</f>
        <v>10174.999999999998</v>
      </c>
      <c r="J38" t="s">
        <v>8</v>
      </c>
      <c r="K38" t="s">
        <v>307</v>
      </c>
      <c r="M38" s="8"/>
      <c r="N38" s="8"/>
      <c r="O38" s="520">
        <f t="shared" si="30"/>
        <v>2044</v>
      </c>
      <c r="P38" s="506" t="s">
        <v>568</v>
      </c>
      <c r="Q38" s="521">
        <v>0.1</v>
      </c>
      <c r="R38" s="522">
        <f t="shared" si="20"/>
        <v>67291291851781.313</v>
      </c>
      <c r="S38" s="523">
        <f t="shared" si="41"/>
        <v>0.85498797333834864</v>
      </c>
      <c r="T38" s="522">
        <f t="shared" si="22"/>
        <v>7833.7373970753179</v>
      </c>
      <c r="U38" s="524">
        <f t="shared" si="33"/>
        <v>119.29981657365965</v>
      </c>
      <c r="V38" s="93"/>
      <c r="W38" s="93"/>
    </row>
    <row r="39" spans="2:30" ht="15" thickBot="1" x14ac:dyDescent="0.4">
      <c r="E39" s="2">
        <v>1000000</v>
      </c>
      <c r="J39" t="s">
        <v>9</v>
      </c>
      <c r="K39" t="s">
        <v>308</v>
      </c>
      <c r="O39" s="382">
        <f t="shared" si="30"/>
        <v>2045</v>
      </c>
      <c r="P39" s="193" t="s">
        <v>571</v>
      </c>
      <c r="Q39" s="192">
        <v>0.1</v>
      </c>
      <c r="R39" s="155">
        <f t="shared" si="20"/>
        <v>74020421036959.453</v>
      </c>
      <c r="S39" s="176">
        <f t="shared" si="41"/>
        <v>0.85498797333834864</v>
      </c>
      <c r="T39" s="155">
        <f t="shared" si="22"/>
        <v>8617.1111367828507</v>
      </c>
      <c r="U39" s="195">
        <f t="shared" si="33"/>
        <v>131.22979823102563</v>
      </c>
    </row>
    <row r="40" spans="2:30" ht="15" thickTop="1" x14ac:dyDescent="0.35">
      <c r="E40" s="2">
        <f>E39*E39</f>
        <v>1000000000000</v>
      </c>
      <c r="J40" t="s">
        <v>310</v>
      </c>
      <c r="K40" t="s">
        <v>311</v>
      </c>
      <c r="O40" s="44" t="s">
        <v>291</v>
      </c>
      <c r="P40" s="31"/>
      <c r="Q40" s="31"/>
      <c r="R40" s="31"/>
      <c r="S40" s="31"/>
      <c r="T40" s="31"/>
      <c r="U40" s="31"/>
    </row>
    <row r="41" spans="2:30" x14ac:dyDescent="0.35">
      <c r="E41" s="2">
        <v>1000000</v>
      </c>
      <c r="J41" t="s">
        <v>312</v>
      </c>
      <c r="K41" t="s">
        <v>142</v>
      </c>
      <c r="O41" s="44"/>
      <c r="R41" t="s">
        <v>323</v>
      </c>
      <c r="AA41" t="s">
        <v>324</v>
      </c>
    </row>
    <row r="42" spans="2:30" x14ac:dyDescent="0.35">
      <c r="O42" s="44"/>
      <c r="R42" s="2">
        <f>R12/T12</f>
        <v>8589934592</v>
      </c>
      <c r="AA42" s="2">
        <f>AA12/(AC12*1000)</f>
        <v>2666500000</v>
      </c>
    </row>
    <row r="43" spans="2:30" x14ac:dyDescent="0.35">
      <c r="O43" s="44"/>
      <c r="R43" s="2">
        <v>1000000000</v>
      </c>
      <c r="AA43" s="2">
        <f>R43</f>
        <v>1000000000</v>
      </c>
    </row>
    <row r="44" spans="2:30" s="16" customFormat="1" ht="21.5" thickBot="1" x14ac:dyDescent="0.55000000000000004">
      <c r="B44" s="353" t="s">
        <v>938</v>
      </c>
      <c r="C44" s="354"/>
      <c r="D44" s="354"/>
      <c r="E44" s="354"/>
      <c r="F44" s="354"/>
      <c r="O44" s="353" t="s">
        <v>938</v>
      </c>
      <c r="P44" s="354"/>
      <c r="Q44" s="353"/>
      <c r="R44" s="354"/>
      <c r="S44" s="354"/>
      <c r="X44" s="353" t="s">
        <v>939</v>
      </c>
      <c r="Y44" s="354"/>
      <c r="Z44" s="353"/>
      <c r="AA44" s="354"/>
      <c r="AB44" s="354"/>
    </row>
    <row r="45" spans="2:30" ht="15" thickTop="1" x14ac:dyDescent="0.35">
      <c r="B45" s="67" t="s">
        <v>7</v>
      </c>
      <c r="C45" s="68" t="str">
        <f>C5</f>
        <v>Chip name &amp; notes</v>
      </c>
      <c r="D45" s="68" t="s">
        <v>553</v>
      </c>
      <c r="E45" s="68" t="s">
        <v>270</v>
      </c>
      <c r="F45" s="68" t="s">
        <v>294</v>
      </c>
      <c r="G45" s="68" t="s">
        <v>313</v>
      </c>
      <c r="H45" s="68" t="s">
        <v>314</v>
      </c>
      <c r="I45" s="68" t="s">
        <v>315</v>
      </c>
      <c r="J45" s="68" t="s">
        <v>317</v>
      </c>
      <c r="K45" s="68" t="str">
        <f t="shared" ref="K45:L47" si="42">K5</f>
        <v>X increase</v>
      </c>
      <c r="L45" s="69" t="str">
        <f t="shared" si="42"/>
        <v>X increase</v>
      </c>
      <c r="O45" s="67" t="s">
        <v>7</v>
      </c>
      <c r="P45" s="68" t="s">
        <v>289</v>
      </c>
      <c r="Q45" s="68" t="s">
        <v>553</v>
      </c>
      <c r="R45" s="68" t="s">
        <v>270</v>
      </c>
      <c r="S45" s="68" t="s">
        <v>294</v>
      </c>
      <c r="T45" s="68" t="s">
        <v>318</v>
      </c>
      <c r="U45" s="69" t="s">
        <v>290</v>
      </c>
      <c r="X45" s="67" t="s">
        <v>7</v>
      </c>
      <c r="Y45" s="68" t="s">
        <v>13</v>
      </c>
      <c r="Z45" s="68" t="s">
        <v>553</v>
      </c>
      <c r="AA45" s="68" t="s">
        <v>270</v>
      </c>
      <c r="AB45" s="68" t="s">
        <v>294</v>
      </c>
      <c r="AC45" s="68" t="s">
        <v>319</v>
      </c>
      <c r="AD45" s="69" t="s">
        <v>290</v>
      </c>
    </row>
    <row r="46" spans="2:30" x14ac:dyDescent="0.35">
      <c r="B46" s="70">
        <v>1989</v>
      </c>
      <c r="C46" s="91" t="str">
        <f>C6</f>
        <v>Intel 80486</v>
      </c>
      <c r="D46" s="164" t="s">
        <v>554</v>
      </c>
      <c r="E46" s="356" t="s">
        <v>231</v>
      </c>
      <c r="F46" s="71" t="s">
        <v>231</v>
      </c>
      <c r="G46" s="360" t="s">
        <v>231</v>
      </c>
      <c r="H46" s="359" t="s">
        <v>138</v>
      </c>
      <c r="I46" s="359" t="s">
        <v>138</v>
      </c>
      <c r="J46" s="361" t="s">
        <v>138</v>
      </c>
      <c r="K46" s="91" t="str">
        <f t="shared" si="42"/>
        <v>in flops</v>
      </c>
      <c r="L46" s="72" t="str">
        <f t="shared" si="42"/>
        <v>in flops</v>
      </c>
      <c r="O46" s="70">
        <v>1991</v>
      </c>
      <c r="P46" s="91" t="s">
        <v>292</v>
      </c>
      <c r="Q46" s="164" t="s">
        <v>554</v>
      </c>
      <c r="R46" s="356" t="s">
        <v>228</v>
      </c>
      <c r="S46" s="356" t="s">
        <v>228</v>
      </c>
      <c r="T46" s="362" t="s">
        <v>228</v>
      </c>
      <c r="U46" s="122" t="s">
        <v>390</v>
      </c>
      <c r="X46" s="70">
        <v>1994</v>
      </c>
      <c r="Y46" s="91" t="s">
        <v>297</v>
      </c>
      <c r="Z46" s="164" t="s">
        <v>554</v>
      </c>
      <c r="AA46" s="356" t="s">
        <v>228</v>
      </c>
      <c r="AB46" s="356" t="s">
        <v>228</v>
      </c>
      <c r="AC46" s="91"/>
      <c r="AD46" s="122" t="s">
        <v>390</v>
      </c>
    </row>
    <row r="47" spans="2:30" ht="15" thickBot="1" x14ac:dyDescent="0.4">
      <c r="B47" s="70">
        <v>2023</v>
      </c>
      <c r="C47" s="91" t="str">
        <f>C7</f>
        <v>Nvidia H100</v>
      </c>
      <c r="D47" s="164" t="s">
        <v>552</v>
      </c>
      <c r="E47" s="356" t="s">
        <v>146</v>
      </c>
      <c r="F47" s="71" t="s">
        <v>146</v>
      </c>
      <c r="G47" s="190" t="s">
        <v>146</v>
      </c>
      <c r="H47" s="359" t="s">
        <v>138</v>
      </c>
      <c r="I47" s="359" t="s">
        <v>138</v>
      </c>
      <c r="J47" s="361" t="s">
        <v>138</v>
      </c>
      <c r="K47" s="91" t="str">
        <f t="shared" si="42"/>
        <v>per chipset</v>
      </c>
      <c r="L47" s="517" t="str">
        <f t="shared" si="42"/>
        <v>per chipset</v>
      </c>
      <c r="O47" s="70">
        <v>2018</v>
      </c>
      <c r="P47" s="91" t="s">
        <v>295</v>
      </c>
      <c r="Q47" s="164" t="s">
        <v>552</v>
      </c>
      <c r="R47" s="356" t="s">
        <v>228</v>
      </c>
      <c r="S47" s="356" t="s">
        <v>228</v>
      </c>
      <c r="T47" s="362" t="s">
        <v>228</v>
      </c>
      <c r="U47" s="122" t="s">
        <v>318</v>
      </c>
      <c r="X47" s="70">
        <v>2023</v>
      </c>
      <c r="Y47" s="91" t="s">
        <v>301</v>
      </c>
      <c r="Z47" s="164" t="s">
        <v>552</v>
      </c>
      <c r="AA47" s="356" t="s">
        <v>228</v>
      </c>
      <c r="AB47" s="1" t="s">
        <v>299</v>
      </c>
      <c r="AC47" s="91"/>
      <c r="AD47" s="122" t="s">
        <v>319</v>
      </c>
    </row>
    <row r="48" spans="2:30" ht="15" thickTop="1" x14ac:dyDescent="0.35">
      <c r="B48" s="433" t="str">
        <f>B8</f>
        <v>Growth 1989 to 2023</v>
      </c>
      <c r="C48" s="492"/>
      <c r="D48" s="499" t="str">
        <f>D8</f>
        <v>-</v>
      </c>
      <c r="E48" s="508" t="s">
        <v>138</v>
      </c>
      <c r="F48" s="508" t="s">
        <v>138</v>
      </c>
      <c r="G48" s="508" t="s">
        <v>138</v>
      </c>
      <c r="H48" s="508" t="s">
        <v>138</v>
      </c>
      <c r="I48" s="508" t="s">
        <v>138</v>
      </c>
      <c r="J48" s="508" t="s">
        <v>138</v>
      </c>
      <c r="K48" s="508" t="s">
        <v>45</v>
      </c>
      <c r="L48" s="509" t="s">
        <v>45</v>
      </c>
      <c r="O48" s="433" t="str">
        <f>O8</f>
        <v>Growth 1991 to 2018</v>
      </c>
      <c r="P48" s="443"/>
      <c r="Q48" s="499" t="s">
        <v>45</v>
      </c>
      <c r="R48" s="519" t="s">
        <v>138</v>
      </c>
      <c r="S48" s="464" t="s">
        <v>138</v>
      </c>
      <c r="T48" s="464" t="s">
        <v>138</v>
      </c>
      <c r="U48" s="465" t="s">
        <v>45</v>
      </c>
      <c r="X48" s="433" t="str">
        <f>X8</f>
        <v>Growth 1994 to 2023</v>
      </c>
      <c r="Y48" s="443"/>
      <c r="Z48" s="499" t="s">
        <v>45</v>
      </c>
      <c r="AA48" s="443"/>
      <c r="AB48" s="434" t="s">
        <v>138</v>
      </c>
      <c r="AC48" s="434" t="s">
        <v>138</v>
      </c>
      <c r="AD48" s="500"/>
    </row>
    <row r="49" spans="2:30" x14ac:dyDescent="0.35">
      <c r="B49" s="426" t="str">
        <f>B9</f>
        <v>Growth 2023 to 2029</v>
      </c>
      <c r="C49" s="494"/>
      <c r="D49" s="498" t="str">
        <f>D9</f>
        <v>-</v>
      </c>
      <c r="E49" s="510" t="s">
        <v>138</v>
      </c>
      <c r="F49" s="510" t="s">
        <v>138</v>
      </c>
      <c r="G49" s="510" t="s">
        <v>138</v>
      </c>
      <c r="H49" s="510" t="s">
        <v>138</v>
      </c>
      <c r="I49" s="510" t="s">
        <v>138</v>
      </c>
      <c r="J49" s="510" t="s">
        <v>138</v>
      </c>
      <c r="K49" s="510" t="s">
        <v>138</v>
      </c>
      <c r="L49" s="511" t="s">
        <v>45</v>
      </c>
      <c r="O49" s="426" t="str">
        <f>O9</f>
        <v>Growth 2023 to 2029</v>
      </c>
      <c r="P49" s="110"/>
      <c r="Q49" s="498" t="s">
        <v>45</v>
      </c>
      <c r="R49" s="469" t="s">
        <v>138</v>
      </c>
      <c r="S49" s="469" t="s">
        <v>138</v>
      </c>
      <c r="T49" s="469" t="s">
        <v>138</v>
      </c>
      <c r="U49" s="469" t="s">
        <v>138</v>
      </c>
      <c r="X49" s="426" t="str">
        <f>X9</f>
        <v>Growth 2023 to 2029</v>
      </c>
      <c r="Y49" s="110"/>
      <c r="Z49" s="498" t="s">
        <v>45</v>
      </c>
      <c r="AA49" s="110"/>
      <c r="AB49" s="442"/>
      <c r="AC49" s="442"/>
      <c r="AD49" s="452"/>
    </row>
    <row r="50" spans="2:30" x14ac:dyDescent="0.35">
      <c r="B50" s="426" t="str">
        <f>B10</f>
        <v>Growth 2029 to 2045</v>
      </c>
      <c r="C50" s="494"/>
      <c r="D50" s="498" t="str">
        <f>D10</f>
        <v>-</v>
      </c>
      <c r="E50" s="510" t="s">
        <v>138</v>
      </c>
      <c r="F50" s="510" t="s">
        <v>138</v>
      </c>
      <c r="G50" s="510" t="s">
        <v>138</v>
      </c>
      <c r="H50" s="510" t="s">
        <v>138</v>
      </c>
      <c r="I50" s="510" t="s">
        <v>138</v>
      </c>
      <c r="J50" s="510" t="s">
        <v>138</v>
      </c>
      <c r="K50" s="510" t="s">
        <v>138</v>
      </c>
      <c r="L50" s="511" t="s">
        <v>138</v>
      </c>
      <c r="O50" s="426" t="str">
        <f>O10</f>
        <v>Growth 2029 to 2045</v>
      </c>
      <c r="P50" s="110"/>
      <c r="Q50" s="498" t="s">
        <v>45</v>
      </c>
      <c r="R50" s="469" t="s">
        <v>138</v>
      </c>
      <c r="S50" s="469" t="s">
        <v>138</v>
      </c>
      <c r="T50" s="469" t="s">
        <v>138</v>
      </c>
      <c r="U50" s="469" t="s">
        <v>138</v>
      </c>
      <c r="X50" s="426" t="str">
        <f>X10</f>
        <v>Growth 2029 to 2045</v>
      </c>
      <c r="Y50" s="110"/>
      <c r="Z50" s="498" t="s">
        <v>45</v>
      </c>
      <c r="AA50" s="110"/>
      <c r="AB50" s="442"/>
      <c r="AC50" s="442"/>
      <c r="AD50" s="452"/>
    </row>
    <row r="51" spans="2:30" ht="15" thickBot="1" x14ac:dyDescent="0.4">
      <c r="B51" s="73" t="str">
        <f>B11</f>
        <v>Growth 2023 to 2045</v>
      </c>
      <c r="C51" s="96"/>
      <c r="D51" s="366" t="str">
        <f>D11</f>
        <v>-</v>
      </c>
      <c r="E51" s="512" t="s">
        <v>138</v>
      </c>
      <c r="F51" s="512" t="s">
        <v>138</v>
      </c>
      <c r="G51" s="512" t="s">
        <v>138</v>
      </c>
      <c r="H51" s="512" t="s">
        <v>138</v>
      </c>
      <c r="I51" s="512" t="s">
        <v>138</v>
      </c>
      <c r="J51" s="512" t="s">
        <v>138</v>
      </c>
      <c r="K51" s="512" t="s">
        <v>138</v>
      </c>
      <c r="L51" s="513" t="s">
        <v>45</v>
      </c>
      <c r="O51" s="73" t="str">
        <f>O11</f>
        <v>Growth 2023 to 2045</v>
      </c>
      <c r="P51" s="82"/>
      <c r="Q51" s="366" t="s">
        <v>45</v>
      </c>
      <c r="R51" s="430" t="s">
        <v>138</v>
      </c>
      <c r="S51" s="430" t="s">
        <v>138</v>
      </c>
      <c r="T51" s="430" t="s">
        <v>138</v>
      </c>
      <c r="U51" s="430" t="s">
        <v>138</v>
      </c>
      <c r="X51" s="73" t="str">
        <f>X11</f>
        <v>Growth 2023 to 2045</v>
      </c>
      <c r="Y51" s="82"/>
      <c r="Z51" s="366" t="s">
        <v>45</v>
      </c>
      <c r="AA51" s="82"/>
      <c r="AB51" s="87"/>
      <c r="AC51" s="87"/>
      <c r="AD51" s="121"/>
    </row>
    <row r="52" spans="2:30" ht="15" thickTop="1" x14ac:dyDescent="0.35">
      <c r="B52" s="175">
        <f>B47</f>
        <v>2023</v>
      </c>
      <c r="C52" s="7"/>
      <c r="D52" s="59" t="s">
        <v>236</v>
      </c>
      <c r="E52" s="364" t="s">
        <v>236</v>
      </c>
      <c r="F52" s="59" t="s">
        <v>236</v>
      </c>
      <c r="G52" s="59" t="s">
        <v>236</v>
      </c>
      <c r="H52" s="34" t="s">
        <v>138</v>
      </c>
      <c r="I52" s="34" t="s">
        <v>138</v>
      </c>
      <c r="J52" s="2" t="s">
        <v>138</v>
      </c>
      <c r="K52" s="6">
        <v>1</v>
      </c>
      <c r="L52" s="514" t="s">
        <v>45</v>
      </c>
      <c r="O52" s="175">
        <f>O47</f>
        <v>2018</v>
      </c>
      <c r="P52" s="7" t="s">
        <v>296</v>
      </c>
      <c r="Q52" s="59" t="s">
        <v>236</v>
      </c>
      <c r="R52" s="364" t="s">
        <v>236</v>
      </c>
      <c r="S52" s="59" t="s">
        <v>236</v>
      </c>
      <c r="T52" s="59" t="s">
        <v>236</v>
      </c>
      <c r="U52" s="56"/>
      <c r="X52" s="175">
        <f>X47</f>
        <v>2023</v>
      </c>
      <c r="Y52" s="7" t="s">
        <v>298</v>
      </c>
      <c r="Z52" s="59"/>
      <c r="AA52" s="151" t="s">
        <v>236</v>
      </c>
      <c r="AB52" s="90" t="s">
        <v>236</v>
      </c>
      <c r="AC52" s="151" t="s">
        <v>236</v>
      </c>
      <c r="AD52" s="408" t="s">
        <v>236</v>
      </c>
    </row>
    <row r="53" spans="2:30" x14ac:dyDescent="0.35">
      <c r="B53" s="175">
        <f>B52+1</f>
        <v>2024</v>
      </c>
      <c r="D53" s="59" t="s">
        <v>236</v>
      </c>
      <c r="E53" s="151" t="s">
        <v>138</v>
      </c>
      <c r="F53" s="90" t="s">
        <v>138</v>
      </c>
      <c r="G53" s="90" t="s">
        <v>138</v>
      </c>
      <c r="H53" s="151" t="s">
        <v>138</v>
      </c>
      <c r="I53" s="151" t="s">
        <v>138</v>
      </c>
      <c r="J53" s="90" t="s">
        <v>138</v>
      </c>
      <c r="K53" s="6" t="s">
        <v>138</v>
      </c>
      <c r="L53" s="514" t="s">
        <v>45</v>
      </c>
      <c r="O53" s="175">
        <f>O52+1</f>
        <v>2019</v>
      </c>
      <c r="Q53" s="59" t="s">
        <v>236</v>
      </c>
      <c r="R53" s="151" t="s">
        <v>138</v>
      </c>
      <c r="S53" s="90" t="s">
        <v>138</v>
      </c>
      <c r="T53" s="90" t="s">
        <v>138</v>
      </c>
      <c r="U53" s="56"/>
      <c r="X53" s="175">
        <f>X52+1</f>
        <v>2024</v>
      </c>
      <c r="Z53" s="59"/>
      <c r="AA53" s="151" t="s">
        <v>138</v>
      </c>
      <c r="AB53" s="90" t="s">
        <v>138</v>
      </c>
      <c r="AC53" s="151" t="s">
        <v>138</v>
      </c>
      <c r="AD53" s="408" t="s">
        <v>138</v>
      </c>
    </row>
    <row r="54" spans="2:30" x14ac:dyDescent="0.35">
      <c r="B54" s="175">
        <f t="shared" ref="B54:B74" si="43">B53+1</f>
        <v>2025</v>
      </c>
      <c r="D54" s="59" t="s">
        <v>236</v>
      </c>
      <c r="E54" s="151" t="s">
        <v>138</v>
      </c>
      <c r="F54" s="90" t="s">
        <v>138</v>
      </c>
      <c r="G54" s="90" t="s">
        <v>138</v>
      </c>
      <c r="H54" s="151" t="s">
        <v>138</v>
      </c>
      <c r="I54" s="151" t="s">
        <v>138</v>
      </c>
      <c r="J54" s="90" t="s">
        <v>138</v>
      </c>
      <c r="K54" s="6" t="s">
        <v>138</v>
      </c>
      <c r="L54" s="514" t="s">
        <v>45</v>
      </c>
      <c r="O54" s="175">
        <f t="shared" ref="O54:O79" si="44">O53+1</f>
        <v>2020</v>
      </c>
      <c r="Q54" s="59" t="s">
        <v>236</v>
      </c>
      <c r="R54" s="151" t="s">
        <v>138</v>
      </c>
      <c r="S54" s="90" t="s">
        <v>138</v>
      </c>
      <c r="T54" s="90" t="s">
        <v>138</v>
      </c>
      <c r="U54" s="56"/>
      <c r="X54" s="175">
        <f t="shared" ref="X54:X74" si="45">X53+1</f>
        <v>2025</v>
      </c>
      <c r="Z54" s="59"/>
      <c r="AA54" s="151" t="s">
        <v>138</v>
      </c>
      <c r="AB54" s="90" t="s">
        <v>138</v>
      </c>
      <c r="AC54" s="151" t="s">
        <v>138</v>
      </c>
      <c r="AD54" s="408" t="s">
        <v>138</v>
      </c>
    </row>
    <row r="55" spans="2:30" x14ac:dyDescent="0.35">
      <c r="B55" s="175">
        <f t="shared" si="43"/>
        <v>2026</v>
      </c>
      <c r="D55" s="59" t="s">
        <v>236</v>
      </c>
      <c r="E55" s="151" t="s">
        <v>138</v>
      </c>
      <c r="F55" s="90" t="s">
        <v>138</v>
      </c>
      <c r="G55" s="90" t="s">
        <v>138</v>
      </c>
      <c r="H55" s="151" t="s">
        <v>138</v>
      </c>
      <c r="I55" s="151" t="s">
        <v>138</v>
      </c>
      <c r="J55" s="90" t="s">
        <v>138</v>
      </c>
      <c r="K55" s="6" t="s">
        <v>138</v>
      </c>
      <c r="L55" s="120">
        <v>1</v>
      </c>
      <c r="O55" s="175">
        <f t="shared" si="44"/>
        <v>2021</v>
      </c>
      <c r="Q55" s="59" t="s">
        <v>236</v>
      </c>
      <c r="R55" s="151" t="s">
        <v>138</v>
      </c>
      <c r="S55" s="90" t="s">
        <v>138</v>
      </c>
      <c r="T55" s="90" t="s">
        <v>138</v>
      </c>
      <c r="U55" s="56"/>
      <c r="X55" s="175">
        <f t="shared" si="45"/>
        <v>2026</v>
      </c>
      <c r="Z55" s="59"/>
      <c r="AA55" s="151" t="s">
        <v>138</v>
      </c>
      <c r="AB55" s="90" t="s">
        <v>138</v>
      </c>
      <c r="AC55" s="151" t="s">
        <v>138</v>
      </c>
      <c r="AD55" s="408" t="s">
        <v>138</v>
      </c>
    </row>
    <row r="56" spans="2:30" x14ac:dyDescent="0.35">
      <c r="B56" s="175">
        <f t="shared" si="43"/>
        <v>2027</v>
      </c>
      <c r="D56" s="59" t="s">
        <v>236</v>
      </c>
      <c r="E56" s="151" t="s">
        <v>138</v>
      </c>
      <c r="F56" s="90" t="s">
        <v>138</v>
      </c>
      <c r="G56" s="90" t="s">
        <v>138</v>
      </c>
      <c r="H56" s="151" t="s">
        <v>138</v>
      </c>
      <c r="I56" s="151" t="s">
        <v>138</v>
      </c>
      <c r="J56" s="90" t="s">
        <v>138</v>
      </c>
      <c r="K56" s="6" t="s">
        <v>138</v>
      </c>
      <c r="L56" s="120" t="s">
        <v>138</v>
      </c>
      <c r="O56" s="175">
        <f t="shared" si="44"/>
        <v>2022</v>
      </c>
      <c r="Q56" s="59" t="s">
        <v>236</v>
      </c>
      <c r="R56" s="151" t="s">
        <v>138</v>
      </c>
      <c r="S56" s="90" t="s">
        <v>138</v>
      </c>
      <c r="T56" s="90" t="s">
        <v>138</v>
      </c>
      <c r="U56" s="56"/>
      <c r="X56" s="175">
        <f t="shared" si="45"/>
        <v>2027</v>
      </c>
      <c r="Z56" s="59"/>
      <c r="AA56" s="151" t="s">
        <v>138</v>
      </c>
      <c r="AB56" s="90" t="s">
        <v>138</v>
      </c>
      <c r="AC56" s="151" t="s">
        <v>138</v>
      </c>
      <c r="AD56" s="408" t="s">
        <v>138</v>
      </c>
    </row>
    <row r="57" spans="2:30" x14ac:dyDescent="0.35">
      <c r="B57" s="175">
        <f t="shared" si="43"/>
        <v>2028</v>
      </c>
      <c r="D57" s="59" t="s">
        <v>236</v>
      </c>
      <c r="E57" s="151" t="s">
        <v>138</v>
      </c>
      <c r="F57" s="90" t="s">
        <v>138</v>
      </c>
      <c r="G57" s="90" t="s">
        <v>138</v>
      </c>
      <c r="H57" s="151" t="s">
        <v>138</v>
      </c>
      <c r="I57" s="151" t="s">
        <v>138</v>
      </c>
      <c r="J57" s="90" t="s">
        <v>138</v>
      </c>
      <c r="K57" s="6" t="s">
        <v>138</v>
      </c>
      <c r="L57" s="120" t="s">
        <v>138</v>
      </c>
      <c r="O57" s="175">
        <f t="shared" si="44"/>
        <v>2023</v>
      </c>
      <c r="Q57" s="59" t="s">
        <v>236</v>
      </c>
      <c r="R57" s="364" t="s">
        <v>236</v>
      </c>
      <c r="S57" s="90" t="s">
        <v>138</v>
      </c>
      <c r="T57" s="90" t="s">
        <v>138</v>
      </c>
      <c r="U57" s="120">
        <v>1</v>
      </c>
      <c r="X57" s="175">
        <f t="shared" si="45"/>
        <v>2028</v>
      </c>
      <c r="Z57" s="59"/>
      <c r="AA57" s="151" t="s">
        <v>138</v>
      </c>
      <c r="AB57" s="90" t="s">
        <v>138</v>
      </c>
      <c r="AC57" s="151" t="s">
        <v>138</v>
      </c>
      <c r="AD57" s="408" t="s">
        <v>138</v>
      </c>
    </row>
    <row r="58" spans="2:30" x14ac:dyDescent="0.35">
      <c r="B58" s="381">
        <f t="shared" si="43"/>
        <v>2029</v>
      </c>
      <c r="C58" s="126"/>
      <c r="D58" s="189" t="s">
        <v>236</v>
      </c>
      <c r="E58" s="264" t="s">
        <v>138</v>
      </c>
      <c r="F58" s="133" t="s">
        <v>138</v>
      </c>
      <c r="G58" s="133" t="s">
        <v>138</v>
      </c>
      <c r="H58" s="264" t="s">
        <v>138</v>
      </c>
      <c r="I58" s="264" t="s">
        <v>138</v>
      </c>
      <c r="J58" s="133" t="s">
        <v>138</v>
      </c>
      <c r="K58" s="257" t="s">
        <v>138</v>
      </c>
      <c r="L58" s="138" t="s">
        <v>138</v>
      </c>
      <c r="O58" s="175">
        <f t="shared" si="44"/>
        <v>2024</v>
      </c>
      <c r="Q58" s="59" t="s">
        <v>236</v>
      </c>
      <c r="R58" s="151" t="s">
        <v>138</v>
      </c>
      <c r="S58" s="90" t="s">
        <v>138</v>
      </c>
      <c r="T58" s="90" t="s">
        <v>138</v>
      </c>
      <c r="U58" s="187" t="s">
        <v>138</v>
      </c>
      <c r="X58" s="381">
        <f t="shared" si="45"/>
        <v>2029</v>
      </c>
      <c r="Y58" s="126"/>
      <c r="Z58" s="189"/>
      <c r="AA58" s="264" t="s">
        <v>138</v>
      </c>
      <c r="AB58" s="133" t="s">
        <v>138</v>
      </c>
      <c r="AC58" s="264" t="s">
        <v>138</v>
      </c>
      <c r="AD58" s="409" t="s">
        <v>138</v>
      </c>
    </row>
    <row r="59" spans="2:30" x14ac:dyDescent="0.35">
      <c r="B59" s="175">
        <f t="shared" si="43"/>
        <v>2030</v>
      </c>
      <c r="D59" s="59" t="s">
        <v>236</v>
      </c>
      <c r="E59" s="151" t="s">
        <v>138</v>
      </c>
      <c r="F59" s="90" t="s">
        <v>138</v>
      </c>
      <c r="G59" s="90" t="s">
        <v>138</v>
      </c>
      <c r="H59" s="151" t="s">
        <v>138</v>
      </c>
      <c r="I59" s="151" t="s">
        <v>138</v>
      </c>
      <c r="J59" s="90" t="s">
        <v>138</v>
      </c>
      <c r="K59" s="6" t="s">
        <v>138</v>
      </c>
      <c r="L59" s="120" t="s">
        <v>138</v>
      </c>
      <c r="O59" s="175">
        <f t="shared" si="44"/>
        <v>2025</v>
      </c>
      <c r="Q59" s="59" t="s">
        <v>236</v>
      </c>
      <c r="R59" s="151" t="s">
        <v>138</v>
      </c>
      <c r="S59" s="90" t="s">
        <v>138</v>
      </c>
      <c r="T59" s="90" t="s">
        <v>138</v>
      </c>
      <c r="U59" s="187" t="s">
        <v>138</v>
      </c>
      <c r="X59" s="175">
        <f t="shared" si="45"/>
        <v>2030</v>
      </c>
      <c r="Z59" s="59"/>
      <c r="AA59" s="151" t="s">
        <v>138</v>
      </c>
      <c r="AB59" s="90" t="s">
        <v>138</v>
      </c>
      <c r="AC59" s="151" t="s">
        <v>138</v>
      </c>
      <c r="AD59" s="408" t="s">
        <v>138</v>
      </c>
    </row>
    <row r="60" spans="2:30" x14ac:dyDescent="0.35">
      <c r="B60" s="175">
        <f t="shared" si="43"/>
        <v>2031</v>
      </c>
      <c r="D60" s="59" t="s">
        <v>236</v>
      </c>
      <c r="E60" s="151" t="s">
        <v>138</v>
      </c>
      <c r="F60" s="90" t="s">
        <v>138</v>
      </c>
      <c r="G60" s="90" t="s">
        <v>138</v>
      </c>
      <c r="H60" s="151" t="s">
        <v>138</v>
      </c>
      <c r="I60" s="151" t="s">
        <v>138</v>
      </c>
      <c r="J60" s="90" t="s">
        <v>138</v>
      </c>
      <c r="K60" s="6" t="s">
        <v>138</v>
      </c>
      <c r="L60" s="120" t="s">
        <v>138</v>
      </c>
      <c r="O60" s="175">
        <f t="shared" si="44"/>
        <v>2026</v>
      </c>
      <c r="Q60" s="59" t="s">
        <v>236</v>
      </c>
      <c r="R60" s="151" t="s">
        <v>138</v>
      </c>
      <c r="S60" s="90" t="s">
        <v>138</v>
      </c>
      <c r="T60" s="90" t="s">
        <v>138</v>
      </c>
      <c r="U60" s="187" t="s">
        <v>138</v>
      </c>
      <c r="X60" s="175">
        <f t="shared" si="45"/>
        <v>2031</v>
      </c>
      <c r="Z60" s="59"/>
      <c r="AA60" s="151" t="s">
        <v>138</v>
      </c>
      <c r="AB60" s="90" t="s">
        <v>138</v>
      </c>
      <c r="AC60" s="151" t="s">
        <v>138</v>
      </c>
      <c r="AD60" s="408" t="s">
        <v>138</v>
      </c>
    </row>
    <row r="61" spans="2:30" x14ac:dyDescent="0.35">
      <c r="B61" s="175">
        <f t="shared" si="43"/>
        <v>2032</v>
      </c>
      <c r="C61" s="37" t="s">
        <v>562</v>
      </c>
      <c r="D61" s="59" t="s">
        <v>1131</v>
      </c>
      <c r="E61" s="151" t="s">
        <v>138</v>
      </c>
      <c r="F61" s="90"/>
      <c r="G61" s="2"/>
      <c r="H61" s="151" t="s">
        <v>138</v>
      </c>
      <c r="I61" s="151" t="s">
        <v>138</v>
      </c>
      <c r="J61" s="90" t="s">
        <v>138</v>
      </c>
      <c r="K61" s="6" t="s">
        <v>138</v>
      </c>
      <c r="L61" s="120" t="s">
        <v>138</v>
      </c>
      <c r="O61" s="175">
        <f t="shared" si="44"/>
        <v>2027</v>
      </c>
      <c r="Q61" s="59" t="s">
        <v>236</v>
      </c>
      <c r="R61" s="151" t="s">
        <v>138</v>
      </c>
      <c r="S61" s="90" t="s">
        <v>138</v>
      </c>
      <c r="T61" s="90" t="s">
        <v>138</v>
      </c>
      <c r="U61" s="187" t="s">
        <v>138</v>
      </c>
      <c r="X61" s="175">
        <f t="shared" si="45"/>
        <v>2032</v>
      </c>
      <c r="Z61" s="59"/>
      <c r="AA61" s="151" t="s">
        <v>138</v>
      </c>
      <c r="AB61" s="90" t="s">
        <v>138</v>
      </c>
      <c r="AC61" s="151" t="s">
        <v>138</v>
      </c>
      <c r="AD61" s="408" t="s">
        <v>138</v>
      </c>
    </row>
    <row r="62" spans="2:30" x14ac:dyDescent="0.35">
      <c r="B62" s="175">
        <f t="shared" si="43"/>
        <v>2033</v>
      </c>
      <c r="C62" s="37" t="s">
        <v>555</v>
      </c>
      <c r="D62" s="59" t="s">
        <v>236</v>
      </c>
      <c r="E62" s="151" t="s">
        <v>138</v>
      </c>
      <c r="F62" s="90"/>
      <c r="G62" s="2"/>
      <c r="H62" s="151" t="s">
        <v>138</v>
      </c>
      <c r="I62" s="151" t="s">
        <v>138</v>
      </c>
      <c r="J62" s="90" t="s">
        <v>138</v>
      </c>
      <c r="K62" s="6" t="s">
        <v>138</v>
      </c>
      <c r="L62" s="120" t="s">
        <v>138</v>
      </c>
      <c r="O62" s="175">
        <f t="shared" si="44"/>
        <v>2028</v>
      </c>
      <c r="Q62" s="59" t="s">
        <v>236</v>
      </c>
      <c r="R62" s="364" t="s">
        <v>236</v>
      </c>
      <c r="S62" s="90" t="s">
        <v>138</v>
      </c>
      <c r="T62" s="90" t="s">
        <v>138</v>
      </c>
      <c r="U62" s="187" t="s">
        <v>138</v>
      </c>
      <c r="X62" s="175">
        <f t="shared" si="45"/>
        <v>2033</v>
      </c>
      <c r="Y62" s="37" t="s">
        <v>562</v>
      </c>
      <c r="Z62" s="59"/>
      <c r="AA62" s="151" t="s">
        <v>138</v>
      </c>
      <c r="AB62" s="90" t="s">
        <v>138</v>
      </c>
      <c r="AC62" s="151" t="s">
        <v>138</v>
      </c>
      <c r="AD62" s="408" t="s">
        <v>138</v>
      </c>
    </row>
    <row r="63" spans="2:30" x14ac:dyDescent="0.35">
      <c r="B63" s="175">
        <f t="shared" si="43"/>
        <v>2034</v>
      </c>
      <c r="D63" s="59" t="s">
        <v>236</v>
      </c>
      <c r="E63" s="151" t="s">
        <v>138</v>
      </c>
      <c r="F63" s="90"/>
      <c r="G63" s="2"/>
      <c r="H63" s="151" t="s">
        <v>138</v>
      </c>
      <c r="I63" s="151" t="s">
        <v>138</v>
      </c>
      <c r="J63" s="90" t="s">
        <v>138</v>
      </c>
      <c r="K63" s="6" t="s">
        <v>138</v>
      </c>
      <c r="L63" s="120" t="s">
        <v>138</v>
      </c>
      <c r="O63" s="381">
        <f t="shared" si="44"/>
        <v>2029</v>
      </c>
      <c r="P63" s="129"/>
      <c r="Q63" s="189" t="s">
        <v>236</v>
      </c>
      <c r="R63" s="264" t="s">
        <v>138</v>
      </c>
      <c r="S63" s="133" t="s">
        <v>138</v>
      </c>
      <c r="T63" s="133" t="s">
        <v>138</v>
      </c>
      <c r="U63" s="188" t="s">
        <v>138</v>
      </c>
      <c r="X63" s="175">
        <f t="shared" si="45"/>
        <v>2034</v>
      </c>
      <c r="Y63" s="37" t="s">
        <v>555</v>
      </c>
      <c r="Z63" s="59"/>
      <c r="AA63" s="151" t="s">
        <v>138</v>
      </c>
      <c r="AB63" s="90" t="s">
        <v>138</v>
      </c>
      <c r="AC63" s="151" t="s">
        <v>138</v>
      </c>
      <c r="AD63" s="408" t="s">
        <v>138</v>
      </c>
    </row>
    <row r="64" spans="2:30" x14ac:dyDescent="0.35">
      <c r="B64" s="175">
        <f t="shared" si="43"/>
        <v>2035</v>
      </c>
      <c r="C64" s="37"/>
      <c r="D64" s="59" t="s">
        <v>236</v>
      </c>
      <c r="E64" s="151" t="s">
        <v>138</v>
      </c>
      <c r="F64" s="90"/>
      <c r="G64" s="2"/>
      <c r="H64" s="151" t="s">
        <v>138</v>
      </c>
      <c r="I64" s="151" t="s">
        <v>138</v>
      </c>
      <c r="J64" s="90" t="s">
        <v>138</v>
      </c>
      <c r="K64" s="6" t="s">
        <v>138</v>
      </c>
      <c r="L64" s="120" t="s">
        <v>138</v>
      </c>
      <c r="O64" s="175">
        <f t="shared" si="44"/>
        <v>2030</v>
      </c>
      <c r="Q64" s="59" t="s">
        <v>236</v>
      </c>
      <c r="R64" s="151" t="s">
        <v>138</v>
      </c>
      <c r="S64" s="90" t="s">
        <v>138</v>
      </c>
      <c r="T64" s="90" t="s">
        <v>138</v>
      </c>
      <c r="U64" s="187" t="s">
        <v>138</v>
      </c>
      <c r="X64" s="175">
        <f t="shared" si="45"/>
        <v>2035</v>
      </c>
      <c r="Y64" s="7"/>
      <c r="Z64" s="59"/>
      <c r="AA64" s="151" t="s">
        <v>138</v>
      </c>
      <c r="AB64" s="90" t="s">
        <v>138</v>
      </c>
      <c r="AC64" s="151" t="s">
        <v>138</v>
      </c>
      <c r="AD64" s="408" t="s">
        <v>138</v>
      </c>
    </row>
    <row r="65" spans="2:30" x14ac:dyDescent="0.35">
      <c r="B65" s="175">
        <f t="shared" si="43"/>
        <v>2036</v>
      </c>
      <c r="C65" s="37"/>
      <c r="D65" s="59" t="s">
        <v>236</v>
      </c>
      <c r="E65" s="151" t="s">
        <v>138</v>
      </c>
      <c r="F65" s="90"/>
      <c r="G65" s="2"/>
      <c r="H65" s="151" t="s">
        <v>138</v>
      </c>
      <c r="I65" s="151" t="s">
        <v>138</v>
      </c>
      <c r="J65" s="90" t="s">
        <v>138</v>
      </c>
      <c r="K65" s="6" t="s">
        <v>138</v>
      </c>
      <c r="L65" s="120" t="s">
        <v>138</v>
      </c>
      <c r="O65" s="175">
        <f t="shared" si="44"/>
        <v>2031</v>
      </c>
      <c r="Q65" s="59" t="s">
        <v>236</v>
      </c>
      <c r="R65" s="151" t="s">
        <v>138</v>
      </c>
      <c r="S65" s="90" t="s">
        <v>138</v>
      </c>
      <c r="T65" s="90" t="s">
        <v>138</v>
      </c>
      <c r="U65" s="187" t="s">
        <v>138</v>
      </c>
      <c r="X65" s="175">
        <f t="shared" si="45"/>
        <v>2036</v>
      </c>
      <c r="Y65" s="7"/>
      <c r="Z65" s="59"/>
      <c r="AA65" s="151" t="s">
        <v>138</v>
      </c>
      <c r="AB65" s="90" t="s">
        <v>138</v>
      </c>
      <c r="AC65" s="151" t="s">
        <v>138</v>
      </c>
      <c r="AD65" s="408" t="s">
        <v>138</v>
      </c>
    </row>
    <row r="66" spans="2:30" x14ac:dyDescent="0.35">
      <c r="B66" s="175">
        <f t="shared" si="43"/>
        <v>2037</v>
      </c>
      <c r="C66" s="37"/>
      <c r="D66" s="59" t="s">
        <v>236</v>
      </c>
      <c r="E66" s="151" t="s">
        <v>138</v>
      </c>
      <c r="F66" s="90"/>
      <c r="G66" s="2"/>
      <c r="H66" s="151" t="s">
        <v>138</v>
      </c>
      <c r="I66" s="151" t="s">
        <v>138</v>
      </c>
      <c r="J66" s="90" t="s">
        <v>138</v>
      </c>
      <c r="K66" s="6" t="s">
        <v>138</v>
      </c>
      <c r="L66" s="120" t="s">
        <v>138</v>
      </c>
      <c r="O66" s="175">
        <f t="shared" si="44"/>
        <v>2032</v>
      </c>
      <c r="Q66" s="59" t="s">
        <v>236</v>
      </c>
      <c r="R66" s="151" t="s">
        <v>138</v>
      </c>
      <c r="S66" s="90" t="s">
        <v>138</v>
      </c>
      <c r="T66" s="90" t="s">
        <v>138</v>
      </c>
      <c r="U66" s="187" t="s">
        <v>138</v>
      </c>
      <c r="X66" s="175">
        <f t="shared" si="45"/>
        <v>2037</v>
      </c>
      <c r="Y66" s="37" t="s">
        <v>563</v>
      </c>
      <c r="Z66" s="59"/>
      <c r="AA66" s="151" t="s">
        <v>138</v>
      </c>
      <c r="AB66" s="90" t="s">
        <v>138</v>
      </c>
      <c r="AC66" s="151" t="s">
        <v>138</v>
      </c>
      <c r="AD66" s="408" t="s">
        <v>138</v>
      </c>
    </row>
    <row r="67" spans="2:30" x14ac:dyDescent="0.35">
      <c r="B67" s="175">
        <f t="shared" si="43"/>
        <v>2038</v>
      </c>
      <c r="C67" s="37" t="s">
        <v>563</v>
      </c>
      <c r="D67" s="59" t="s">
        <v>1132</v>
      </c>
      <c r="E67" s="151" t="s">
        <v>138</v>
      </c>
      <c r="F67" s="90"/>
      <c r="G67" s="2"/>
      <c r="H67" s="151" t="s">
        <v>138</v>
      </c>
      <c r="I67" s="151" t="s">
        <v>138</v>
      </c>
      <c r="J67" s="90" t="s">
        <v>138</v>
      </c>
      <c r="K67" s="6" t="s">
        <v>138</v>
      </c>
      <c r="L67" s="120" t="s">
        <v>138</v>
      </c>
      <c r="O67" s="175">
        <f t="shared" si="44"/>
        <v>2033</v>
      </c>
      <c r="Q67" s="59" t="s">
        <v>236</v>
      </c>
      <c r="R67" s="364" t="s">
        <v>236</v>
      </c>
      <c r="S67" s="90" t="s">
        <v>138</v>
      </c>
      <c r="T67" s="90" t="s">
        <v>138</v>
      </c>
      <c r="U67" s="187" t="s">
        <v>138</v>
      </c>
      <c r="X67" s="175">
        <f t="shared" si="45"/>
        <v>2038</v>
      </c>
      <c r="Y67" s="37" t="s">
        <v>565</v>
      </c>
      <c r="Z67" s="59"/>
      <c r="AA67" s="151" t="s">
        <v>138</v>
      </c>
      <c r="AB67" s="90" t="s">
        <v>138</v>
      </c>
      <c r="AC67" s="151" t="s">
        <v>138</v>
      </c>
      <c r="AD67" s="408" t="s">
        <v>138</v>
      </c>
    </row>
    <row r="68" spans="2:30" x14ac:dyDescent="0.35">
      <c r="B68" s="175">
        <f t="shared" si="43"/>
        <v>2039</v>
      </c>
      <c r="C68" s="37" t="s">
        <v>565</v>
      </c>
      <c r="D68" s="59" t="s">
        <v>236</v>
      </c>
      <c r="E68" s="151" t="s">
        <v>138</v>
      </c>
      <c r="F68" s="90"/>
      <c r="G68" s="2"/>
      <c r="H68" s="151" t="s">
        <v>138</v>
      </c>
      <c r="I68" s="151" t="s">
        <v>138</v>
      </c>
      <c r="J68" s="90" t="s">
        <v>138</v>
      </c>
      <c r="K68" s="6" t="s">
        <v>138</v>
      </c>
      <c r="L68" s="120" t="s">
        <v>138</v>
      </c>
      <c r="O68" s="175">
        <f t="shared" si="44"/>
        <v>2034</v>
      </c>
      <c r="Q68" s="59" t="s">
        <v>236</v>
      </c>
      <c r="R68" s="151" t="s">
        <v>138</v>
      </c>
      <c r="S68" s="90" t="s">
        <v>138</v>
      </c>
      <c r="T68" s="90" t="s">
        <v>138</v>
      </c>
      <c r="U68" s="187" t="s">
        <v>138</v>
      </c>
      <c r="X68" s="175">
        <f t="shared" si="45"/>
        <v>2039</v>
      </c>
      <c r="Y68" s="37" t="s">
        <v>572</v>
      </c>
      <c r="Z68" s="59"/>
      <c r="AA68" s="151" t="s">
        <v>138</v>
      </c>
      <c r="AB68" s="90" t="s">
        <v>138</v>
      </c>
      <c r="AC68" s="151" t="s">
        <v>138</v>
      </c>
      <c r="AD68" s="408" t="s">
        <v>138</v>
      </c>
    </row>
    <row r="69" spans="2:30" x14ac:dyDescent="0.35">
      <c r="B69" s="175">
        <f t="shared" si="43"/>
        <v>2040</v>
      </c>
      <c r="C69" s="37" t="s">
        <v>566</v>
      </c>
      <c r="D69" s="59" t="s">
        <v>236</v>
      </c>
      <c r="E69" s="151" t="s">
        <v>138</v>
      </c>
      <c r="F69" s="90"/>
      <c r="G69" s="2"/>
      <c r="H69" s="151" t="s">
        <v>138</v>
      </c>
      <c r="I69" s="151" t="s">
        <v>138</v>
      </c>
      <c r="J69" s="90" t="s">
        <v>138</v>
      </c>
      <c r="K69" s="6" t="s">
        <v>138</v>
      </c>
      <c r="L69" s="120" t="s">
        <v>138</v>
      </c>
      <c r="O69" s="175">
        <f t="shared" si="44"/>
        <v>2035</v>
      </c>
      <c r="Q69" s="59" t="s">
        <v>236</v>
      </c>
      <c r="R69" s="151" t="s">
        <v>138</v>
      </c>
      <c r="S69" s="90" t="s">
        <v>138</v>
      </c>
      <c r="T69" s="90" t="s">
        <v>138</v>
      </c>
      <c r="U69" s="187" t="s">
        <v>138</v>
      </c>
      <c r="X69" s="175">
        <f t="shared" si="45"/>
        <v>2040</v>
      </c>
      <c r="Y69" s="37" t="s">
        <v>570</v>
      </c>
      <c r="Z69" s="59"/>
      <c r="AA69" s="151" t="s">
        <v>138</v>
      </c>
      <c r="AB69" s="90" t="s">
        <v>138</v>
      </c>
      <c r="AC69" s="151" t="s">
        <v>138</v>
      </c>
      <c r="AD69" s="408" t="s">
        <v>138</v>
      </c>
    </row>
    <row r="70" spans="2:30" x14ac:dyDescent="0.35">
      <c r="B70" s="175">
        <f t="shared" si="43"/>
        <v>2041</v>
      </c>
      <c r="C70" t="s">
        <v>567</v>
      </c>
      <c r="D70" s="59" t="s">
        <v>236</v>
      </c>
      <c r="E70" s="151" t="s">
        <v>138</v>
      </c>
      <c r="F70" s="90"/>
      <c r="G70" s="2"/>
      <c r="H70" s="151" t="s">
        <v>138</v>
      </c>
      <c r="I70" s="151" t="s">
        <v>138</v>
      </c>
      <c r="J70" s="90" t="s">
        <v>138</v>
      </c>
      <c r="K70" s="6" t="s">
        <v>138</v>
      </c>
      <c r="L70" s="120" t="s">
        <v>138</v>
      </c>
      <c r="O70" s="175">
        <f t="shared" si="44"/>
        <v>2036</v>
      </c>
      <c r="P70" s="37" t="s">
        <v>562</v>
      </c>
      <c r="Q70" s="59" t="s">
        <v>940</v>
      </c>
      <c r="R70" s="151" t="s">
        <v>138</v>
      </c>
      <c r="S70" s="90" t="s">
        <v>941</v>
      </c>
      <c r="T70" s="90" t="s">
        <v>138</v>
      </c>
      <c r="U70" s="187" t="s">
        <v>138</v>
      </c>
      <c r="X70" s="175">
        <f t="shared" si="45"/>
        <v>2041</v>
      </c>
      <c r="Y70" s="37" t="s">
        <v>568</v>
      </c>
      <c r="Z70" s="59"/>
      <c r="AA70" s="151" t="s">
        <v>138</v>
      </c>
      <c r="AB70" s="90" t="s">
        <v>138</v>
      </c>
      <c r="AC70" s="151" t="s">
        <v>138</v>
      </c>
      <c r="AD70" s="408" t="s">
        <v>138</v>
      </c>
    </row>
    <row r="71" spans="2:30" x14ac:dyDescent="0.35">
      <c r="B71" s="175">
        <f t="shared" si="43"/>
        <v>2042</v>
      </c>
      <c r="C71" s="37" t="s">
        <v>564</v>
      </c>
      <c r="D71" s="59" t="s">
        <v>236</v>
      </c>
      <c r="E71" s="151" t="s">
        <v>138</v>
      </c>
      <c r="F71" s="90"/>
      <c r="G71" s="2"/>
      <c r="H71" s="151" t="s">
        <v>138</v>
      </c>
      <c r="I71" s="151" t="s">
        <v>138</v>
      </c>
      <c r="J71" s="90" t="s">
        <v>138</v>
      </c>
      <c r="K71" s="6" t="s">
        <v>138</v>
      </c>
      <c r="L71" s="120" t="s">
        <v>138</v>
      </c>
      <c r="O71" s="175">
        <f t="shared" si="44"/>
        <v>2037</v>
      </c>
      <c r="P71" s="37" t="s">
        <v>555</v>
      </c>
      <c r="Q71" s="59" t="s">
        <v>236</v>
      </c>
      <c r="R71" s="151" t="s">
        <v>138</v>
      </c>
      <c r="S71" s="59" t="s">
        <v>236</v>
      </c>
      <c r="T71" s="90" t="s">
        <v>138</v>
      </c>
      <c r="U71" s="187" t="s">
        <v>138</v>
      </c>
      <c r="X71" s="175">
        <f t="shared" si="45"/>
        <v>2042</v>
      </c>
      <c r="Y71" s="37" t="s">
        <v>571</v>
      </c>
      <c r="Z71" s="59"/>
      <c r="AA71" s="151" t="s">
        <v>138</v>
      </c>
      <c r="AB71" s="90" t="s">
        <v>138</v>
      </c>
      <c r="AC71" s="151" t="s">
        <v>138</v>
      </c>
      <c r="AD71" s="408" t="s">
        <v>138</v>
      </c>
    </row>
    <row r="72" spans="2:30" x14ac:dyDescent="0.35">
      <c r="B72" s="175">
        <f t="shared" si="43"/>
        <v>2043</v>
      </c>
      <c r="C72" s="37" t="s">
        <v>568</v>
      </c>
      <c r="D72" s="59" t="s">
        <v>236</v>
      </c>
      <c r="E72" s="151" t="s">
        <v>138</v>
      </c>
      <c r="F72" s="90"/>
      <c r="G72" s="2"/>
      <c r="H72" s="151" t="s">
        <v>138</v>
      </c>
      <c r="I72" s="151" t="s">
        <v>138</v>
      </c>
      <c r="J72" s="90" t="s">
        <v>138</v>
      </c>
      <c r="K72" s="6" t="s">
        <v>138</v>
      </c>
      <c r="L72" s="120" t="s">
        <v>138</v>
      </c>
      <c r="O72" s="175">
        <f t="shared" si="44"/>
        <v>2038</v>
      </c>
      <c r="P72" s="7"/>
      <c r="Q72" s="59" t="s">
        <v>236</v>
      </c>
      <c r="R72" s="364" t="s">
        <v>236</v>
      </c>
      <c r="S72" s="59" t="s">
        <v>236</v>
      </c>
      <c r="T72" s="90" t="s">
        <v>138</v>
      </c>
      <c r="U72" s="187" t="s">
        <v>138</v>
      </c>
      <c r="X72" s="175">
        <f t="shared" si="45"/>
        <v>2043</v>
      </c>
      <c r="Y72" s="7"/>
      <c r="Z72" s="59"/>
      <c r="AA72" s="151" t="s">
        <v>138</v>
      </c>
      <c r="AB72" s="90" t="s">
        <v>138</v>
      </c>
      <c r="AC72" s="151" t="s">
        <v>138</v>
      </c>
      <c r="AD72" s="408" t="s">
        <v>138</v>
      </c>
    </row>
    <row r="73" spans="2:30" x14ac:dyDescent="0.35">
      <c r="B73" s="175">
        <f t="shared" si="43"/>
        <v>2044</v>
      </c>
      <c r="C73" s="37" t="s">
        <v>569</v>
      </c>
      <c r="D73" s="59" t="s">
        <v>236</v>
      </c>
      <c r="E73" s="151" t="s">
        <v>138</v>
      </c>
      <c r="F73" s="90"/>
      <c r="G73" s="2"/>
      <c r="H73" s="151" t="s">
        <v>138</v>
      </c>
      <c r="I73" s="151" t="s">
        <v>138</v>
      </c>
      <c r="J73" s="90" t="s">
        <v>138</v>
      </c>
      <c r="K73" s="6" t="s">
        <v>138</v>
      </c>
      <c r="L73" s="120" t="s">
        <v>138</v>
      </c>
      <c r="O73" s="175">
        <f t="shared" si="44"/>
        <v>2039</v>
      </c>
      <c r="P73" s="7"/>
      <c r="Q73" s="59" t="s">
        <v>236</v>
      </c>
      <c r="R73" s="151" t="s">
        <v>138</v>
      </c>
      <c r="S73" s="59" t="s">
        <v>236</v>
      </c>
      <c r="T73" s="90" t="s">
        <v>138</v>
      </c>
      <c r="U73" s="187" t="s">
        <v>138</v>
      </c>
      <c r="X73" s="175">
        <f t="shared" si="45"/>
        <v>2044</v>
      </c>
      <c r="Y73" s="7"/>
      <c r="Z73" s="59"/>
      <c r="AA73" s="151" t="s">
        <v>138</v>
      </c>
      <c r="AB73" s="90" t="s">
        <v>138</v>
      </c>
      <c r="AC73" s="151" t="s">
        <v>138</v>
      </c>
      <c r="AD73" s="408" t="s">
        <v>138</v>
      </c>
    </row>
    <row r="74" spans="2:30" ht="15" thickBot="1" x14ac:dyDescent="0.4">
      <c r="B74" s="382">
        <f t="shared" si="43"/>
        <v>2045</v>
      </c>
      <c r="C74" s="193" t="s">
        <v>579</v>
      </c>
      <c r="D74" s="192" t="s">
        <v>236</v>
      </c>
      <c r="E74" s="365" t="s">
        <v>138</v>
      </c>
      <c r="F74" s="176"/>
      <c r="G74" s="155"/>
      <c r="H74" s="365" t="s">
        <v>138</v>
      </c>
      <c r="I74" s="365" t="s">
        <v>138</v>
      </c>
      <c r="J74" s="176" t="s">
        <v>138</v>
      </c>
      <c r="K74" s="497" t="s">
        <v>138</v>
      </c>
      <c r="L74" s="194" t="s">
        <v>138</v>
      </c>
      <c r="O74" s="175">
        <f t="shared" si="44"/>
        <v>2040</v>
      </c>
      <c r="P74" s="37" t="s">
        <v>563</v>
      </c>
      <c r="Q74" s="59" t="s">
        <v>940</v>
      </c>
      <c r="R74" s="151" t="s">
        <v>138</v>
      </c>
      <c r="S74" s="59" t="s">
        <v>236</v>
      </c>
      <c r="T74" s="90" t="s">
        <v>138</v>
      </c>
      <c r="U74" s="187" t="s">
        <v>138</v>
      </c>
      <c r="X74" s="382">
        <f t="shared" si="45"/>
        <v>2045</v>
      </c>
      <c r="Y74" s="196"/>
      <c r="Z74" s="192"/>
      <c r="AA74" s="365" t="s">
        <v>138</v>
      </c>
      <c r="AB74" s="176" t="s">
        <v>138</v>
      </c>
      <c r="AC74" s="365" t="s">
        <v>138</v>
      </c>
      <c r="AD74" s="410" t="s">
        <v>138</v>
      </c>
    </row>
    <row r="75" spans="2:30" ht="15" thickTop="1" x14ac:dyDescent="0.35">
      <c r="B75" s="44" t="s">
        <v>198</v>
      </c>
      <c r="O75" s="175">
        <f t="shared" si="44"/>
        <v>2041</v>
      </c>
      <c r="P75" s="37" t="s">
        <v>565</v>
      </c>
      <c r="Q75" s="59" t="s">
        <v>236</v>
      </c>
      <c r="R75" s="151" t="s">
        <v>138</v>
      </c>
      <c r="S75" s="59" t="s">
        <v>236</v>
      </c>
      <c r="T75" s="90" t="s">
        <v>138</v>
      </c>
      <c r="U75" s="187" t="s">
        <v>138</v>
      </c>
      <c r="X75" s="44" t="s">
        <v>198</v>
      </c>
    </row>
    <row r="76" spans="2:30" x14ac:dyDescent="0.35">
      <c r="O76" s="175">
        <f t="shared" si="44"/>
        <v>2042</v>
      </c>
      <c r="P76" s="37" t="s">
        <v>572</v>
      </c>
      <c r="Q76" s="59" t="s">
        <v>236</v>
      </c>
      <c r="R76" s="151" t="s">
        <v>138</v>
      </c>
      <c r="S76" s="59" t="s">
        <v>236</v>
      </c>
      <c r="T76" s="90" t="s">
        <v>138</v>
      </c>
      <c r="U76" s="187" t="s">
        <v>138</v>
      </c>
    </row>
    <row r="77" spans="2:30" s="8" customFormat="1" x14ac:dyDescent="0.35">
      <c r="B77"/>
      <c r="D77"/>
      <c r="F77"/>
      <c r="G77"/>
      <c r="H77"/>
      <c r="I77"/>
      <c r="J77"/>
      <c r="O77" s="175">
        <f t="shared" si="44"/>
        <v>2043</v>
      </c>
      <c r="P77" s="37" t="s">
        <v>570</v>
      </c>
      <c r="Q77" s="59" t="s">
        <v>236</v>
      </c>
      <c r="R77" s="364" t="s">
        <v>236</v>
      </c>
      <c r="S77" s="59" t="s">
        <v>236</v>
      </c>
      <c r="T77" s="90" t="s">
        <v>138</v>
      </c>
      <c r="U77" s="187" t="s">
        <v>138</v>
      </c>
    </row>
    <row r="78" spans="2:30" x14ac:dyDescent="0.35">
      <c r="E78" s="8"/>
      <c r="M78" s="8"/>
      <c r="N78" s="8"/>
      <c r="O78" s="175">
        <f t="shared" si="44"/>
        <v>2044</v>
      </c>
      <c r="P78" s="37" t="s">
        <v>568</v>
      </c>
      <c r="Q78" s="59" t="s">
        <v>236</v>
      </c>
      <c r="R78" s="151" t="s">
        <v>138</v>
      </c>
      <c r="S78" s="59" t="s">
        <v>236</v>
      </c>
      <c r="T78" s="90" t="s">
        <v>138</v>
      </c>
      <c r="U78" s="187" t="s">
        <v>138</v>
      </c>
      <c r="V78" s="93"/>
      <c r="W78" s="93"/>
    </row>
    <row r="79" spans="2:30" ht="15" thickBot="1" x14ac:dyDescent="0.4">
      <c r="O79" s="382">
        <f t="shared" si="44"/>
        <v>2045</v>
      </c>
      <c r="P79" s="193" t="s">
        <v>571</v>
      </c>
      <c r="Q79" s="192" t="s">
        <v>236</v>
      </c>
      <c r="R79" s="365" t="s">
        <v>138</v>
      </c>
      <c r="S79" s="192" t="s">
        <v>236</v>
      </c>
      <c r="T79" s="176" t="s">
        <v>138</v>
      </c>
      <c r="U79" s="195" t="s">
        <v>138</v>
      </c>
    </row>
    <row r="80" spans="2:30" ht="15" thickTop="1" x14ac:dyDescent="0.35">
      <c r="O80" s="44" t="s">
        <v>198</v>
      </c>
    </row>
    <row r="81" spans="1:32" x14ac:dyDescent="0.35">
      <c r="O81" s="44"/>
    </row>
    <row r="82" spans="1:32" ht="21" x14ac:dyDescent="0.5">
      <c r="A82" s="16" t="s">
        <v>309</v>
      </c>
      <c r="C82" s="8" t="s">
        <v>320</v>
      </c>
      <c r="O82" s="8" t="s">
        <v>320</v>
      </c>
      <c r="P82" s="8"/>
      <c r="Q82" s="8"/>
      <c r="S82" s="8"/>
      <c r="T82" s="8"/>
      <c r="U82" s="8"/>
      <c r="X82" s="8" t="s">
        <v>320</v>
      </c>
      <c r="Y82" s="8"/>
      <c r="Z82" s="8"/>
      <c r="AA82" s="8"/>
      <c r="AB82" s="8"/>
      <c r="AC82" s="8"/>
      <c r="AD82" s="8"/>
      <c r="AE82" s="8"/>
    </row>
    <row r="83" spans="1:32" x14ac:dyDescent="0.35">
      <c r="A83" t="s">
        <v>223</v>
      </c>
      <c r="B83" s="8"/>
      <c r="C83" s="86" t="s">
        <v>231</v>
      </c>
      <c r="D83" s="8"/>
      <c r="F83" s="8"/>
      <c r="G83" s="8"/>
      <c r="H83" s="8"/>
      <c r="I83" s="8"/>
      <c r="J83" s="8"/>
      <c r="K83" s="8"/>
      <c r="L83" s="8"/>
      <c r="O83" s="14" t="s">
        <v>228</v>
      </c>
      <c r="Q83" s="14"/>
      <c r="U83" s="93"/>
      <c r="X83" s="14" t="s">
        <v>228</v>
      </c>
      <c r="Z83" s="14"/>
    </row>
    <row r="84" spans="1:32" x14ac:dyDescent="0.35">
      <c r="A84" s="14" t="s">
        <v>225</v>
      </c>
      <c r="C84" s="14" t="s">
        <v>386</v>
      </c>
      <c r="O84" t="s">
        <v>557</v>
      </c>
      <c r="X84" s="1" t="s">
        <v>299</v>
      </c>
      <c r="Y84" s="1"/>
      <c r="Z84" s="1"/>
      <c r="AA84" s="1"/>
      <c r="AB84" s="1"/>
      <c r="AC84" s="1"/>
      <c r="AD84" s="1"/>
      <c r="AE84" s="1"/>
    </row>
    <row r="85" spans="1:32" x14ac:dyDescent="0.35">
      <c r="A85" s="14" t="s">
        <v>224</v>
      </c>
      <c r="C85" s="14" t="s">
        <v>94</v>
      </c>
      <c r="O85" t="s">
        <v>558</v>
      </c>
      <c r="X85" t="s">
        <v>321</v>
      </c>
      <c r="AA85" s="14" t="s">
        <v>322</v>
      </c>
      <c r="AF85" s="8"/>
    </row>
    <row r="86" spans="1:32" x14ac:dyDescent="0.35">
      <c r="A86" s="14" t="s">
        <v>226</v>
      </c>
      <c r="C86" s="1" t="s">
        <v>5</v>
      </c>
      <c r="E86" s="1"/>
      <c r="K86" t="s">
        <v>45</v>
      </c>
      <c r="O86" t="s">
        <v>327</v>
      </c>
      <c r="P86" s="14" t="s">
        <v>326</v>
      </c>
      <c r="X86" t="s">
        <v>556</v>
      </c>
    </row>
    <row r="87" spans="1:32" x14ac:dyDescent="0.35">
      <c r="A87" s="14" t="s">
        <v>238</v>
      </c>
      <c r="C87" t="s">
        <v>1</v>
      </c>
      <c r="E87" t="s">
        <v>0</v>
      </c>
      <c r="O87" s="1" t="s">
        <v>288</v>
      </c>
      <c r="P87" s="1"/>
      <c r="Q87" s="1"/>
      <c r="S87" s="1"/>
      <c r="X87" t="s">
        <v>558</v>
      </c>
      <c r="AF87" s="1"/>
    </row>
    <row r="88" spans="1:32" x14ac:dyDescent="0.35">
      <c r="C88" s="3" t="str">
        <f>D8</f>
        <v>-</v>
      </c>
      <c r="E88" s="2" t="e">
        <f>E6*(1+D8)^(B7-B6)</f>
        <v>#VALUE!</v>
      </c>
      <c r="O88" s="3" t="s">
        <v>1</v>
      </c>
      <c r="P88" t="s">
        <v>0</v>
      </c>
      <c r="Q88" s="3"/>
      <c r="X88" t="s">
        <v>328</v>
      </c>
      <c r="AA88" s="14" t="s">
        <v>326</v>
      </c>
    </row>
    <row r="89" spans="1:32" x14ac:dyDescent="0.35">
      <c r="C89" s="3" t="s">
        <v>2</v>
      </c>
      <c r="E89" t="s">
        <v>4</v>
      </c>
      <c r="O89" s="3" t="str">
        <f>Q8</f>
        <v>-</v>
      </c>
      <c r="P89" s="2" t="e">
        <f>R6*(1+Q8)^(O7-O6)</f>
        <v>#VALUE!</v>
      </c>
      <c r="Q89" s="3"/>
      <c r="X89" s="1" t="s">
        <v>287</v>
      </c>
      <c r="Y89" s="1"/>
      <c r="Z89" s="1"/>
      <c r="AA89" s="1"/>
      <c r="AB89" s="1"/>
    </row>
    <row r="90" spans="1:32" x14ac:dyDescent="0.35">
      <c r="C90" s="5" t="e">
        <f>1*(1+D8)^E90</f>
        <v>#VALUE!</v>
      </c>
      <c r="E90">
        <v>2</v>
      </c>
      <c r="O90" s="3" t="s">
        <v>2</v>
      </c>
      <c r="P90" t="s">
        <v>4</v>
      </c>
      <c r="Q90" s="3"/>
      <c r="X90" s="3" t="s">
        <v>1</v>
      </c>
      <c r="Y90" t="s">
        <v>0</v>
      </c>
      <c r="Z90" s="3"/>
    </row>
    <row r="91" spans="1:32" x14ac:dyDescent="0.35">
      <c r="C91" s="3" t="s">
        <v>3</v>
      </c>
      <c r="E91" t="s">
        <v>4</v>
      </c>
      <c r="K91" s="2"/>
      <c r="L91" s="2"/>
      <c r="O91" s="5" t="e">
        <f>1*(1+O89)^P91</f>
        <v>#VALUE!</v>
      </c>
      <c r="P91">
        <v>2</v>
      </c>
      <c r="Q91" s="5"/>
      <c r="X91" s="3">
        <f>AA8</f>
        <v>0.47561182710948535</v>
      </c>
      <c r="Y91" s="2">
        <f>AA6*(1+AA8)^(X7-X6)</f>
        <v>5332999999999.9951</v>
      </c>
      <c r="Z91" s="3"/>
      <c r="AB91" s="2"/>
    </row>
    <row r="92" spans="1:32" x14ac:dyDescent="0.35">
      <c r="C92" s="3" t="e">
        <f>1*(1+D8)^E92</f>
        <v>#VALUE!</v>
      </c>
      <c r="E92">
        <v>10</v>
      </c>
      <c r="O92" s="3" t="s">
        <v>3</v>
      </c>
      <c r="P92" t="s">
        <v>4</v>
      </c>
      <c r="Q92" s="3"/>
      <c r="X92" s="3" t="s">
        <v>2</v>
      </c>
      <c r="Y92" t="s">
        <v>4</v>
      </c>
      <c r="Z92" s="3"/>
    </row>
    <row r="93" spans="1:32" x14ac:dyDescent="0.35">
      <c r="C93" s="3" t="s">
        <v>6</v>
      </c>
      <c r="E93" t="s">
        <v>4</v>
      </c>
      <c r="O93" s="3" t="e">
        <f>1*(1+O89)^P93</f>
        <v>#VALUE!</v>
      </c>
      <c r="P93">
        <v>10</v>
      </c>
      <c r="Q93" s="3"/>
      <c r="X93" s="5">
        <f>1*(1+X91)^Y93</f>
        <v>2.1774302643053938</v>
      </c>
      <c r="Y93">
        <v>2</v>
      </c>
      <c r="Z93" s="5"/>
    </row>
    <row r="94" spans="1:32" x14ac:dyDescent="0.35">
      <c r="C94" s="3" t="e">
        <f>1*(1+D8)^E94</f>
        <v>#VALUE!</v>
      </c>
      <c r="E94">
        <v>20</v>
      </c>
      <c r="O94" s="3" t="s">
        <v>6</v>
      </c>
      <c r="P94" t="s">
        <v>4</v>
      </c>
      <c r="Q94" s="3"/>
      <c r="X94" s="3" t="s">
        <v>3</v>
      </c>
      <c r="Y94" t="s">
        <v>4</v>
      </c>
      <c r="Z94" s="3"/>
    </row>
    <row r="95" spans="1:32" x14ac:dyDescent="0.35">
      <c r="O95" s="3" t="e">
        <f>1*(1+O89)^P95</f>
        <v>#VALUE!</v>
      </c>
      <c r="P95">
        <v>20</v>
      </c>
      <c r="Q95" s="3"/>
      <c r="X95" s="3">
        <f>1*(1+X91)^Y95</f>
        <v>48.94645856112195</v>
      </c>
      <c r="Y95">
        <v>10</v>
      </c>
      <c r="Z95" s="3"/>
    </row>
    <row r="96" spans="1:32" x14ac:dyDescent="0.35">
      <c r="X96" s="3" t="s">
        <v>6</v>
      </c>
      <c r="Y96" t="s">
        <v>4</v>
      </c>
      <c r="Z96" s="3"/>
    </row>
    <row r="97" spans="8:26" x14ac:dyDescent="0.35">
      <c r="O97" s="3"/>
      <c r="Q97" s="3"/>
      <c r="X97" s="3">
        <f>1*(1+X91)^Y97</f>
        <v>2395.7558056756284</v>
      </c>
      <c r="Y97">
        <v>20</v>
      </c>
      <c r="Z97" s="3"/>
    </row>
    <row r="100" spans="8:26" x14ac:dyDescent="0.35">
      <c r="X100" s="3"/>
      <c r="Z100" s="3"/>
    </row>
    <row r="104" spans="8:26" x14ac:dyDescent="0.35">
      <c r="H104" s="97"/>
    </row>
  </sheetData>
  <phoneticPr fontId="4" type="noConversion"/>
  <hyperlinks>
    <hyperlink ref="A85" r:id="rId1" location="/" xr:uid="{BE75D179-76C9-4D10-B9CE-5B334C9BC121}"/>
    <hyperlink ref="A86" r:id="rId2" location="/media/File:Moore's_Law_Transistor_Count_1970-2020.png" xr:uid="{4014C731-4C44-4AFC-855E-EF39C65DEC96}"/>
    <hyperlink ref="A84" r:id="rId3" xr:uid="{3F989A24-260E-4D97-9680-362ED7DC1C94}"/>
    <hyperlink ref="X83" r:id="rId4" location="Memory" xr:uid="{2CCE74D7-D085-4D9D-9C9C-17FC46712EAE}"/>
    <hyperlink ref="C83" r:id="rId5" location="Microprocessors" xr:uid="{705C685C-C067-492F-9744-DFEF5971F0B1}"/>
    <hyperlink ref="O83" r:id="rId6" location="Memory" xr:uid="{BB73B9CA-CCB2-4548-A3A6-E7588EDF059D}"/>
    <hyperlink ref="A87" r:id="rId7" xr:uid="{36615431-42A4-436A-B408-5A59A55BA4F8}"/>
    <hyperlink ref="AA85" r:id="rId8" xr:uid="{5EC577BD-FDCD-4CD0-90B1-AA9AE6FB52F0}"/>
    <hyperlink ref="P86" r:id="rId9" xr:uid="{62AFF6F1-F1DB-4989-8A54-403E99E609CC}"/>
    <hyperlink ref="AA88" r:id="rId10" xr:uid="{B58841DA-288A-4493-9101-F6EA30D24F1C}"/>
    <hyperlink ref="C84" r:id="rId11" location="GPUs" xr:uid="{F1C177CF-719D-4DC4-9DA4-D56D938680F8}"/>
    <hyperlink ref="C85" r:id="rId12" xr:uid="{64926ABA-0FA5-42AE-85F1-DDC5E3876133}"/>
    <hyperlink ref="E47" r:id="rId13" xr:uid="{9BE6EB75-23FC-486C-9738-44182DAC3284}"/>
    <hyperlink ref="G46" r:id="rId14" location="Microprocessors" xr:uid="{567C0E22-5093-4002-B255-8918BE99511E}"/>
    <hyperlink ref="E46" r:id="rId15" location="Microprocessors" xr:uid="{A5F56F80-FC62-4B1B-97EA-DA8C932EEEC6}"/>
    <hyperlink ref="S47" r:id="rId16" location="Memory" xr:uid="{11FDE1F4-D6DD-4C81-B5AA-6DF5E1F4BE04}"/>
    <hyperlink ref="S46" r:id="rId17" location="Memory" xr:uid="{8570F08C-336C-4662-B4BB-7DCB7984A5A8}"/>
    <hyperlink ref="T46" r:id="rId18" location="Memory" xr:uid="{29F071BA-FB46-4656-A694-0394AB41F969}"/>
    <hyperlink ref="T47" r:id="rId19" location="Memory" xr:uid="{76B15201-FA41-472D-8FD5-EA87E717CE0A}"/>
    <hyperlink ref="R47" r:id="rId20" location="Memory" xr:uid="{C3A167C4-1BD8-40EE-B2BF-5E4EC31D54BB}"/>
    <hyperlink ref="R46" r:id="rId21" location="Memory" xr:uid="{73ABEED7-71FD-40BF-AE10-9FCAA518AD6A}"/>
    <hyperlink ref="AA47" r:id="rId22" location="Memory" xr:uid="{68599690-08A0-4788-AB9D-7FF88F2D7D78}"/>
    <hyperlink ref="AA46" r:id="rId23" location="Memory" xr:uid="{93F9B05A-3333-4BFF-A335-F27E243F0469}"/>
    <hyperlink ref="AB46" r:id="rId24" location="Memory" xr:uid="{53E14CB7-A23D-4268-9F1C-11E46C1CE159}"/>
  </hyperlinks>
  <pageMargins left="0.7" right="0.7" top="0.75" bottom="0.75" header="0.3" footer="0.3"/>
  <pageSetup orientation="portrait" verticalDpi="0" r:id="rId2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86"/>
  <sheetViews>
    <sheetView workbookViewId="0">
      <pane xSplit="2" ySplit="10" topLeftCell="C11" activePane="bottomRight" state="frozen"/>
      <selection pane="topRight" activeCell="C1" sqref="C1"/>
      <selection pane="bottomLeft" activeCell="A12" sqref="A12"/>
      <selection pane="bottomRight" activeCell="A3" sqref="A3:F3"/>
    </sheetView>
  </sheetViews>
  <sheetFormatPr defaultRowHeight="14.5" x14ac:dyDescent="0.35"/>
  <cols>
    <col min="1" max="1" width="13" customWidth="1"/>
    <col min="2" max="2" width="12.36328125" customWidth="1"/>
    <col min="3" max="3" width="10.81640625" customWidth="1"/>
    <col min="4" max="4" width="35.26953125" customWidth="1"/>
    <col min="5" max="5" width="14.1796875" customWidth="1"/>
    <col min="6" max="6" width="10.7265625" customWidth="1"/>
    <col min="7" max="7" width="13.54296875" customWidth="1"/>
    <col min="8" max="8" width="22.36328125" customWidth="1"/>
    <col min="9" max="9" width="15.54296875" customWidth="1"/>
    <col min="12" max="12" width="29.08984375" customWidth="1"/>
    <col min="13" max="13" width="18.81640625" customWidth="1"/>
  </cols>
  <sheetData>
    <row r="1" spans="1:20" ht="28.5" x14ac:dyDescent="0.65">
      <c r="A1" s="9" t="str">
        <f>AI_Models!A1</f>
        <v>New AI chips by Nvidia will cause Russia to lose war in Ukraine #72/99</v>
      </c>
    </row>
    <row r="2" spans="1:20" ht="15.5" x14ac:dyDescent="0.35">
      <c r="A2" s="10" t="s">
        <v>11</v>
      </c>
    </row>
    <row r="3" spans="1:20" ht="15.5" x14ac:dyDescent="0.35">
      <c r="A3" s="615" t="str">
        <f>AI_Models!A3</f>
        <v>Links to all sources are available in sources table below</v>
      </c>
      <c r="B3" s="616"/>
      <c r="C3" s="616"/>
      <c r="D3" s="616"/>
      <c r="E3" s="616"/>
      <c r="F3" s="616"/>
    </row>
    <row r="4" spans="1:20" ht="23.5" x14ac:dyDescent="0.55000000000000004">
      <c r="A4" s="17" t="s">
        <v>1134</v>
      </c>
    </row>
    <row r="5" spans="1:20" x14ac:dyDescent="0.35">
      <c r="T5" s="6"/>
    </row>
    <row r="6" spans="1:20" s="16" customFormat="1" ht="21.5" thickBot="1" x14ac:dyDescent="0.55000000000000004">
      <c r="B6" s="353" t="s">
        <v>1135</v>
      </c>
      <c r="C6" s="354"/>
      <c r="D6" s="354"/>
      <c r="F6" s="353" t="s">
        <v>1136</v>
      </c>
      <c r="G6" s="354"/>
      <c r="H6" s="354"/>
      <c r="J6" s="353" t="s">
        <v>1137</v>
      </c>
      <c r="K6" s="354"/>
      <c r="L6" s="354"/>
      <c r="T6" s="355"/>
    </row>
    <row r="7" spans="1:20" ht="15" thickTop="1" x14ac:dyDescent="0.35">
      <c r="B7" s="67" t="s">
        <v>7</v>
      </c>
      <c r="C7" s="68" t="s">
        <v>10</v>
      </c>
      <c r="D7" s="69" t="s">
        <v>13</v>
      </c>
      <c r="F7" s="67" t="s">
        <v>7</v>
      </c>
      <c r="G7" s="68" t="s">
        <v>10</v>
      </c>
      <c r="H7" s="69" t="s">
        <v>13</v>
      </c>
      <c r="J7" s="83" t="s">
        <v>7</v>
      </c>
      <c r="K7" s="84" t="s">
        <v>10</v>
      </c>
      <c r="L7" s="85" t="s">
        <v>13</v>
      </c>
      <c r="T7" s="6"/>
    </row>
    <row r="8" spans="1:20" x14ac:dyDescent="0.35">
      <c r="B8" s="70">
        <v>1972</v>
      </c>
      <c r="C8" s="71">
        <v>10000</v>
      </c>
      <c r="D8" s="72" t="s">
        <v>229</v>
      </c>
      <c r="F8" s="70">
        <v>1970</v>
      </c>
      <c r="G8" s="71">
        <v>8000</v>
      </c>
      <c r="H8" s="72" t="s">
        <v>234</v>
      </c>
      <c r="J8" s="78">
        <v>1994</v>
      </c>
      <c r="K8" s="79">
        <v>400</v>
      </c>
      <c r="L8" s="80" t="s">
        <v>297</v>
      </c>
      <c r="T8" s="6"/>
    </row>
    <row r="9" spans="1:20" x14ac:dyDescent="0.35">
      <c r="B9" s="70">
        <v>2022</v>
      </c>
      <c r="C9" s="357">
        <v>4</v>
      </c>
      <c r="D9" s="72" t="s">
        <v>230</v>
      </c>
      <c r="F9" s="70">
        <v>2018</v>
      </c>
      <c r="G9" s="71">
        <v>10</v>
      </c>
      <c r="H9" s="72" t="s">
        <v>235</v>
      </c>
      <c r="J9" s="78">
        <v>2010</v>
      </c>
      <c r="K9" s="79">
        <v>32</v>
      </c>
      <c r="L9" s="80" t="s">
        <v>300</v>
      </c>
      <c r="T9" s="6"/>
    </row>
    <row r="10" spans="1:20" ht="15" thickBot="1" x14ac:dyDescent="0.4">
      <c r="B10" s="73" t="s">
        <v>268</v>
      </c>
      <c r="C10" s="74"/>
      <c r="D10" s="77">
        <f>((C9/C8)^(1/(B9-B8)))-1</f>
        <v>-0.14485216641775234</v>
      </c>
      <c r="F10" s="73" t="s">
        <v>268</v>
      </c>
      <c r="G10" s="74"/>
      <c r="H10" s="77">
        <f>((G9/G8)^(1/(F9-F8)))-1</f>
        <v>-0.13000058898363009</v>
      </c>
      <c r="J10" s="73" t="s">
        <v>268</v>
      </c>
      <c r="K10" s="82"/>
      <c r="L10" s="77">
        <f>((K9/K8)^(1/(J9-J8)))-1</f>
        <v>-0.14602899714234385</v>
      </c>
      <c r="T10" s="6"/>
    </row>
    <row r="11" spans="1:20" ht="15" thickTop="1" x14ac:dyDescent="0.35">
      <c r="B11" s="55">
        <v>2022</v>
      </c>
      <c r="C11" s="6">
        <f>C9</f>
        <v>4</v>
      </c>
      <c r="D11" s="65"/>
      <c r="F11" s="55">
        <f>F9</f>
        <v>2018</v>
      </c>
      <c r="G11" s="6">
        <f>G9</f>
        <v>10</v>
      </c>
      <c r="H11" s="56"/>
      <c r="J11" s="55">
        <f>J9</f>
        <v>2010</v>
      </c>
      <c r="K11" s="6">
        <f>K9</f>
        <v>32</v>
      </c>
      <c r="L11" s="56"/>
      <c r="T11" s="6"/>
    </row>
    <row r="12" spans="1:20" x14ac:dyDescent="0.35">
      <c r="B12" s="55">
        <v>2023</v>
      </c>
      <c r="C12" s="6">
        <f t="shared" ref="C12:C21" si="0">C11*(1+B$73)</f>
        <v>3.4205913343289907</v>
      </c>
      <c r="D12" s="56"/>
      <c r="F12" s="55">
        <v>2019</v>
      </c>
      <c r="G12" s="6">
        <f>G11*(1+H$10)</f>
        <v>8.6999941101636988</v>
      </c>
      <c r="H12" s="56"/>
      <c r="J12" s="55">
        <v>2011</v>
      </c>
      <c r="K12" s="6">
        <f>K11*(1+L$10)</f>
        <v>27.327072091444997</v>
      </c>
      <c r="L12" s="56"/>
      <c r="T12" s="6"/>
    </row>
    <row r="13" spans="1:20" x14ac:dyDescent="0.35">
      <c r="B13" s="55">
        <v>2024</v>
      </c>
      <c r="C13" s="6">
        <f t="shared" si="0"/>
        <v>2.9251112691216461</v>
      </c>
      <c r="D13" s="56"/>
      <c r="F13" s="55">
        <v>2020</v>
      </c>
      <c r="G13" s="6">
        <f t="shared" ref="G13:G28" si="1">G12*(1+H$10)</f>
        <v>7.5689897516883056</v>
      </c>
      <c r="H13" s="56"/>
      <c r="J13" s="55">
        <v>2012</v>
      </c>
      <c r="K13" s="6">
        <f t="shared" ref="K13:K33" si="2">K12*(1+L$10)</f>
        <v>23.33652715909475</v>
      </c>
      <c r="L13" s="56"/>
      <c r="T13" s="6"/>
    </row>
    <row r="14" spans="1:20" x14ac:dyDescent="0.35">
      <c r="B14" s="55">
        <v>2025</v>
      </c>
      <c r="C14" s="6">
        <f t="shared" si="0"/>
        <v>2.5014025647763947</v>
      </c>
      <c r="D14" s="56"/>
      <c r="F14" s="55">
        <v>2021</v>
      </c>
      <c r="G14" s="6">
        <f t="shared" si="1"/>
        <v>6.585016625957766</v>
      </c>
      <c r="H14" s="56"/>
      <c r="J14" s="55">
        <v>2013</v>
      </c>
      <c r="K14" s="6">
        <f t="shared" si="2"/>
        <v>19.928717501267073</v>
      </c>
      <c r="L14" s="56"/>
      <c r="T14" s="6"/>
    </row>
    <row r="15" spans="1:20" x14ac:dyDescent="0.35">
      <c r="B15" s="55">
        <v>2026</v>
      </c>
      <c r="C15" s="6">
        <f t="shared" si="0"/>
        <v>2.1390689841856116</v>
      </c>
      <c r="D15" s="56"/>
      <c r="F15" s="55">
        <v>2022</v>
      </c>
      <c r="G15" s="6">
        <f t="shared" si="1"/>
        <v>5.7289605861162602</v>
      </c>
      <c r="H15" s="56"/>
      <c r="J15" s="55">
        <v>2014</v>
      </c>
      <c r="K15" s="6">
        <f t="shared" si="2"/>
        <v>17.018546870223965</v>
      </c>
      <c r="L15" s="56"/>
      <c r="T15" s="6"/>
    </row>
    <row r="16" spans="1:20" x14ac:dyDescent="0.35">
      <c r="B16" s="55">
        <v>2027</v>
      </c>
      <c r="C16" s="6">
        <f t="shared" si="0"/>
        <v>1.8292202077093049</v>
      </c>
      <c r="D16" s="56"/>
      <c r="F16" s="55">
        <v>2023</v>
      </c>
      <c r="G16" s="6">
        <f t="shared" si="1"/>
        <v>4.984192335657144</v>
      </c>
      <c r="H16" s="56"/>
      <c r="J16" s="55">
        <v>2015</v>
      </c>
      <c r="K16" s="6">
        <f t="shared" si="2"/>
        <v>14.533345537945184</v>
      </c>
      <c r="L16" s="56"/>
      <c r="T16" s="6"/>
    </row>
    <row r="17" spans="2:20" x14ac:dyDescent="0.35">
      <c r="B17" s="55">
        <v>2028</v>
      </c>
      <c r="C17" s="6">
        <f t="shared" si="0"/>
        <v>1.5642536977674812</v>
      </c>
      <c r="D17" s="56"/>
      <c r="F17" s="55">
        <v>2024</v>
      </c>
      <c r="G17" s="6">
        <f t="shared" si="1"/>
        <v>4.3362443964140205</v>
      </c>
      <c r="H17" s="56"/>
      <c r="J17" s="55">
        <v>2016</v>
      </c>
      <c r="K17" s="6">
        <f t="shared" si="2"/>
        <v>12.41105566391589</v>
      </c>
      <c r="L17" s="56"/>
      <c r="T17" s="6"/>
    </row>
    <row r="18" spans="2:20" x14ac:dyDescent="0.35">
      <c r="B18" s="55">
        <v>2029</v>
      </c>
      <c r="C18" s="6">
        <f t="shared" si="0"/>
        <v>1.3376681608188816</v>
      </c>
      <c r="D18" s="56"/>
      <c r="F18" s="55">
        <v>2025</v>
      </c>
      <c r="G18" s="6">
        <f t="shared" si="1"/>
        <v>3.7725300709032323</v>
      </c>
      <c r="H18" s="56"/>
      <c r="J18" s="55">
        <v>2017</v>
      </c>
      <c r="K18" s="6">
        <f t="shared" si="2"/>
        <v>10.598681651836447</v>
      </c>
      <c r="L18" s="56"/>
    </row>
    <row r="19" spans="2:20" x14ac:dyDescent="0.35">
      <c r="B19" s="55">
        <v>2030</v>
      </c>
      <c r="C19" s="6">
        <f t="shared" si="0"/>
        <v>1.1439040297762162</v>
      </c>
      <c r="D19" s="56"/>
      <c r="F19" s="55">
        <v>2026</v>
      </c>
      <c r="G19" s="6">
        <f t="shared" si="1"/>
        <v>3.2820989397273563</v>
      </c>
      <c r="H19" s="56"/>
      <c r="J19" s="55">
        <v>2018</v>
      </c>
      <c r="K19" s="6">
        <f t="shared" si="2"/>
        <v>9.05096679918781</v>
      </c>
      <c r="L19" s="56"/>
    </row>
    <row r="20" spans="2:20" x14ac:dyDescent="0.35">
      <c r="B20" s="55">
        <v>2031</v>
      </c>
      <c r="C20" s="6">
        <f t="shared" si="0"/>
        <v>0.97820705288913423</v>
      </c>
      <c r="D20" s="66" t="s">
        <v>1133</v>
      </c>
      <c r="F20" s="55">
        <v>2027</v>
      </c>
      <c r="G20" s="6">
        <f t="shared" si="1"/>
        <v>2.8554241444602519</v>
      </c>
      <c r="H20" s="56"/>
      <c r="J20" s="55">
        <v>2019</v>
      </c>
      <c r="K20" s="6">
        <f t="shared" si="2"/>
        <v>7.7292631943337646</v>
      </c>
      <c r="L20" s="56"/>
    </row>
    <row r="21" spans="2:20" ht="15" thickBot="1" x14ac:dyDescent="0.4">
      <c r="B21" s="57">
        <v>2032</v>
      </c>
      <c r="C21" s="58">
        <f t="shared" si="0"/>
        <v>0.83651164207301831</v>
      </c>
      <c r="D21" s="75" t="s">
        <v>269</v>
      </c>
      <c r="F21" s="55">
        <v>2028</v>
      </c>
      <c r="G21" s="6">
        <f t="shared" si="1"/>
        <v>2.4842173238823411</v>
      </c>
      <c r="H21" s="56"/>
      <c r="J21" s="55">
        <v>2020</v>
      </c>
      <c r="K21" s="6">
        <f t="shared" si="2"/>
        <v>6.600566641415976</v>
      </c>
      <c r="L21" s="56"/>
    </row>
    <row r="22" spans="2:20" ht="15" thickTop="1" x14ac:dyDescent="0.35">
      <c r="B22" s="81" t="s">
        <v>271</v>
      </c>
      <c r="F22" s="55">
        <v>2029</v>
      </c>
      <c r="G22" s="6">
        <f t="shared" si="1"/>
        <v>2.1612676086142995</v>
      </c>
      <c r="H22" s="56"/>
      <c r="J22" s="55">
        <v>2021</v>
      </c>
      <c r="K22" s="6">
        <f t="shared" si="2"/>
        <v>5.636692514198792</v>
      </c>
      <c r="L22" s="56"/>
    </row>
    <row r="23" spans="2:20" x14ac:dyDescent="0.35">
      <c r="F23" s="55">
        <v>2030</v>
      </c>
      <c r="G23" s="6">
        <f t="shared" si="1"/>
        <v>1.8803015465431987</v>
      </c>
      <c r="H23" s="56"/>
      <c r="J23" s="55">
        <v>2022</v>
      </c>
      <c r="K23" s="6">
        <f t="shared" si="2"/>
        <v>4.8135719591505852</v>
      </c>
      <c r="L23" s="56"/>
    </row>
    <row r="24" spans="2:20" x14ac:dyDescent="0.35">
      <c r="F24" s="55">
        <v>2031</v>
      </c>
      <c r="G24" s="6">
        <f t="shared" si="1"/>
        <v>1.6358612380257522</v>
      </c>
      <c r="H24" s="56"/>
      <c r="J24" s="55">
        <v>2023</v>
      </c>
      <c r="K24" s="299">
        <f t="shared" si="2"/>
        <v>4.1106508732833182</v>
      </c>
      <c r="L24" s="56"/>
    </row>
    <row r="25" spans="2:20" x14ac:dyDescent="0.35">
      <c r="F25" s="55">
        <v>2032</v>
      </c>
      <c r="G25" s="6">
        <f t="shared" si="1"/>
        <v>1.4231983135869142</v>
      </c>
      <c r="H25" s="56"/>
      <c r="J25" s="55">
        <v>2024</v>
      </c>
      <c r="K25" s="6">
        <f t="shared" si="2"/>
        <v>3.5103766486554555</v>
      </c>
      <c r="L25" s="56"/>
    </row>
    <row r="26" spans="2:20" x14ac:dyDescent="0.35">
      <c r="F26" s="55">
        <v>2033</v>
      </c>
      <c r="G26" s="6">
        <f t="shared" si="1"/>
        <v>1.2381816945801063</v>
      </c>
      <c r="H26" s="56"/>
      <c r="J26" s="55">
        <v>2025</v>
      </c>
      <c r="K26" s="6">
        <f t="shared" si="2"/>
        <v>2.9977598670603975</v>
      </c>
      <c r="L26" s="56"/>
    </row>
    <row r="27" spans="2:20" x14ac:dyDescent="0.35">
      <c r="F27" s="55">
        <v>2034</v>
      </c>
      <c r="G27" s="6">
        <f t="shared" si="1"/>
        <v>1.0772173450159432</v>
      </c>
      <c r="H27" s="66" t="s">
        <v>1133</v>
      </c>
      <c r="J27" s="55">
        <v>2026</v>
      </c>
      <c r="K27" s="6">
        <f t="shared" si="2"/>
        <v>2.5600000000000018</v>
      </c>
      <c r="L27" s="56"/>
    </row>
    <row r="28" spans="2:20" ht="15" thickBot="1" x14ac:dyDescent="0.4">
      <c r="F28" s="57">
        <v>2035</v>
      </c>
      <c r="G28" s="58">
        <f t="shared" si="1"/>
        <v>0.9371784557004883</v>
      </c>
      <c r="H28" s="75" t="s">
        <v>272</v>
      </c>
      <c r="J28" s="55">
        <v>2027</v>
      </c>
      <c r="K28" s="6">
        <f t="shared" si="2"/>
        <v>2.1861657673156012</v>
      </c>
      <c r="L28" s="56"/>
    </row>
    <row r="29" spans="2:20" ht="15" thickTop="1" x14ac:dyDescent="0.35">
      <c r="F29" s="81" t="s">
        <v>271</v>
      </c>
      <c r="J29" s="55">
        <v>2028</v>
      </c>
      <c r="K29" s="6">
        <f t="shared" si="2"/>
        <v>1.8669221727275813</v>
      </c>
      <c r="L29" s="56"/>
    </row>
    <row r="30" spans="2:20" x14ac:dyDescent="0.35">
      <c r="J30" s="55">
        <v>2029</v>
      </c>
      <c r="K30" s="6">
        <f t="shared" si="2"/>
        <v>1.594297400101367</v>
      </c>
      <c r="L30" s="56"/>
    </row>
    <row r="31" spans="2:20" x14ac:dyDescent="0.35">
      <c r="J31" s="55">
        <v>2030</v>
      </c>
      <c r="K31" s="6">
        <f t="shared" si="2"/>
        <v>1.3614837496179182</v>
      </c>
      <c r="L31" s="56"/>
    </row>
    <row r="32" spans="2:20" x14ac:dyDescent="0.35">
      <c r="J32" s="55">
        <v>2031</v>
      </c>
      <c r="K32" s="6">
        <f t="shared" si="2"/>
        <v>1.1626676430356155</v>
      </c>
      <c r="L32" s="66" t="s">
        <v>1133</v>
      </c>
    </row>
    <row r="33" spans="2:20" ht="15" thickBot="1" x14ac:dyDescent="0.4">
      <c r="J33" s="57">
        <v>2032</v>
      </c>
      <c r="K33" s="58">
        <f t="shared" si="2"/>
        <v>0.992884453113272</v>
      </c>
      <c r="L33" s="75" t="s">
        <v>273</v>
      </c>
    </row>
    <row r="34" spans="2:20" ht="15" thickTop="1" x14ac:dyDescent="0.35">
      <c r="J34" s="81" t="s">
        <v>271</v>
      </c>
    </row>
    <row r="36" spans="2:20" s="16" customFormat="1" ht="21.5" thickBot="1" x14ac:dyDescent="0.55000000000000004">
      <c r="B36" s="353" t="s">
        <v>938</v>
      </c>
      <c r="C36" s="354"/>
      <c r="D36" s="354"/>
      <c r="F36" s="353" t="s">
        <v>938</v>
      </c>
      <c r="G36" s="354"/>
      <c r="H36" s="354"/>
      <c r="J36" s="353" t="s">
        <v>938</v>
      </c>
      <c r="K36" s="354"/>
      <c r="L36" s="354"/>
      <c r="T36" s="355"/>
    </row>
    <row r="37" spans="2:20" ht="15" thickTop="1" x14ac:dyDescent="0.35">
      <c r="B37" s="67" t="s">
        <v>7</v>
      </c>
      <c r="C37" s="68" t="s">
        <v>10</v>
      </c>
      <c r="D37" s="69" t="s">
        <v>13</v>
      </c>
      <c r="F37" s="67" t="s">
        <v>7</v>
      </c>
      <c r="G37" s="68" t="s">
        <v>10</v>
      </c>
      <c r="H37" s="69" t="s">
        <v>13</v>
      </c>
      <c r="J37" s="83" t="s">
        <v>7</v>
      </c>
      <c r="K37" s="84" t="s">
        <v>10</v>
      </c>
      <c r="L37" s="85" t="s">
        <v>13</v>
      </c>
      <c r="T37" s="6"/>
    </row>
    <row r="38" spans="2:20" x14ac:dyDescent="0.35">
      <c r="B38" s="70">
        <v>1972</v>
      </c>
      <c r="C38" s="356" t="s">
        <v>231</v>
      </c>
      <c r="D38" s="72" t="s">
        <v>229</v>
      </c>
      <c r="F38" s="70">
        <v>1970</v>
      </c>
      <c r="G38" s="356" t="s">
        <v>228</v>
      </c>
      <c r="H38" s="72" t="s">
        <v>234</v>
      </c>
      <c r="J38" s="78">
        <v>1994</v>
      </c>
      <c r="K38" s="358" t="s">
        <v>228</v>
      </c>
      <c r="L38" s="80" t="s">
        <v>297</v>
      </c>
      <c r="T38" s="6"/>
    </row>
    <row r="39" spans="2:20" x14ac:dyDescent="0.35">
      <c r="B39" s="70">
        <v>2022</v>
      </c>
      <c r="C39" s="356" t="s">
        <v>231</v>
      </c>
      <c r="D39" s="72" t="s">
        <v>230</v>
      </c>
      <c r="F39" s="70">
        <v>2018</v>
      </c>
      <c r="G39" s="356" t="s">
        <v>228</v>
      </c>
      <c r="H39" s="72" t="s">
        <v>235</v>
      </c>
      <c r="J39" s="78">
        <v>2010</v>
      </c>
      <c r="K39" s="358" t="s">
        <v>228</v>
      </c>
      <c r="L39" s="80" t="s">
        <v>300</v>
      </c>
      <c r="T39" s="6"/>
    </row>
    <row r="40" spans="2:20" ht="15" thickBot="1" x14ac:dyDescent="0.4">
      <c r="B40" s="73" t="s">
        <v>268</v>
      </c>
      <c r="C40" s="74"/>
      <c r="D40" s="180" t="s">
        <v>138</v>
      </c>
      <c r="F40" s="73" t="s">
        <v>268</v>
      </c>
      <c r="G40" s="74"/>
      <c r="H40" s="180" t="s">
        <v>138</v>
      </c>
      <c r="J40" s="73" t="s">
        <v>268</v>
      </c>
      <c r="K40" s="82"/>
      <c r="L40" s="180" t="s">
        <v>138</v>
      </c>
      <c r="T40" s="6"/>
    </row>
    <row r="41" spans="2:20" ht="15" thickTop="1" x14ac:dyDescent="0.35">
      <c r="B41" s="55">
        <v>2022</v>
      </c>
      <c r="C41" s="6" t="s">
        <v>236</v>
      </c>
      <c r="D41" s="65"/>
      <c r="F41" s="55">
        <f>F39</f>
        <v>2018</v>
      </c>
      <c r="G41" s="6" t="s">
        <v>236</v>
      </c>
      <c r="H41" s="56"/>
      <c r="J41" s="55">
        <f>J39</f>
        <v>2010</v>
      </c>
      <c r="K41" s="6" t="s">
        <v>236</v>
      </c>
      <c r="L41" s="56"/>
      <c r="T41" s="6"/>
    </row>
    <row r="42" spans="2:20" x14ac:dyDescent="0.35">
      <c r="B42" s="55">
        <v>2023</v>
      </c>
      <c r="C42" s="6" t="s">
        <v>138</v>
      </c>
      <c r="D42" s="56"/>
      <c r="F42" s="55">
        <v>2019</v>
      </c>
      <c r="G42" s="6" t="s">
        <v>138</v>
      </c>
      <c r="H42" s="56"/>
      <c r="J42" s="55">
        <v>2011</v>
      </c>
      <c r="K42" s="6" t="s">
        <v>138</v>
      </c>
      <c r="L42" s="56"/>
      <c r="T42" s="6"/>
    </row>
    <row r="43" spans="2:20" x14ac:dyDescent="0.35">
      <c r="B43" s="55">
        <v>2024</v>
      </c>
      <c r="C43" s="6" t="s">
        <v>138</v>
      </c>
      <c r="D43" s="56"/>
      <c r="F43" s="55">
        <v>2020</v>
      </c>
      <c r="G43" s="6" t="s">
        <v>138</v>
      </c>
      <c r="H43" s="56"/>
      <c r="J43" s="55">
        <v>2012</v>
      </c>
      <c r="K43" s="6" t="s">
        <v>138</v>
      </c>
      <c r="L43" s="56"/>
      <c r="T43" s="6"/>
    </row>
    <row r="44" spans="2:20" x14ac:dyDescent="0.35">
      <c r="B44" s="55">
        <v>2025</v>
      </c>
      <c r="C44" s="6" t="s">
        <v>138</v>
      </c>
      <c r="D44" s="56"/>
      <c r="F44" s="55">
        <v>2021</v>
      </c>
      <c r="G44" s="6" t="s">
        <v>138</v>
      </c>
      <c r="H44" s="56"/>
      <c r="J44" s="55">
        <v>2013</v>
      </c>
      <c r="K44" s="6" t="s">
        <v>138</v>
      </c>
      <c r="L44" s="56"/>
      <c r="T44" s="6"/>
    </row>
    <row r="45" spans="2:20" x14ac:dyDescent="0.35">
      <c r="B45" s="55">
        <v>2026</v>
      </c>
      <c r="C45" s="6" t="s">
        <v>138</v>
      </c>
      <c r="D45" s="56"/>
      <c r="F45" s="55">
        <v>2022</v>
      </c>
      <c r="G45" s="6" t="s">
        <v>138</v>
      </c>
      <c r="H45" s="56"/>
      <c r="J45" s="55">
        <v>2014</v>
      </c>
      <c r="K45" s="6" t="s">
        <v>138</v>
      </c>
      <c r="L45" s="56"/>
      <c r="T45" s="6"/>
    </row>
    <row r="46" spans="2:20" x14ac:dyDescent="0.35">
      <c r="B46" s="55">
        <v>2027</v>
      </c>
      <c r="C46" s="6" t="s">
        <v>138</v>
      </c>
      <c r="D46" s="56"/>
      <c r="F46" s="55">
        <v>2023</v>
      </c>
      <c r="G46" s="6" t="s">
        <v>138</v>
      </c>
      <c r="H46" s="56"/>
      <c r="J46" s="55">
        <v>2015</v>
      </c>
      <c r="K46" s="6" t="s">
        <v>138</v>
      </c>
      <c r="L46" s="56"/>
      <c r="T46" s="6"/>
    </row>
    <row r="47" spans="2:20" x14ac:dyDescent="0.35">
      <c r="B47" s="55">
        <v>2028</v>
      </c>
      <c r="C47" s="6" t="s">
        <v>138</v>
      </c>
      <c r="D47" s="56"/>
      <c r="F47" s="55">
        <v>2024</v>
      </c>
      <c r="G47" s="6" t="s">
        <v>138</v>
      </c>
      <c r="H47" s="56"/>
      <c r="J47" s="55">
        <v>2016</v>
      </c>
      <c r="K47" s="6" t="s">
        <v>138</v>
      </c>
      <c r="L47" s="56"/>
      <c r="T47" s="6"/>
    </row>
    <row r="48" spans="2:20" x14ac:dyDescent="0.35">
      <c r="B48" s="55">
        <v>2029</v>
      </c>
      <c r="C48" s="6" t="s">
        <v>138</v>
      </c>
      <c r="D48" s="56"/>
      <c r="F48" s="55">
        <v>2025</v>
      </c>
      <c r="G48" s="6" t="s">
        <v>138</v>
      </c>
      <c r="H48" s="56"/>
      <c r="J48" s="55">
        <v>2017</v>
      </c>
      <c r="K48" s="6" t="s">
        <v>138</v>
      </c>
      <c r="L48" s="56"/>
    </row>
    <row r="49" spans="2:12" x14ac:dyDescent="0.35">
      <c r="B49" s="55">
        <v>2030</v>
      </c>
      <c r="C49" s="6" t="s">
        <v>138</v>
      </c>
      <c r="D49" s="56"/>
      <c r="F49" s="55">
        <v>2026</v>
      </c>
      <c r="G49" s="6" t="s">
        <v>138</v>
      </c>
      <c r="H49" s="56"/>
      <c r="J49" s="55">
        <v>2018</v>
      </c>
      <c r="K49" s="6" t="s">
        <v>138</v>
      </c>
      <c r="L49" s="56"/>
    </row>
    <row r="50" spans="2:12" x14ac:dyDescent="0.35">
      <c r="B50" s="55">
        <v>2031</v>
      </c>
      <c r="C50" s="6" t="s">
        <v>138</v>
      </c>
      <c r="D50" s="66" t="s">
        <v>1133</v>
      </c>
      <c r="F50" s="55">
        <v>2027</v>
      </c>
      <c r="G50" s="6" t="s">
        <v>138</v>
      </c>
      <c r="H50" s="56"/>
      <c r="J50" s="55">
        <v>2019</v>
      </c>
      <c r="K50" s="6" t="s">
        <v>138</v>
      </c>
      <c r="L50" s="56"/>
    </row>
    <row r="51" spans="2:12" ht="15" thickBot="1" x14ac:dyDescent="0.4">
      <c r="B51" s="57">
        <v>2032</v>
      </c>
      <c r="C51" s="58" t="s">
        <v>138</v>
      </c>
      <c r="D51" s="75" t="s">
        <v>269</v>
      </c>
      <c r="F51" s="55">
        <v>2028</v>
      </c>
      <c r="G51" s="6" t="s">
        <v>138</v>
      </c>
      <c r="H51" s="56"/>
      <c r="J51" s="55">
        <v>2020</v>
      </c>
      <c r="K51" s="6" t="s">
        <v>138</v>
      </c>
      <c r="L51" s="56"/>
    </row>
    <row r="52" spans="2:12" ht="15" thickTop="1" x14ac:dyDescent="0.35">
      <c r="B52" s="81" t="s">
        <v>271</v>
      </c>
      <c r="F52" s="55">
        <v>2029</v>
      </c>
      <c r="G52" s="6" t="s">
        <v>138</v>
      </c>
      <c r="H52" s="56"/>
      <c r="J52" s="55">
        <v>2021</v>
      </c>
      <c r="K52" s="6" t="s">
        <v>138</v>
      </c>
      <c r="L52" s="56"/>
    </row>
    <row r="53" spans="2:12" x14ac:dyDescent="0.35">
      <c r="F53" s="55">
        <v>2030</v>
      </c>
      <c r="G53" s="6" t="s">
        <v>138</v>
      </c>
      <c r="H53" s="56"/>
      <c r="J53" s="55">
        <v>2022</v>
      </c>
      <c r="K53" s="6" t="s">
        <v>138</v>
      </c>
      <c r="L53" s="56"/>
    </row>
    <row r="54" spans="2:12" x14ac:dyDescent="0.35">
      <c r="F54" s="55">
        <v>2031</v>
      </c>
      <c r="G54" s="6" t="s">
        <v>138</v>
      </c>
      <c r="H54" s="56"/>
      <c r="J54" s="55">
        <v>2023</v>
      </c>
      <c r="K54" s="6" t="s">
        <v>138</v>
      </c>
      <c r="L54" s="56"/>
    </row>
    <row r="55" spans="2:12" x14ac:dyDescent="0.35">
      <c r="F55" s="55">
        <v>2032</v>
      </c>
      <c r="G55" s="6" t="s">
        <v>138</v>
      </c>
      <c r="H55" s="56"/>
      <c r="J55" s="55">
        <v>2024</v>
      </c>
      <c r="K55" s="6" t="s">
        <v>138</v>
      </c>
      <c r="L55" s="56"/>
    </row>
    <row r="56" spans="2:12" x14ac:dyDescent="0.35">
      <c r="F56" s="55">
        <v>2033</v>
      </c>
      <c r="G56" s="6" t="s">
        <v>138</v>
      </c>
      <c r="H56" s="56"/>
      <c r="J56" s="55">
        <v>2025</v>
      </c>
      <c r="K56" s="6" t="s">
        <v>138</v>
      </c>
      <c r="L56" s="56"/>
    </row>
    <row r="57" spans="2:12" x14ac:dyDescent="0.35">
      <c r="F57" s="55">
        <v>2034</v>
      </c>
      <c r="G57" s="6" t="s">
        <v>138</v>
      </c>
      <c r="H57" s="66" t="s">
        <v>1133</v>
      </c>
      <c r="J57" s="55">
        <v>2026</v>
      </c>
      <c r="K57" s="6" t="s">
        <v>138</v>
      </c>
      <c r="L57" s="56"/>
    </row>
    <row r="58" spans="2:12" ht="15" thickBot="1" x14ac:dyDescent="0.4">
      <c r="F58" s="57">
        <v>2035</v>
      </c>
      <c r="G58" s="58" t="s">
        <v>138</v>
      </c>
      <c r="H58" s="75" t="s">
        <v>272</v>
      </c>
      <c r="J58" s="55">
        <v>2027</v>
      </c>
      <c r="K58" s="6" t="s">
        <v>138</v>
      </c>
      <c r="L58" s="56"/>
    </row>
    <row r="59" spans="2:12" ht="15" thickTop="1" x14ac:dyDescent="0.35">
      <c r="F59" s="81" t="s">
        <v>271</v>
      </c>
      <c r="J59" s="55">
        <v>2028</v>
      </c>
      <c r="K59" s="6" t="s">
        <v>138</v>
      </c>
      <c r="L59" s="56"/>
    </row>
    <row r="60" spans="2:12" x14ac:dyDescent="0.35">
      <c r="J60" s="55">
        <v>2029</v>
      </c>
      <c r="K60" s="6" t="s">
        <v>138</v>
      </c>
      <c r="L60" s="56"/>
    </row>
    <row r="61" spans="2:12" x14ac:dyDescent="0.35">
      <c r="J61" s="55">
        <v>2030</v>
      </c>
      <c r="K61" s="6" t="s">
        <v>138</v>
      </c>
      <c r="L61" s="56"/>
    </row>
    <row r="62" spans="2:12" x14ac:dyDescent="0.35">
      <c r="J62" s="55">
        <v>2031</v>
      </c>
      <c r="K62" s="6" t="s">
        <v>138</v>
      </c>
      <c r="L62" s="66" t="s">
        <v>1133</v>
      </c>
    </row>
    <row r="63" spans="2:12" ht="15" thickBot="1" x14ac:dyDescent="0.4">
      <c r="J63" s="57">
        <v>2032</v>
      </c>
      <c r="K63" s="58" t="s">
        <v>138</v>
      </c>
      <c r="L63" s="75" t="s">
        <v>273</v>
      </c>
    </row>
    <row r="64" spans="2:12" ht="15" thickTop="1" x14ac:dyDescent="0.35">
      <c r="J64" s="81" t="s">
        <v>271</v>
      </c>
    </row>
    <row r="68" spans="2:13" x14ac:dyDescent="0.35">
      <c r="B68" s="8" t="s">
        <v>232</v>
      </c>
      <c r="F68" s="8" t="s">
        <v>233</v>
      </c>
      <c r="J68" s="8" t="s">
        <v>227</v>
      </c>
    </row>
    <row r="69" spans="2:13" x14ac:dyDescent="0.35">
      <c r="B69" t="s">
        <v>107</v>
      </c>
      <c r="F69" t="s">
        <v>107</v>
      </c>
      <c r="J69" t="s">
        <v>107</v>
      </c>
    </row>
    <row r="70" spans="2:13" x14ac:dyDescent="0.35">
      <c r="B70" s="14" t="s">
        <v>231</v>
      </c>
      <c r="E70" t="s">
        <v>45</v>
      </c>
      <c r="F70" s="14" t="s">
        <v>228</v>
      </c>
      <c r="I70" t="s">
        <v>45</v>
      </c>
      <c r="J70" s="14" t="s">
        <v>228</v>
      </c>
      <c r="M70" t="s">
        <v>45</v>
      </c>
    </row>
    <row r="72" spans="2:13" x14ac:dyDescent="0.35">
      <c r="B72" t="s">
        <v>1</v>
      </c>
      <c r="D72" t="s">
        <v>0</v>
      </c>
      <c r="F72" t="s">
        <v>1</v>
      </c>
      <c r="H72" t="s">
        <v>0</v>
      </c>
      <c r="J72" t="s">
        <v>1</v>
      </c>
      <c r="L72" t="s">
        <v>0</v>
      </c>
    </row>
    <row r="73" spans="2:13" x14ac:dyDescent="0.35">
      <c r="B73" s="59">
        <f>D10</f>
        <v>-0.14485216641775234</v>
      </c>
      <c r="D73" s="2">
        <f>C8*(1+D10)^(B9-B8)</f>
        <v>3.999999999999992</v>
      </c>
      <c r="F73" s="76">
        <f>H10</f>
        <v>-0.13000058898363009</v>
      </c>
      <c r="H73" s="2">
        <f>G8*(1+H10)^(F9-F8)</f>
        <v>10.000000000000043</v>
      </c>
      <c r="L73" s="2">
        <f>K8*(1+L10)^(J9-J8)</f>
        <v>32.000000000000014</v>
      </c>
    </row>
    <row r="74" spans="2:13" x14ac:dyDescent="0.35">
      <c r="B74" s="3"/>
      <c r="F74" s="3"/>
      <c r="J74" s="3"/>
    </row>
    <row r="75" spans="2:13" x14ac:dyDescent="0.35">
      <c r="B75" s="3" t="s">
        <v>2</v>
      </c>
      <c r="D75" t="s">
        <v>4</v>
      </c>
      <c r="F75" s="3" t="s">
        <v>2</v>
      </c>
      <c r="H75" t="s">
        <v>4</v>
      </c>
      <c r="J75" s="3" t="s">
        <v>2</v>
      </c>
      <c r="L75" t="s">
        <v>4</v>
      </c>
    </row>
    <row r="76" spans="2:13" x14ac:dyDescent="0.35">
      <c r="B76" s="5">
        <f>1*(1+D10)^D76</f>
        <v>0.73127781728041152</v>
      </c>
      <c r="D76">
        <v>2</v>
      </c>
      <c r="F76" s="5">
        <f>1*(1+H10)^H76</f>
        <v>0.75689897516883053</v>
      </c>
      <c r="H76">
        <v>2</v>
      </c>
      <c r="J76" s="5">
        <f>1*(1+L10)^L76</f>
        <v>0.72926647372171094</v>
      </c>
      <c r="L76">
        <v>2</v>
      </c>
    </row>
    <row r="77" spans="2:13" x14ac:dyDescent="0.35">
      <c r="B77" s="3"/>
      <c r="F77" s="3"/>
      <c r="J77" s="3"/>
    </row>
    <row r="78" spans="2:13" x14ac:dyDescent="0.35">
      <c r="B78" s="3" t="s">
        <v>3</v>
      </c>
      <c r="D78" t="s">
        <v>4</v>
      </c>
      <c r="F78" s="3" t="s">
        <v>3</v>
      </c>
      <c r="H78" t="s">
        <v>4</v>
      </c>
      <c r="J78" s="3" t="s">
        <v>3</v>
      </c>
      <c r="L78" t="s">
        <v>4</v>
      </c>
    </row>
    <row r="79" spans="2:13" x14ac:dyDescent="0.35">
      <c r="B79" s="3">
        <f>1*(1+D10)^D79</f>
        <v>0.20912791051825455</v>
      </c>
      <c r="D79">
        <v>10</v>
      </c>
      <c r="F79" s="3">
        <f>1*(1+H10)^H79</f>
        <v>0.24842173238823409</v>
      </c>
      <c r="H79">
        <v>10</v>
      </c>
      <c r="J79" s="3">
        <f>1*(1+L10)^L79</f>
        <v>0.20626770754424922</v>
      </c>
      <c r="L79">
        <v>10</v>
      </c>
    </row>
    <row r="80" spans="2:13" x14ac:dyDescent="0.35">
      <c r="B80" s="3"/>
      <c r="F80" s="3"/>
      <c r="J80" s="3"/>
    </row>
    <row r="81" spans="1:12" x14ac:dyDescent="0.35">
      <c r="B81" s="3" t="s">
        <v>6</v>
      </c>
      <c r="D81" t="s">
        <v>4</v>
      </c>
      <c r="F81" s="3" t="s">
        <v>6</v>
      </c>
      <c r="H81" t="s">
        <v>4</v>
      </c>
      <c r="J81" s="3" t="s">
        <v>6</v>
      </c>
      <c r="L81" t="s">
        <v>4</v>
      </c>
    </row>
    <row r="82" spans="1:12" x14ac:dyDescent="0.35">
      <c r="B82" s="3">
        <f>1*(1+D10)^D82</f>
        <v>4.3734482957731087E-2</v>
      </c>
      <c r="D82">
        <v>20</v>
      </c>
      <c r="F82" s="3">
        <f>1*(1+H10)^H82</f>
        <v>6.1713357122771401E-2</v>
      </c>
      <c r="H82">
        <v>20</v>
      </c>
      <c r="J82" s="3">
        <f>1*(1+L10)^L82</f>
        <v>4.2546367175559929E-2</v>
      </c>
      <c r="L82">
        <v>20</v>
      </c>
    </row>
    <row r="85" spans="1:12" x14ac:dyDescent="0.35">
      <c r="A85" t="s">
        <v>237</v>
      </c>
    </row>
    <row r="86" spans="1:12" x14ac:dyDescent="0.35">
      <c r="A86" s="14" t="s">
        <v>238</v>
      </c>
    </row>
  </sheetData>
  <hyperlinks>
    <hyperlink ref="B70" r:id="rId1" location="Microprocessors" xr:uid="{2618566F-4B08-424A-A8E3-8CD30BFEA98F}"/>
    <hyperlink ref="F70" r:id="rId2" location="Memory" xr:uid="{CF0C23AE-102D-43D5-B8B0-FE06BF8174A1}"/>
    <hyperlink ref="A86" r:id="rId3" xr:uid="{1A880AF2-7CDB-44C2-B7E9-886E9D6E7C5F}"/>
    <hyperlink ref="C38" r:id="rId4" location="Microprocessors" xr:uid="{7215EEE0-A27A-405E-AACD-0A242D150197}"/>
    <hyperlink ref="C39" r:id="rId5" location="Microprocessors" xr:uid="{5D9BE405-2C34-4F77-9852-5737425DD3D6}"/>
    <hyperlink ref="G38" r:id="rId6" location="Memory" xr:uid="{24621B09-AD94-4194-AD60-BC5F42BC804F}"/>
    <hyperlink ref="G39" r:id="rId7" location="Memory" xr:uid="{8CC1DC52-636F-46A4-BA5B-D5A57C08D4CA}"/>
    <hyperlink ref="J70" r:id="rId8" location="Memory" xr:uid="{DFB8A222-4E04-4396-8289-5EB89DD202B1}"/>
    <hyperlink ref="K38" r:id="rId9" location="Memory" xr:uid="{08F44EED-C8E2-4CDC-8601-4407861B3ECE}"/>
    <hyperlink ref="K39" r:id="rId10" location="Memory" xr:uid="{5908DD4F-27CA-4D9C-A588-706FBB2A770F}"/>
  </hyperlinks>
  <pageMargins left="0.7" right="0.7" top="0.75" bottom="0.75" header="0.3" footer="0.3"/>
  <pageSetup orientation="portrait" verticalDpi="0"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C73CD-4B11-48CF-9D89-643564614AA7}">
  <dimension ref="A1:Y89"/>
  <sheetViews>
    <sheetView zoomScale="110" zoomScaleNormal="110" workbookViewId="0">
      <pane xSplit="3" ySplit="8" topLeftCell="D9" activePane="bottomRight" state="frozen"/>
      <selection pane="topRight" activeCell="D1" sqref="D1"/>
      <selection pane="bottomLeft" activeCell="A9" sqref="A9"/>
      <selection pane="bottomRight" activeCell="Q25" sqref="Q25"/>
    </sheetView>
  </sheetViews>
  <sheetFormatPr defaultRowHeight="14.5" x14ac:dyDescent="0.35"/>
  <cols>
    <col min="1" max="1" width="2.08984375" customWidth="1"/>
    <col min="2" max="2" width="3.1796875" customWidth="1"/>
    <col min="3" max="3" width="19.7265625" customWidth="1"/>
    <col min="4" max="4" width="11.08984375" customWidth="1"/>
    <col min="5" max="5" width="20.7265625" customWidth="1"/>
    <col min="6" max="6" width="9.453125" customWidth="1"/>
    <col min="7" max="7" width="17.08984375" customWidth="1"/>
    <col min="9" max="9" width="10.54296875" customWidth="1"/>
    <col min="10" max="10" width="20.453125" customWidth="1"/>
    <col min="11" max="11" width="41.453125" customWidth="1"/>
    <col min="12" max="12" width="28.36328125" customWidth="1"/>
    <col min="15" max="15" width="3.26953125" customWidth="1"/>
    <col min="16" max="16" width="11.7265625" customWidth="1"/>
    <col min="17" max="17" width="4.54296875" customWidth="1"/>
    <col min="18" max="18" width="27.7265625" customWidth="1"/>
    <col min="19" max="19" width="70.81640625" customWidth="1"/>
    <col min="20" max="20" width="44.6328125" customWidth="1"/>
    <col min="21" max="21" width="14.90625" customWidth="1"/>
    <col min="22" max="22" width="18.1796875" customWidth="1"/>
    <col min="23" max="23" width="78.54296875" customWidth="1"/>
    <col min="24" max="24" width="4" customWidth="1"/>
  </cols>
  <sheetData>
    <row r="1" spans="1:24" ht="28.5" x14ac:dyDescent="0.65">
      <c r="A1" s="9" t="str">
        <f>AI_Models!$A$1</f>
        <v>New AI chips by Nvidia will cause Russia to lose war in Ukraine #72/99</v>
      </c>
    </row>
    <row r="2" spans="1:24" ht="15.5" x14ac:dyDescent="0.35">
      <c r="A2" s="10" t="str">
        <f>KeyChips!A2</f>
        <v>Proprietary. © H. Mathiesen. This material can be used by others free of charge provided that the author H. Mathiesen is attributed and a clickable link is made visible to the location of used material on www.hmexperience.dk</v>
      </c>
    </row>
    <row r="3" spans="1:24" ht="15.5" x14ac:dyDescent="0.35">
      <c r="A3" s="615" t="str">
        <f>AI_Models!A3</f>
        <v>Links to all sources are available in sources table below</v>
      </c>
      <c r="B3" s="616"/>
      <c r="C3" s="616"/>
      <c r="D3" s="616"/>
      <c r="E3" s="616"/>
    </row>
    <row r="5" spans="1:24" ht="24" thickBot="1" x14ac:dyDescent="0.6">
      <c r="C5" s="30" t="s">
        <v>1237</v>
      </c>
      <c r="D5" s="30"/>
      <c r="E5" s="31"/>
    </row>
    <row r="6" spans="1:24" ht="15" thickTop="1" x14ac:dyDescent="0.35">
      <c r="C6" s="18"/>
      <c r="D6" s="19" t="s">
        <v>1253</v>
      </c>
      <c r="E6" s="19" t="s">
        <v>1241</v>
      </c>
      <c r="F6" s="19" t="s">
        <v>1243</v>
      </c>
      <c r="G6" s="19" t="s">
        <v>1242</v>
      </c>
      <c r="H6" s="19" t="s">
        <v>1244</v>
      </c>
      <c r="I6" s="19" t="s">
        <v>1248</v>
      </c>
      <c r="J6" s="19" t="s">
        <v>1670</v>
      </c>
      <c r="K6" s="19" t="s">
        <v>1659</v>
      </c>
      <c r="L6" s="19" t="s">
        <v>1664</v>
      </c>
      <c r="M6" s="19"/>
      <c r="N6" s="20" t="s">
        <v>1247</v>
      </c>
      <c r="P6" s="2"/>
    </row>
    <row r="7" spans="1:24" x14ac:dyDescent="0.35">
      <c r="C7" s="21"/>
      <c r="D7" s="13" t="s">
        <v>1254</v>
      </c>
      <c r="E7" s="13" t="s">
        <v>1432</v>
      </c>
      <c r="F7" s="13"/>
      <c r="G7" s="13" t="s">
        <v>1433</v>
      </c>
      <c r="H7" s="13"/>
      <c r="I7" s="13" t="s">
        <v>1250</v>
      </c>
      <c r="J7" s="13" t="s">
        <v>1425</v>
      </c>
      <c r="K7" s="13" t="s">
        <v>1660</v>
      </c>
      <c r="L7" s="13" t="s">
        <v>1662</v>
      </c>
      <c r="M7" s="13"/>
      <c r="N7" s="22" t="s">
        <v>97</v>
      </c>
      <c r="P7" s="2"/>
    </row>
    <row r="8" spans="1:24" ht="15" thickBot="1" x14ac:dyDescent="0.4">
      <c r="C8" s="210"/>
      <c r="D8" s="202" t="s">
        <v>1255</v>
      </c>
      <c r="E8" s="202" t="s">
        <v>1431</v>
      </c>
      <c r="F8" s="202"/>
      <c r="G8" s="202" t="s">
        <v>1431</v>
      </c>
      <c r="H8" s="202"/>
      <c r="I8" s="202" t="s">
        <v>1249</v>
      </c>
      <c r="J8" s="202" t="s">
        <v>1671</v>
      </c>
      <c r="K8" s="202" t="s">
        <v>1661</v>
      </c>
      <c r="L8" s="202" t="s">
        <v>1663</v>
      </c>
      <c r="M8" s="202"/>
      <c r="N8" s="211"/>
      <c r="P8" t="s">
        <v>1454</v>
      </c>
    </row>
    <row r="9" spans="1:24" ht="15" thickTop="1" x14ac:dyDescent="0.35">
      <c r="B9">
        <v>1</v>
      </c>
      <c r="C9" s="236" t="s">
        <v>1453</v>
      </c>
      <c r="D9" s="243"/>
      <c r="E9" s="243"/>
      <c r="F9" s="243"/>
      <c r="G9" s="243"/>
      <c r="H9" s="243"/>
      <c r="I9" s="243"/>
      <c r="J9" s="243"/>
      <c r="K9" s="243"/>
      <c r="L9" s="243"/>
      <c r="M9" s="243"/>
      <c r="N9" s="244"/>
      <c r="O9">
        <v>1</v>
      </c>
      <c r="X9" t="s">
        <v>45</v>
      </c>
    </row>
    <row r="10" spans="1:24" x14ac:dyDescent="0.35">
      <c r="B10">
        <f t="shared" ref="B10:B44" si="0">B9+1</f>
        <v>2</v>
      </c>
      <c r="C10" s="23" t="s">
        <v>1419</v>
      </c>
      <c r="D10" s="641" t="s">
        <v>1251</v>
      </c>
      <c r="E10" s="37" t="s">
        <v>1256</v>
      </c>
      <c r="F10" s="100">
        <v>2029</v>
      </c>
      <c r="G10" s="37" t="s">
        <v>1412</v>
      </c>
      <c r="H10" s="100">
        <v>2045</v>
      </c>
      <c r="I10" s="235" t="s">
        <v>1257</v>
      </c>
      <c r="J10" s="100"/>
      <c r="K10" s="100"/>
      <c r="L10" s="627"/>
      <c r="M10" s="629"/>
      <c r="N10" s="624" t="s">
        <v>1251</v>
      </c>
      <c r="O10">
        <f t="shared" ref="O10:O44" si="1">O9+1</f>
        <v>2</v>
      </c>
      <c r="X10" t="s">
        <v>45</v>
      </c>
    </row>
    <row r="11" spans="1:24" x14ac:dyDescent="0.35">
      <c r="B11">
        <f t="shared" si="0"/>
        <v>3</v>
      </c>
      <c r="C11" s="23" t="s">
        <v>1451</v>
      </c>
      <c r="D11" s="641" t="s">
        <v>1452</v>
      </c>
      <c r="E11" s="37" t="s">
        <v>45</v>
      </c>
      <c r="F11" s="100"/>
      <c r="G11" s="37"/>
      <c r="H11" s="100"/>
      <c r="I11" s="235"/>
      <c r="J11" s="100"/>
      <c r="K11" s="100"/>
      <c r="L11" s="627"/>
      <c r="M11" s="629"/>
      <c r="N11" s="624"/>
      <c r="O11">
        <f t="shared" si="1"/>
        <v>3</v>
      </c>
      <c r="P11" s="14" t="s">
        <v>1455</v>
      </c>
      <c r="Q11" t="s">
        <v>45</v>
      </c>
    </row>
    <row r="12" spans="1:24" x14ac:dyDescent="0.35">
      <c r="B12">
        <f t="shared" si="0"/>
        <v>4</v>
      </c>
      <c r="C12" s="23" t="s">
        <v>1620</v>
      </c>
      <c r="D12" s="14" t="s">
        <v>1415</v>
      </c>
      <c r="E12" s="37" t="s">
        <v>45</v>
      </c>
      <c r="F12" s="100"/>
      <c r="G12" s="37"/>
      <c r="H12" s="100"/>
      <c r="I12" s="235"/>
      <c r="J12" s="100"/>
      <c r="K12" s="100"/>
      <c r="L12" s="627"/>
      <c r="M12" s="629"/>
      <c r="N12" s="623"/>
      <c r="O12">
        <f t="shared" si="1"/>
        <v>4</v>
      </c>
      <c r="X12" t="s">
        <v>45</v>
      </c>
    </row>
    <row r="13" spans="1:24" x14ac:dyDescent="0.35">
      <c r="B13">
        <f t="shared" si="0"/>
        <v>5</v>
      </c>
      <c r="C13" s="23" t="s">
        <v>1618</v>
      </c>
      <c r="D13" s="14" t="s">
        <v>1416</v>
      </c>
      <c r="E13" s="37" t="s">
        <v>45</v>
      </c>
      <c r="F13" s="100"/>
      <c r="G13" s="37"/>
      <c r="H13" s="100"/>
      <c r="I13" s="235"/>
      <c r="J13" s="100"/>
      <c r="K13" s="100"/>
      <c r="L13" s="627"/>
      <c r="M13" s="629"/>
      <c r="N13" s="623"/>
      <c r="O13">
        <f t="shared" si="1"/>
        <v>5</v>
      </c>
      <c r="X13" t="s">
        <v>45</v>
      </c>
    </row>
    <row r="14" spans="1:24" x14ac:dyDescent="0.35">
      <c r="B14">
        <f t="shared" si="0"/>
        <v>6</v>
      </c>
      <c r="C14" s="23" t="s">
        <v>1446</v>
      </c>
      <c r="D14" s="14" t="s">
        <v>1447</v>
      </c>
      <c r="E14" s="37" t="s">
        <v>45</v>
      </c>
      <c r="F14" s="100"/>
      <c r="G14" s="37"/>
      <c r="H14" s="100"/>
      <c r="I14" s="235"/>
      <c r="J14" s="100"/>
      <c r="K14" s="100"/>
      <c r="L14" s="627"/>
      <c r="M14" s="629"/>
      <c r="N14" s="623"/>
      <c r="O14">
        <f t="shared" si="1"/>
        <v>6</v>
      </c>
    </row>
    <row r="15" spans="1:24" x14ac:dyDescent="0.35">
      <c r="B15">
        <f t="shared" si="0"/>
        <v>7</v>
      </c>
      <c r="C15" s="23" t="s">
        <v>1668</v>
      </c>
      <c r="D15" s="14" t="s">
        <v>1445</v>
      </c>
      <c r="E15" s="37" t="s">
        <v>45</v>
      </c>
      <c r="F15" s="100"/>
      <c r="G15" s="37"/>
      <c r="H15" s="100"/>
      <c r="I15" s="235"/>
      <c r="J15" s="100"/>
      <c r="K15" s="100"/>
      <c r="L15" s="627"/>
      <c r="M15" s="629"/>
      <c r="N15" s="623"/>
      <c r="O15">
        <f t="shared" si="1"/>
        <v>7</v>
      </c>
    </row>
    <row r="16" spans="1:24" x14ac:dyDescent="0.35">
      <c r="B16">
        <f t="shared" si="0"/>
        <v>8</v>
      </c>
      <c r="C16" s="23" t="s">
        <v>1619</v>
      </c>
      <c r="D16" s="14" t="s">
        <v>1420</v>
      </c>
      <c r="E16" s="37" t="s">
        <v>45</v>
      </c>
      <c r="F16" s="100"/>
      <c r="G16" s="37"/>
      <c r="H16" s="100"/>
      <c r="I16" s="235"/>
      <c r="J16" s="100"/>
      <c r="K16" s="100"/>
      <c r="L16" s="627"/>
      <c r="M16" s="629"/>
      <c r="N16" s="623"/>
      <c r="O16">
        <f t="shared" si="1"/>
        <v>8</v>
      </c>
      <c r="X16" t="s">
        <v>45</v>
      </c>
    </row>
    <row r="17" spans="2:25" x14ac:dyDescent="0.35">
      <c r="B17">
        <f t="shared" si="0"/>
        <v>9</v>
      </c>
      <c r="C17" s="23" t="s">
        <v>1422</v>
      </c>
      <c r="D17" s="14" t="s">
        <v>1421</v>
      </c>
      <c r="E17" s="37" t="s">
        <v>45</v>
      </c>
      <c r="F17" s="100"/>
      <c r="G17" s="37"/>
      <c r="H17" s="100"/>
      <c r="I17" s="235"/>
      <c r="J17" s="100"/>
      <c r="K17" s="100"/>
      <c r="L17" s="627"/>
      <c r="M17" s="629"/>
      <c r="N17" s="623"/>
      <c r="O17">
        <f t="shared" si="1"/>
        <v>9</v>
      </c>
    </row>
    <row r="18" spans="2:25" x14ac:dyDescent="0.35">
      <c r="B18">
        <f t="shared" si="0"/>
        <v>10</v>
      </c>
      <c r="C18" s="23" t="s">
        <v>1665</v>
      </c>
      <c r="D18" s="14" t="s">
        <v>1657</v>
      </c>
      <c r="E18" s="37" t="s">
        <v>45</v>
      </c>
      <c r="F18" s="100"/>
      <c r="G18" s="37"/>
      <c r="H18" s="100"/>
      <c r="I18" s="235" t="s">
        <v>1666</v>
      </c>
      <c r="J18" s="100" t="s">
        <v>45</v>
      </c>
      <c r="K18" s="100"/>
      <c r="L18" s="627"/>
      <c r="M18" s="629"/>
      <c r="N18" s="623"/>
      <c r="O18">
        <f t="shared" si="1"/>
        <v>10</v>
      </c>
    </row>
    <row r="19" spans="2:25" x14ac:dyDescent="0.35">
      <c r="B19">
        <f t="shared" si="0"/>
        <v>11</v>
      </c>
      <c r="C19" s="23" t="s">
        <v>1582</v>
      </c>
      <c r="D19" s="14" t="s">
        <v>1581</v>
      </c>
      <c r="E19" s="37" t="s">
        <v>45</v>
      </c>
      <c r="F19" s="100"/>
      <c r="G19" s="37"/>
      <c r="H19" s="100"/>
      <c r="I19" s="235"/>
      <c r="J19" s="100"/>
      <c r="K19" s="100"/>
      <c r="L19" s="627"/>
      <c r="M19" s="629"/>
      <c r="N19" s="623"/>
      <c r="O19">
        <f t="shared" si="1"/>
        <v>11</v>
      </c>
    </row>
    <row r="20" spans="2:25" x14ac:dyDescent="0.35">
      <c r="B20">
        <f t="shared" si="0"/>
        <v>12</v>
      </c>
      <c r="C20" s="23" t="s">
        <v>1444</v>
      </c>
      <c r="D20" s="14" t="s">
        <v>1441</v>
      </c>
      <c r="E20" s="37" t="s">
        <v>45</v>
      </c>
      <c r="F20" s="100"/>
      <c r="G20" s="37"/>
      <c r="H20" s="100"/>
      <c r="I20" s="235"/>
      <c r="J20" s="100"/>
      <c r="K20" s="100"/>
      <c r="L20" s="627"/>
      <c r="M20" s="629"/>
      <c r="N20" s="623"/>
      <c r="O20">
        <f t="shared" si="1"/>
        <v>12</v>
      </c>
    </row>
    <row r="21" spans="2:25" x14ac:dyDescent="0.35">
      <c r="B21">
        <f t="shared" si="0"/>
        <v>13</v>
      </c>
      <c r="C21" s="23" t="s">
        <v>1580</v>
      </c>
      <c r="D21" s="14" t="s">
        <v>1579</v>
      </c>
      <c r="E21" s="37" t="s">
        <v>45</v>
      </c>
      <c r="F21" s="100"/>
      <c r="G21" s="37"/>
      <c r="H21" s="100"/>
      <c r="I21" s="235"/>
      <c r="J21" s="100"/>
      <c r="K21" s="100"/>
      <c r="L21" s="627"/>
      <c r="M21" s="629"/>
      <c r="N21" s="623"/>
      <c r="O21">
        <f t="shared" si="1"/>
        <v>13</v>
      </c>
    </row>
    <row r="22" spans="2:25" x14ac:dyDescent="0.35">
      <c r="B22">
        <f t="shared" si="0"/>
        <v>14</v>
      </c>
      <c r="C22" s="23"/>
      <c r="D22" s="14"/>
      <c r="E22" s="37"/>
      <c r="F22" s="100"/>
      <c r="G22" s="37"/>
      <c r="H22" s="100"/>
      <c r="I22" s="235"/>
      <c r="J22" s="100"/>
      <c r="K22" s="100"/>
      <c r="L22" s="627"/>
      <c r="M22" s="629"/>
      <c r="N22" s="623"/>
      <c r="O22">
        <f t="shared" si="1"/>
        <v>14</v>
      </c>
    </row>
    <row r="23" spans="2:25" ht="15" thickBot="1" x14ac:dyDescent="0.4">
      <c r="B23">
        <f t="shared" si="0"/>
        <v>15</v>
      </c>
      <c r="C23" s="23"/>
      <c r="D23" s="14"/>
      <c r="E23" s="37"/>
      <c r="F23" s="100"/>
      <c r="G23" s="37"/>
      <c r="H23" s="100"/>
      <c r="I23" s="235"/>
      <c r="J23" s="100"/>
      <c r="K23" s="100"/>
      <c r="L23" s="627"/>
      <c r="M23" s="629"/>
      <c r="N23" s="623"/>
      <c r="O23">
        <f t="shared" si="1"/>
        <v>15</v>
      </c>
    </row>
    <row r="24" spans="2:25" ht="15" thickTop="1" x14ac:dyDescent="0.35">
      <c r="B24">
        <f t="shared" si="0"/>
        <v>16</v>
      </c>
      <c r="C24" s="702" t="s">
        <v>1239</v>
      </c>
      <c r="D24" s="703"/>
      <c r="E24" s="704"/>
      <c r="F24" s="705"/>
      <c r="G24" s="704"/>
      <c r="H24" s="705"/>
      <c r="I24" s="704"/>
      <c r="J24" s="705"/>
      <c r="K24" s="705"/>
      <c r="L24" s="704"/>
      <c r="M24" s="704"/>
      <c r="N24" s="706"/>
      <c r="O24">
        <f t="shared" si="1"/>
        <v>16</v>
      </c>
      <c r="X24" s="37"/>
      <c r="Y24" s="37"/>
    </row>
    <row r="25" spans="2:25" x14ac:dyDescent="0.35">
      <c r="B25">
        <f t="shared" si="0"/>
        <v>17</v>
      </c>
      <c r="C25" s="23" t="s">
        <v>1462</v>
      </c>
      <c r="D25" s="14" t="s">
        <v>1408</v>
      </c>
      <c r="E25" s="37" t="s">
        <v>45</v>
      </c>
      <c r="F25" s="100">
        <v>2025</v>
      </c>
      <c r="G25" s="37"/>
      <c r="H25" s="100"/>
      <c r="I25" s="235"/>
      <c r="J25" s="100"/>
      <c r="K25" s="100"/>
      <c r="L25" s="627"/>
      <c r="M25" s="629"/>
      <c r="N25" s="623"/>
      <c r="O25">
        <f t="shared" si="1"/>
        <v>17</v>
      </c>
      <c r="X25" s="629"/>
      <c r="Y25" s="644"/>
    </row>
    <row r="26" spans="2:25" x14ac:dyDescent="0.35">
      <c r="B26">
        <f t="shared" si="0"/>
        <v>18</v>
      </c>
      <c r="C26" s="23" t="s">
        <v>1461</v>
      </c>
      <c r="D26" s="14" t="s">
        <v>1437</v>
      </c>
      <c r="E26" s="37" t="s">
        <v>45</v>
      </c>
      <c r="F26" s="100" t="s">
        <v>1448</v>
      </c>
      <c r="G26" s="37"/>
      <c r="H26" s="100"/>
      <c r="I26" s="235"/>
      <c r="J26" s="100"/>
      <c r="K26" s="100"/>
      <c r="L26" s="627"/>
      <c r="M26" s="629"/>
      <c r="N26" s="623"/>
      <c r="O26">
        <f t="shared" si="1"/>
        <v>18</v>
      </c>
      <c r="X26" s="629"/>
      <c r="Y26" s="644"/>
    </row>
    <row r="27" spans="2:25" x14ac:dyDescent="0.35">
      <c r="B27">
        <f t="shared" si="0"/>
        <v>19</v>
      </c>
      <c r="C27" s="23" t="s">
        <v>1460</v>
      </c>
      <c r="D27" s="14" t="s">
        <v>1405</v>
      </c>
      <c r="E27" s="37" t="s">
        <v>1403</v>
      </c>
      <c r="F27" s="656" t="s">
        <v>1435</v>
      </c>
      <c r="G27" s="37" t="s">
        <v>1404</v>
      </c>
      <c r="H27" s="654" t="s">
        <v>1406</v>
      </c>
      <c r="I27" s="235"/>
      <c r="J27" s="100">
        <v>2040</v>
      </c>
      <c r="K27" s="100"/>
      <c r="L27" s="627"/>
      <c r="M27" s="629"/>
      <c r="N27" s="624" t="s">
        <v>1401</v>
      </c>
      <c r="O27">
        <f t="shared" si="1"/>
        <v>19</v>
      </c>
      <c r="T27" s="8"/>
      <c r="U27" s="8"/>
      <c r="V27" s="8"/>
      <c r="W27" s="8"/>
      <c r="X27" s="629"/>
      <c r="Y27" s="644"/>
    </row>
    <row r="28" spans="2:25" x14ac:dyDescent="0.35">
      <c r="B28">
        <f t="shared" si="0"/>
        <v>20</v>
      </c>
      <c r="C28" s="23" t="s">
        <v>1459</v>
      </c>
      <c r="D28" s="14" t="s">
        <v>1410</v>
      </c>
      <c r="E28" s="37" t="s">
        <v>45</v>
      </c>
      <c r="F28" s="100" t="s">
        <v>1466</v>
      </c>
      <c r="G28" s="37"/>
      <c r="H28" s="100"/>
      <c r="I28" s="235"/>
      <c r="J28" s="100"/>
      <c r="K28" s="100"/>
      <c r="L28" s="627"/>
      <c r="M28" s="629"/>
      <c r="N28" s="623"/>
      <c r="O28">
        <f t="shared" si="1"/>
        <v>20</v>
      </c>
      <c r="T28" s="8"/>
      <c r="U28" s="8"/>
      <c r="V28" s="8"/>
      <c r="W28" s="8"/>
      <c r="X28" s="629"/>
      <c r="Y28" s="644"/>
    </row>
    <row r="29" spans="2:25" x14ac:dyDescent="0.35">
      <c r="B29">
        <f t="shared" si="0"/>
        <v>21</v>
      </c>
      <c r="C29" s="23" t="s">
        <v>1458</v>
      </c>
      <c r="D29" s="14" t="s">
        <v>1409</v>
      </c>
      <c r="E29" s="37" t="s">
        <v>45</v>
      </c>
      <c r="F29" s="100"/>
      <c r="G29" s="37"/>
      <c r="H29" s="100"/>
      <c r="I29" s="235"/>
      <c r="J29" s="100"/>
      <c r="K29" s="100"/>
      <c r="L29" s="627"/>
      <c r="M29" s="629"/>
      <c r="N29" s="623"/>
      <c r="O29">
        <f t="shared" si="1"/>
        <v>21</v>
      </c>
      <c r="T29" s="8"/>
      <c r="U29" s="8"/>
      <c r="V29" s="8"/>
      <c r="W29" s="8"/>
      <c r="X29" s="629"/>
      <c r="Y29" s="644"/>
    </row>
    <row r="30" spans="2:25" x14ac:dyDescent="0.35">
      <c r="B30">
        <f t="shared" si="0"/>
        <v>22</v>
      </c>
      <c r="C30" s="23" t="s">
        <v>1456</v>
      </c>
      <c r="D30" s="14" t="s">
        <v>1423</v>
      </c>
      <c r="E30" s="37" t="s">
        <v>45</v>
      </c>
      <c r="F30" s="100"/>
      <c r="G30" s="37"/>
      <c r="H30" s="100"/>
      <c r="I30" s="235"/>
      <c r="J30" s="100"/>
      <c r="K30" s="100"/>
      <c r="L30" s="627"/>
      <c r="M30" s="629"/>
      <c r="N30" s="623"/>
      <c r="O30">
        <f t="shared" si="1"/>
        <v>22</v>
      </c>
      <c r="T30" s="8"/>
      <c r="U30" s="8"/>
      <c r="V30" s="8"/>
      <c r="W30" s="8"/>
      <c r="X30" s="629"/>
      <c r="Y30" s="644"/>
    </row>
    <row r="31" spans="2:25" x14ac:dyDescent="0.35">
      <c r="B31">
        <f t="shared" si="0"/>
        <v>23</v>
      </c>
      <c r="C31" s="23" t="s">
        <v>1621</v>
      </c>
      <c r="D31" s="14" t="s">
        <v>1622</v>
      </c>
      <c r="E31" s="37" t="s">
        <v>45</v>
      </c>
      <c r="F31" s="100">
        <v>2031</v>
      </c>
      <c r="G31" s="37"/>
      <c r="H31" s="100"/>
      <c r="I31" s="235"/>
      <c r="J31" s="100"/>
      <c r="K31" s="100"/>
      <c r="L31" s="627"/>
      <c r="M31" s="629"/>
      <c r="N31" s="623"/>
      <c r="O31">
        <f t="shared" si="1"/>
        <v>23</v>
      </c>
      <c r="T31" s="8"/>
      <c r="U31" s="8"/>
      <c r="V31" s="8"/>
      <c r="W31" s="8"/>
      <c r="X31" s="629"/>
      <c r="Y31" s="644"/>
    </row>
    <row r="32" spans="2:25" x14ac:dyDescent="0.35">
      <c r="B32">
        <f t="shared" si="0"/>
        <v>24</v>
      </c>
      <c r="C32" s="23" t="s">
        <v>1457</v>
      </c>
      <c r="D32" s="14" t="s">
        <v>1438</v>
      </c>
      <c r="E32" s="37" t="s">
        <v>45</v>
      </c>
      <c r="F32" s="100"/>
      <c r="G32" s="37"/>
      <c r="H32" s="100"/>
      <c r="I32" s="235"/>
      <c r="J32" s="100"/>
      <c r="K32" s="100"/>
      <c r="L32" s="627"/>
      <c r="M32" s="629"/>
      <c r="N32" s="623"/>
      <c r="O32">
        <f t="shared" si="1"/>
        <v>24</v>
      </c>
      <c r="T32" s="8"/>
      <c r="U32" s="8"/>
      <c r="V32" s="8"/>
      <c r="W32" s="8"/>
      <c r="X32" s="629"/>
      <c r="Y32" s="644"/>
    </row>
    <row r="33" spans="2:25" x14ac:dyDescent="0.35">
      <c r="B33">
        <f t="shared" si="0"/>
        <v>25</v>
      </c>
      <c r="C33" s="23" t="s">
        <v>1442</v>
      </c>
      <c r="D33" s="14" t="s">
        <v>1439</v>
      </c>
      <c r="E33" s="37" t="s">
        <v>45</v>
      </c>
      <c r="F33" s="100"/>
      <c r="G33" s="37"/>
      <c r="H33" s="100"/>
      <c r="I33" s="235"/>
      <c r="J33" s="100"/>
      <c r="K33" s="100"/>
      <c r="L33" s="627"/>
      <c r="M33" s="629"/>
      <c r="N33" s="623"/>
      <c r="O33">
        <f t="shared" si="1"/>
        <v>25</v>
      </c>
      <c r="T33" s="8"/>
      <c r="U33" s="8"/>
      <c r="V33" s="8"/>
      <c r="W33" s="8"/>
      <c r="X33" s="629"/>
      <c r="Y33" s="644"/>
    </row>
    <row r="34" spans="2:25" x14ac:dyDescent="0.35">
      <c r="B34">
        <f t="shared" si="0"/>
        <v>26</v>
      </c>
      <c r="C34" s="23" t="s">
        <v>1443</v>
      </c>
      <c r="D34" s="14" t="s">
        <v>1440</v>
      </c>
      <c r="E34" s="37" t="s">
        <v>45</v>
      </c>
      <c r="F34" s="100"/>
      <c r="G34" s="37"/>
      <c r="H34" s="100"/>
      <c r="I34" s="235"/>
      <c r="J34" s="100"/>
      <c r="K34" s="100"/>
      <c r="L34" s="627"/>
      <c r="M34" s="629"/>
      <c r="N34" s="623"/>
      <c r="O34">
        <f t="shared" si="1"/>
        <v>26</v>
      </c>
      <c r="T34" s="8"/>
      <c r="U34" s="8"/>
      <c r="V34" s="8"/>
      <c r="W34" s="8"/>
      <c r="X34" s="629"/>
      <c r="Y34" s="644"/>
    </row>
    <row r="35" spans="2:25" x14ac:dyDescent="0.35">
      <c r="B35">
        <f t="shared" si="0"/>
        <v>27</v>
      </c>
      <c r="C35" s="23" t="s">
        <v>1616</v>
      </c>
      <c r="D35" s="14" t="s">
        <v>1615</v>
      </c>
      <c r="E35" s="37" t="s">
        <v>45</v>
      </c>
      <c r="F35" s="100"/>
      <c r="G35" s="37"/>
      <c r="H35" s="100"/>
      <c r="I35" s="235"/>
      <c r="J35" s="100"/>
      <c r="K35" s="100"/>
      <c r="L35" s="627"/>
      <c r="M35" s="629"/>
      <c r="N35" s="623"/>
      <c r="O35">
        <f t="shared" si="1"/>
        <v>27</v>
      </c>
      <c r="T35" s="8"/>
      <c r="U35" s="8"/>
      <c r="V35" s="8"/>
      <c r="W35" s="8"/>
      <c r="X35" s="629"/>
      <c r="Y35" s="644"/>
    </row>
    <row r="36" spans="2:25" x14ac:dyDescent="0.35">
      <c r="B36">
        <f t="shared" si="0"/>
        <v>28</v>
      </c>
      <c r="C36" s="23" t="s">
        <v>1617</v>
      </c>
      <c r="D36" s="14" t="s">
        <v>1578</v>
      </c>
      <c r="E36" s="37" t="s">
        <v>45</v>
      </c>
      <c r="F36" s="100"/>
      <c r="G36" s="37"/>
      <c r="H36" s="100"/>
      <c r="I36" s="235"/>
      <c r="J36" s="100"/>
      <c r="K36" s="100"/>
      <c r="L36" s="627"/>
      <c r="M36" s="629"/>
      <c r="N36" s="623"/>
      <c r="O36">
        <f t="shared" si="1"/>
        <v>28</v>
      </c>
      <c r="T36" s="8"/>
      <c r="U36" s="8"/>
      <c r="V36" s="8"/>
      <c r="W36" s="8"/>
      <c r="X36" s="629"/>
      <c r="Y36" s="644"/>
    </row>
    <row r="37" spans="2:25" x14ac:dyDescent="0.35">
      <c r="B37">
        <f t="shared" si="0"/>
        <v>29</v>
      </c>
      <c r="C37" s="23"/>
      <c r="D37" s="14"/>
      <c r="E37" s="37"/>
      <c r="F37" s="100"/>
      <c r="G37" s="37"/>
      <c r="H37" s="100"/>
      <c r="I37" s="235"/>
      <c r="J37" s="100"/>
      <c r="K37" s="100"/>
      <c r="L37" s="627"/>
      <c r="M37" s="629"/>
      <c r="N37" s="623"/>
      <c r="O37">
        <f t="shared" si="1"/>
        <v>29</v>
      </c>
      <c r="T37" s="8"/>
      <c r="U37" s="8"/>
      <c r="V37" s="8"/>
      <c r="W37" s="8"/>
      <c r="X37" s="629"/>
      <c r="Y37" s="644"/>
    </row>
    <row r="38" spans="2:25" ht="15" thickBot="1" x14ac:dyDescent="0.4">
      <c r="B38">
        <f t="shared" si="0"/>
        <v>30</v>
      </c>
      <c r="C38" s="23"/>
      <c r="D38" s="8"/>
      <c r="E38" s="37"/>
      <c r="F38" s="100"/>
      <c r="G38" s="37"/>
      <c r="H38" s="100"/>
      <c r="I38" s="235"/>
      <c r="J38" s="100"/>
      <c r="K38" s="100"/>
      <c r="L38" s="628"/>
      <c r="M38" s="629"/>
      <c r="N38" s="623"/>
      <c r="O38">
        <f t="shared" si="1"/>
        <v>30</v>
      </c>
      <c r="T38" s="8"/>
      <c r="U38" s="8"/>
      <c r="V38" s="8"/>
      <c r="W38" s="8"/>
      <c r="X38" s="629"/>
      <c r="Y38" s="644"/>
    </row>
    <row r="39" spans="2:25" ht="15" thickTop="1" x14ac:dyDescent="0.35">
      <c r="B39">
        <f t="shared" si="0"/>
        <v>31</v>
      </c>
      <c r="C39" s="702" t="s">
        <v>1240</v>
      </c>
      <c r="D39" s="703"/>
      <c r="E39" s="704"/>
      <c r="F39" s="705"/>
      <c r="G39" s="704"/>
      <c r="H39" s="705"/>
      <c r="I39" s="704"/>
      <c r="J39" s="705"/>
      <c r="K39" s="705"/>
      <c r="L39" s="704"/>
      <c r="M39" s="704"/>
      <c r="N39" s="706"/>
      <c r="O39">
        <f t="shared" si="1"/>
        <v>31</v>
      </c>
      <c r="T39" s="8"/>
      <c r="U39" s="8"/>
      <c r="V39" s="8"/>
      <c r="W39" s="8"/>
      <c r="X39" s="37"/>
      <c r="Y39" s="37"/>
    </row>
    <row r="40" spans="2:25" x14ac:dyDescent="0.35">
      <c r="B40">
        <f t="shared" si="0"/>
        <v>32</v>
      </c>
      <c r="C40" s="23" t="s">
        <v>1464</v>
      </c>
      <c r="D40" s="14" t="s">
        <v>1418</v>
      </c>
      <c r="E40" s="37" t="s">
        <v>45</v>
      </c>
      <c r="F40" s="100"/>
      <c r="G40" s="37"/>
      <c r="H40" s="100"/>
      <c r="I40" s="235"/>
      <c r="J40" s="100"/>
      <c r="K40" s="100"/>
      <c r="L40" s="627"/>
      <c r="M40" s="629"/>
      <c r="N40" s="623"/>
      <c r="O40">
        <f t="shared" si="1"/>
        <v>32</v>
      </c>
      <c r="T40" s="8"/>
      <c r="U40" s="8"/>
      <c r="V40" s="8"/>
      <c r="W40" s="8"/>
      <c r="X40" s="629"/>
      <c r="Y40" s="644"/>
    </row>
    <row r="41" spans="2:25" x14ac:dyDescent="0.35">
      <c r="B41">
        <f t="shared" si="0"/>
        <v>33</v>
      </c>
      <c r="C41" s="23" t="s">
        <v>1463</v>
      </c>
      <c r="D41" s="14" t="s">
        <v>1417</v>
      </c>
      <c r="E41" s="37" t="s">
        <v>45</v>
      </c>
      <c r="F41" s="100"/>
      <c r="G41" s="37"/>
      <c r="H41" s="100"/>
      <c r="I41" s="235"/>
      <c r="J41" s="100"/>
      <c r="K41" s="100"/>
      <c r="L41" s="627"/>
      <c r="M41" s="629"/>
      <c r="N41" s="623"/>
      <c r="O41">
        <f t="shared" si="1"/>
        <v>33</v>
      </c>
      <c r="T41" s="8"/>
      <c r="U41" s="8"/>
      <c r="V41" s="8"/>
      <c r="W41" s="8"/>
      <c r="X41" s="629"/>
      <c r="Y41" s="644"/>
    </row>
    <row r="42" spans="2:25" ht="15" thickBot="1" x14ac:dyDescent="0.4">
      <c r="B42">
        <f t="shared" si="0"/>
        <v>34</v>
      </c>
      <c r="C42" s="23"/>
      <c r="D42" s="8"/>
      <c r="E42" s="37"/>
      <c r="F42" s="100"/>
      <c r="G42" s="37"/>
      <c r="H42" s="100"/>
      <c r="I42" s="235"/>
      <c r="J42" s="100"/>
      <c r="K42" s="100"/>
      <c r="L42" s="627"/>
      <c r="M42" s="629"/>
      <c r="N42" s="623"/>
      <c r="O42">
        <f t="shared" si="1"/>
        <v>34</v>
      </c>
      <c r="T42" s="8"/>
      <c r="U42" s="8"/>
      <c r="V42" s="8"/>
      <c r="W42" s="8"/>
      <c r="X42" s="629"/>
      <c r="Y42" s="644"/>
    </row>
    <row r="43" spans="2:25" ht="15" thickTop="1" x14ac:dyDescent="0.35">
      <c r="B43">
        <f t="shared" si="0"/>
        <v>35</v>
      </c>
      <c r="C43" s="702" t="s">
        <v>1246</v>
      </c>
      <c r="D43" s="703"/>
      <c r="E43" s="707"/>
      <c r="F43" s="708"/>
      <c r="G43" s="707"/>
      <c r="H43" s="708"/>
      <c r="I43" s="709"/>
      <c r="J43" s="708"/>
      <c r="K43" s="708"/>
      <c r="L43" s="710"/>
      <c r="M43" s="711"/>
      <c r="N43" s="712"/>
      <c r="O43">
        <f t="shared" si="1"/>
        <v>35</v>
      </c>
      <c r="T43" s="8"/>
      <c r="U43" s="8"/>
      <c r="V43" s="8"/>
      <c r="W43" s="8"/>
      <c r="X43" s="629"/>
      <c r="Y43" s="644"/>
    </row>
    <row r="44" spans="2:25" ht="15" thickBot="1" x14ac:dyDescent="0.4">
      <c r="B44">
        <f t="shared" si="0"/>
        <v>36</v>
      </c>
      <c r="C44" s="27" t="s">
        <v>1245</v>
      </c>
      <c r="D44" s="655" t="s">
        <v>1414</v>
      </c>
      <c r="E44" s="617" t="s">
        <v>1411</v>
      </c>
      <c r="F44" s="632" t="s">
        <v>1424</v>
      </c>
      <c r="G44" s="617" t="s">
        <v>1434</v>
      </c>
      <c r="H44" s="632" t="s">
        <v>1413</v>
      </c>
      <c r="I44" s="630" t="s">
        <v>1672</v>
      </c>
      <c r="J44" s="632" t="s">
        <v>1673</v>
      </c>
      <c r="K44" s="632" t="s">
        <v>1669</v>
      </c>
      <c r="L44" s="631" t="s">
        <v>1667</v>
      </c>
      <c r="M44" s="632"/>
      <c r="N44" s="626" t="s">
        <v>1252</v>
      </c>
      <c r="O44">
        <f t="shared" si="1"/>
        <v>36</v>
      </c>
      <c r="T44" s="8"/>
      <c r="U44" s="8"/>
      <c r="V44" s="8"/>
      <c r="W44" s="8"/>
      <c r="X44" s="629"/>
      <c r="Y44" s="641"/>
    </row>
    <row r="45" spans="2:25" ht="15" thickTop="1" x14ac:dyDescent="0.35">
      <c r="C45" s="44" t="s">
        <v>198</v>
      </c>
      <c r="D45" s="44"/>
    </row>
    <row r="49" spans="2:15" ht="24" thickBot="1" x14ac:dyDescent="0.6">
      <c r="C49" s="11" t="s">
        <v>38</v>
      </c>
      <c r="D49" s="11"/>
    </row>
    <row r="50" spans="2:15" ht="15" thickTop="1" x14ac:dyDescent="0.35">
      <c r="C50" s="18"/>
      <c r="D50" s="19" t="str">
        <f t="shared" ref="D50:N50" si="2">D6</f>
        <v>Who they</v>
      </c>
      <c r="E50" s="19" t="str">
        <f t="shared" si="2"/>
        <v>Definition of AGI</v>
      </c>
      <c r="F50" s="19" t="str">
        <f t="shared" si="2"/>
        <v>When AGI</v>
      </c>
      <c r="G50" s="19" t="str">
        <f t="shared" si="2"/>
        <v>Definition of ASI</v>
      </c>
      <c r="H50" s="19" t="str">
        <f t="shared" si="2"/>
        <v>When ASI</v>
      </c>
      <c r="I50" s="19" t="str">
        <f t="shared" si="2"/>
        <v>Stance on</v>
      </c>
      <c r="J50" s="19" t="str">
        <f t="shared" si="2"/>
        <v>When more humanoids</v>
      </c>
      <c r="K50" s="19" t="str">
        <f t="shared" si="2"/>
        <v xml:space="preserve">When humanoids become an artificial species </v>
      </c>
      <c r="L50" s="19" t="str">
        <f t="shared" si="2"/>
        <v xml:space="preserve">Stance on technological civilization </v>
      </c>
      <c r="M50" s="19">
        <f t="shared" si="2"/>
        <v>0</v>
      </c>
      <c r="N50" s="20" t="str">
        <f t="shared" si="2"/>
        <v>Main</v>
      </c>
    </row>
    <row r="51" spans="2:15" x14ac:dyDescent="0.35">
      <c r="C51" s="21"/>
      <c r="D51" s="13" t="str">
        <f t="shared" ref="D51:N51" si="3">D7</f>
        <v xml:space="preserve">are by </v>
      </c>
      <c r="E51" s="13" t="str">
        <f t="shared" si="3"/>
        <v>Artificial General</v>
      </c>
      <c r="F51" s="13">
        <f t="shared" si="3"/>
        <v>0</v>
      </c>
      <c r="G51" s="13" t="str">
        <f t="shared" si="3"/>
        <v>Artificial Super</v>
      </c>
      <c r="H51" s="13">
        <f t="shared" si="3"/>
        <v>0</v>
      </c>
      <c r="I51" s="13" t="str">
        <f t="shared" si="3"/>
        <v xml:space="preserve">risks and </v>
      </c>
      <c r="J51" s="13" t="str">
        <f t="shared" si="3"/>
        <v>than humans</v>
      </c>
      <c r="K51" s="13" t="str">
        <f t="shared" si="3"/>
        <v xml:space="preserve">capable of creating and maintaining a </v>
      </c>
      <c r="L51" s="13" t="str">
        <f t="shared" si="3"/>
        <v xml:space="preserve">capable beings in the observable </v>
      </c>
      <c r="M51" s="13">
        <f t="shared" si="3"/>
        <v>0</v>
      </c>
      <c r="N51" s="22" t="str">
        <f t="shared" si="3"/>
        <v>source</v>
      </c>
    </row>
    <row r="52" spans="2:15" ht="15" thickBot="1" x14ac:dyDescent="0.4">
      <c r="C52" s="210"/>
      <c r="D52" s="202" t="str">
        <f>D8</f>
        <v>main source</v>
      </c>
      <c r="E52" s="202" t="str">
        <f>E8</f>
        <v>Intelligence</v>
      </c>
      <c r="F52" s="202">
        <f>F8</f>
        <v>0</v>
      </c>
      <c r="G52" s="202"/>
      <c r="H52" s="202">
        <f t="shared" ref="H52:N52" si="4">H8</f>
        <v>0</v>
      </c>
      <c r="I52" s="202" t="str">
        <f t="shared" si="4"/>
        <v>benefits</v>
      </c>
      <c r="J52" s="202" t="str">
        <f t="shared" si="4"/>
        <v>on Earth</v>
      </c>
      <c r="K52" s="202" t="str">
        <f t="shared" si="4"/>
        <v>technological civilization independent of humans</v>
      </c>
      <c r="L52" s="202" t="str">
        <f t="shared" si="4"/>
        <v>universe: The Fermi paradox</v>
      </c>
      <c r="M52" s="202">
        <f t="shared" si="4"/>
        <v>0</v>
      </c>
      <c r="N52" s="211">
        <f t="shared" si="4"/>
        <v>0</v>
      </c>
    </row>
    <row r="53" spans="2:15" ht="15" thickTop="1" x14ac:dyDescent="0.35">
      <c r="B53">
        <v>1</v>
      </c>
      <c r="C53" s="236" t="str">
        <f t="shared" ref="C53:C65" si="5">C9</f>
        <v>Key researchers or philosophers in AI</v>
      </c>
      <c r="D53" s="243"/>
      <c r="E53" s="243"/>
      <c r="F53" s="243"/>
      <c r="G53" s="243"/>
      <c r="H53" s="243"/>
      <c r="I53" s="243"/>
      <c r="J53" s="243"/>
      <c r="K53" s="243"/>
      <c r="L53" s="243"/>
      <c r="M53" s="243"/>
      <c r="N53" s="244"/>
      <c r="O53">
        <v>1</v>
      </c>
    </row>
    <row r="54" spans="2:15" x14ac:dyDescent="0.35">
      <c r="B54">
        <f t="shared" ref="B54:B88" si="6">B53+1</f>
        <v>2</v>
      </c>
      <c r="C54" s="23" t="str">
        <f t="shared" si="5"/>
        <v>Raymond Kurzweil, the person in the world with the best track record at predicting the future and the person alive who spend the longest time 60 years or so researching AI</v>
      </c>
      <c r="D54" s="8" t="s">
        <v>45</v>
      </c>
      <c r="G54" s="152"/>
      <c r="H54" s="48"/>
      <c r="M54" s="49"/>
      <c r="N54" s="145"/>
      <c r="O54">
        <f t="shared" ref="O54:O88" si="7">O53+1</f>
        <v>2</v>
      </c>
    </row>
    <row r="55" spans="2:15" x14ac:dyDescent="0.35">
      <c r="B55">
        <f t="shared" si="6"/>
        <v>3</v>
      </c>
      <c r="C55" s="23" t="str">
        <f t="shared" si="5"/>
        <v>Jürgen Schmidhuber, huge contributions in AI algorithms, scientific director of top AI lab Dalle Molle Institute for Artificial Intelligence Research in Switzerland</v>
      </c>
      <c r="D55" s="8" t="s">
        <v>45</v>
      </c>
      <c r="G55" s="152"/>
      <c r="H55" s="48"/>
      <c r="M55" s="49"/>
      <c r="N55" s="145"/>
      <c r="O55">
        <f t="shared" si="7"/>
        <v>3</v>
      </c>
    </row>
    <row r="56" spans="2:15" x14ac:dyDescent="0.35">
      <c r="B56">
        <f t="shared" si="6"/>
        <v>4</v>
      </c>
      <c r="C56" s="23" t="str">
        <f t="shared" si="5"/>
        <v>Yann LeCun, Chief AI Scientist at Meta, professor at New York University</v>
      </c>
      <c r="D56" s="8" t="s">
        <v>45</v>
      </c>
      <c r="G56" s="152"/>
      <c r="H56" s="48"/>
      <c r="M56" s="49"/>
      <c r="N56" s="145"/>
      <c r="O56">
        <f t="shared" si="7"/>
        <v>4</v>
      </c>
    </row>
    <row r="57" spans="2:15" x14ac:dyDescent="0.35">
      <c r="B57">
        <f t="shared" si="6"/>
        <v>5</v>
      </c>
      <c r="C57" s="23" t="str">
        <f t="shared" si="5"/>
        <v>Geoffrey Hinton, computer scientist and now Nobel Laurate in physics for his contribution to develop AI algorithm</v>
      </c>
      <c r="D57" s="8" t="s">
        <v>45</v>
      </c>
      <c r="G57" s="152"/>
      <c r="H57" s="48"/>
      <c r="M57" s="49"/>
      <c r="N57" s="145"/>
      <c r="O57">
        <f t="shared" si="7"/>
        <v>5</v>
      </c>
    </row>
    <row r="58" spans="2:15" x14ac:dyDescent="0.35">
      <c r="B58">
        <f t="shared" si="6"/>
        <v>6</v>
      </c>
      <c r="C58" s="23" t="str">
        <f t="shared" si="5"/>
        <v>Richard Sutton, professor computer science at University of Alberta, founders of AI reinforcement learning</v>
      </c>
      <c r="D58" s="8" t="s">
        <v>45</v>
      </c>
      <c r="G58" s="152"/>
      <c r="H58" s="48"/>
      <c r="M58" s="49"/>
      <c r="N58" s="145"/>
      <c r="O58">
        <f t="shared" si="7"/>
        <v>6</v>
      </c>
    </row>
    <row r="59" spans="2:15" x14ac:dyDescent="0.35">
      <c r="B59">
        <f t="shared" si="6"/>
        <v>7</v>
      </c>
      <c r="C59" s="23" t="str">
        <f t="shared" si="5"/>
        <v>Ilya Sutskever, Co-founder OpenAI and has made algorithmic contributions to AI i.e. Alex Net</v>
      </c>
      <c r="D59" s="8" t="s">
        <v>45</v>
      </c>
      <c r="G59" s="152"/>
      <c r="H59" s="48"/>
      <c r="M59" s="49"/>
      <c r="N59" s="145"/>
      <c r="O59">
        <f t="shared" si="7"/>
        <v>7</v>
      </c>
    </row>
    <row r="60" spans="2:15" x14ac:dyDescent="0.35">
      <c r="B60">
        <f t="shared" si="6"/>
        <v>8</v>
      </c>
      <c r="C60" s="23" t="str">
        <f t="shared" si="5"/>
        <v>Nick Bostrom, Oxford University professor in philosophy</v>
      </c>
      <c r="D60" s="8" t="s">
        <v>45</v>
      </c>
      <c r="G60" s="152"/>
      <c r="H60" s="48"/>
      <c r="M60" s="49"/>
      <c r="N60" s="145"/>
      <c r="O60">
        <f t="shared" si="7"/>
        <v>8</v>
      </c>
    </row>
    <row r="61" spans="2:15" x14ac:dyDescent="0.35">
      <c r="B61">
        <f t="shared" si="6"/>
        <v>9</v>
      </c>
      <c r="C61" s="23" t="str">
        <f t="shared" si="5"/>
        <v>Max Tegmark, professor MIT Future of Life Institute</v>
      </c>
      <c r="D61" s="8" t="s">
        <v>45</v>
      </c>
      <c r="G61" s="152"/>
      <c r="H61" s="48"/>
      <c r="M61" s="49"/>
      <c r="N61" s="145"/>
      <c r="O61">
        <f t="shared" si="7"/>
        <v>9</v>
      </c>
    </row>
    <row r="62" spans="2:15" x14ac:dyDescent="0.35">
      <c r="B62">
        <f t="shared" si="6"/>
        <v>10</v>
      </c>
      <c r="C62" s="23" t="str">
        <f t="shared" si="5"/>
        <v>Steven Pinker, professor in psychology Harward U.</v>
      </c>
      <c r="D62" s="8" t="s">
        <v>45</v>
      </c>
      <c r="G62" s="152"/>
      <c r="H62" s="48"/>
      <c r="I62" s="152" t="s">
        <v>1658</v>
      </c>
      <c r="J62" t="s">
        <v>45</v>
      </c>
      <c r="M62" s="49"/>
      <c r="N62" s="145"/>
    </row>
    <row r="63" spans="2:15" x14ac:dyDescent="0.35">
      <c r="B63">
        <f t="shared" si="6"/>
        <v>11</v>
      </c>
      <c r="C63" s="23" t="str">
        <f t="shared" si="5"/>
        <v>Ben Goertzel, computer scientist and AI researcher</v>
      </c>
      <c r="D63" s="8" t="s">
        <v>45</v>
      </c>
      <c r="G63" s="152"/>
      <c r="H63" s="48"/>
      <c r="M63" s="49"/>
      <c r="N63" s="145"/>
      <c r="O63">
        <f>O61+1</f>
        <v>10</v>
      </c>
    </row>
    <row r="64" spans="2:15" x14ac:dyDescent="0.35">
      <c r="B64">
        <f t="shared" si="6"/>
        <v>12</v>
      </c>
      <c r="C64" s="23" t="str">
        <f t="shared" si="5"/>
        <v>Eliezer Yudkowsky, Research fellow at the Machine Intelligence Research Institute. Known for his AI doom opinions</v>
      </c>
      <c r="D64" s="8" t="s">
        <v>45</v>
      </c>
      <c r="G64" s="152"/>
      <c r="H64" s="48"/>
      <c r="M64" s="49"/>
      <c r="N64" s="145"/>
      <c r="O64">
        <f t="shared" si="7"/>
        <v>11</v>
      </c>
    </row>
    <row r="65" spans="2:18" x14ac:dyDescent="0.35">
      <c r="B65">
        <f t="shared" si="6"/>
        <v>13</v>
      </c>
      <c r="C65" s="23" t="str">
        <f t="shared" si="5"/>
        <v>Connor Leahy, researcher and entrepreneur known for his doom opinions</v>
      </c>
      <c r="D65" s="8" t="s">
        <v>45</v>
      </c>
      <c r="G65" s="152"/>
      <c r="H65" s="48"/>
      <c r="M65" s="49"/>
      <c r="N65" s="145"/>
      <c r="O65">
        <f t="shared" si="7"/>
        <v>12</v>
      </c>
    </row>
    <row r="66" spans="2:18" x14ac:dyDescent="0.35">
      <c r="B66">
        <f t="shared" si="6"/>
        <v>14</v>
      </c>
      <c r="C66" s="23"/>
      <c r="D66" s="8" t="s">
        <v>45</v>
      </c>
      <c r="G66" s="152"/>
      <c r="H66" s="48"/>
      <c r="M66" s="49"/>
      <c r="N66" s="145"/>
      <c r="O66">
        <f t="shared" si="7"/>
        <v>13</v>
      </c>
    </row>
    <row r="67" spans="2:18" x14ac:dyDescent="0.35">
      <c r="B67">
        <f t="shared" si="6"/>
        <v>15</v>
      </c>
      <c r="C67" s="23"/>
      <c r="D67" s="8" t="s">
        <v>45</v>
      </c>
      <c r="G67" s="152"/>
      <c r="H67" s="48"/>
      <c r="M67" s="49"/>
      <c r="N67" s="145"/>
      <c r="O67">
        <f t="shared" si="7"/>
        <v>14</v>
      </c>
    </row>
    <row r="68" spans="2:18" x14ac:dyDescent="0.35">
      <c r="B68">
        <f t="shared" si="6"/>
        <v>16</v>
      </c>
      <c r="C68" s="236" t="str">
        <f t="shared" ref="C68:C79" si="8">C24</f>
        <v>Key business insiders in AI</v>
      </c>
      <c r="D68" s="243"/>
      <c r="E68" s="243"/>
      <c r="F68" s="243"/>
      <c r="G68" s="243"/>
      <c r="H68" s="243"/>
      <c r="I68" s="243"/>
      <c r="J68" s="243"/>
      <c r="K68" s="243"/>
      <c r="L68" s="243"/>
      <c r="M68" s="243"/>
      <c r="N68" s="244"/>
      <c r="O68">
        <f t="shared" si="7"/>
        <v>15</v>
      </c>
    </row>
    <row r="69" spans="2:18" x14ac:dyDescent="0.35">
      <c r="B69">
        <f t="shared" si="6"/>
        <v>17</v>
      </c>
      <c r="C69" s="23" t="str">
        <f t="shared" si="8"/>
        <v>Sam Altman, CEO OpenAI</v>
      </c>
      <c r="D69" s="8" t="s">
        <v>45</v>
      </c>
      <c r="F69" s="14" t="s">
        <v>1407</v>
      </c>
      <c r="G69" s="696" t="s">
        <v>45</v>
      </c>
      <c r="H69" s="48"/>
      <c r="M69" s="49"/>
      <c r="N69" s="145"/>
      <c r="O69">
        <f t="shared" si="7"/>
        <v>16</v>
      </c>
      <c r="Q69" s="14" t="s">
        <v>1330</v>
      </c>
      <c r="R69" t="s">
        <v>45</v>
      </c>
    </row>
    <row r="70" spans="2:18" x14ac:dyDescent="0.35">
      <c r="B70">
        <f t="shared" si="6"/>
        <v>18</v>
      </c>
      <c r="C70" s="23" t="str">
        <f t="shared" si="8"/>
        <v>Dario Amodei, CEO Anthropic</v>
      </c>
      <c r="D70" s="8" t="s">
        <v>45</v>
      </c>
      <c r="F70" s="14" t="s">
        <v>1449</v>
      </c>
      <c r="G70" s="696" t="s">
        <v>45</v>
      </c>
      <c r="H70" s="48"/>
      <c r="M70" s="49"/>
      <c r="N70" s="145"/>
      <c r="O70">
        <f t="shared" si="7"/>
        <v>17</v>
      </c>
      <c r="Q70" s="14"/>
    </row>
    <row r="71" spans="2:18" x14ac:dyDescent="0.35">
      <c r="B71">
        <f t="shared" si="6"/>
        <v>19</v>
      </c>
      <c r="C71" s="23" t="str">
        <f t="shared" si="8"/>
        <v>Elon Musk, CEO Tesla, xAI</v>
      </c>
      <c r="D71" s="8" t="s">
        <v>45</v>
      </c>
      <c r="E71" s="14" t="s">
        <v>1402</v>
      </c>
      <c r="F71" s="657" t="s">
        <v>1428</v>
      </c>
      <c r="G71" s="657" t="s">
        <v>1429</v>
      </c>
      <c r="H71" s="15" t="s">
        <v>1430</v>
      </c>
      <c r="I71" t="s">
        <v>45</v>
      </c>
      <c r="J71" s="152" t="s">
        <v>1426</v>
      </c>
      <c r="K71" s="152" t="s">
        <v>45</v>
      </c>
      <c r="M71" s="49"/>
      <c r="N71" s="145"/>
      <c r="O71">
        <f t="shared" si="7"/>
        <v>18</v>
      </c>
    </row>
    <row r="72" spans="2:18" x14ac:dyDescent="0.35">
      <c r="B72">
        <f t="shared" si="6"/>
        <v>20</v>
      </c>
      <c r="C72" s="23" t="str">
        <f t="shared" si="8"/>
        <v>Demis Hassabis, CEO Google Deep Mind got Nobel price in chemistry for Deep Mind Alpha Fold contribution</v>
      </c>
      <c r="D72" s="8" t="s">
        <v>45</v>
      </c>
      <c r="E72" s="14" t="s">
        <v>1450</v>
      </c>
      <c r="F72" s="14" t="s">
        <v>1465</v>
      </c>
      <c r="G72" s="234" t="s">
        <v>45</v>
      </c>
      <c r="H72" s="48"/>
      <c r="M72" s="49"/>
      <c r="N72" s="145"/>
      <c r="O72">
        <f t="shared" si="7"/>
        <v>19</v>
      </c>
    </row>
    <row r="73" spans="2:18" x14ac:dyDescent="0.35">
      <c r="B73">
        <f t="shared" si="6"/>
        <v>21</v>
      </c>
      <c r="C73" s="23" t="str">
        <f t="shared" si="8"/>
        <v>Mark Zuckerberg, CEO Facebook</v>
      </c>
      <c r="D73" s="8" t="s">
        <v>45</v>
      </c>
      <c r="G73" s="234" t="s">
        <v>45</v>
      </c>
      <c r="H73" s="48"/>
      <c r="M73" s="49"/>
      <c r="N73" s="145"/>
      <c r="O73">
        <f t="shared" si="7"/>
        <v>20</v>
      </c>
    </row>
    <row r="74" spans="2:18" x14ac:dyDescent="0.35">
      <c r="B74">
        <f t="shared" si="6"/>
        <v>22</v>
      </c>
      <c r="C74" s="23" t="str">
        <f t="shared" si="8"/>
        <v>Jensen Huang, CEO NVIDIA</v>
      </c>
      <c r="D74" s="8" t="s">
        <v>45</v>
      </c>
      <c r="G74" s="234" t="s">
        <v>45</v>
      </c>
      <c r="H74" s="48"/>
      <c r="M74" s="49"/>
      <c r="N74" s="145"/>
      <c r="O74">
        <f t="shared" si="7"/>
        <v>21</v>
      </c>
    </row>
    <row r="75" spans="2:18" x14ac:dyDescent="0.35">
      <c r="B75">
        <f t="shared" si="6"/>
        <v>23</v>
      </c>
      <c r="C75" s="23" t="str">
        <f t="shared" si="8"/>
        <v>Eric Schmidt, former CEO of Google</v>
      </c>
      <c r="D75" s="8" t="s">
        <v>45</v>
      </c>
      <c r="F75" s="14" t="s">
        <v>1623</v>
      </c>
      <c r="G75" s="234" t="s">
        <v>45</v>
      </c>
      <c r="H75" s="48"/>
      <c r="M75" s="49"/>
      <c r="N75" s="145"/>
    </row>
    <row r="76" spans="2:18" x14ac:dyDescent="0.35">
      <c r="B76">
        <f t="shared" si="6"/>
        <v>24</v>
      </c>
      <c r="C76" s="23" t="str">
        <f t="shared" si="8"/>
        <v>Alex Karp, CEO Palantir Technologies making AI powered weapons</v>
      </c>
      <c r="D76" s="8" t="s">
        <v>45</v>
      </c>
      <c r="G76" s="152"/>
      <c r="H76" s="48"/>
      <c r="M76" s="49"/>
      <c r="N76" s="145"/>
      <c r="O76">
        <f>O74+1</f>
        <v>22</v>
      </c>
    </row>
    <row r="77" spans="2:18" x14ac:dyDescent="0.35">
      <c r="B77">
        <f t="shared" si="6"/>
        <v>25</v>
      </c>
      <c r="C77" s="23" t="str">
        <f t="shared" si="8"/>
        <v>Aravind Srinivas, CEO Perplexity</v>
      </c>
      <c r="D77" s="8" t="s">
        <v>45</v>
      </c>
      <c r="G77" s="152"/>
      <c r="H77" s="48"/>
      <c r="M77" s="49"/>
      <c r="N77" s="145"/>
      <c r="O77">
        <f t="shared" si="7"/>
        <v>23</v>
      </c>
    </row>
    <row r="78" spans="2:18" x14ac:dyDescent="0.35">
      <c r="B78">
        <f t="shared" si="6"/>
        <v>26</v>
      </c>
      <c r="C78" s="23" t="str">
        <f t="shared" si="8"/>
        <v>Stephen Wolfram, CEO Wolfram Research Inc.</v>
      </c>
      <c r="D78" s="8" t="s">
        <v>45</v>
      </c>
      <c r="G78" s="152"/>
      <c r="H78" s="48"/>
      <c r="M78" s="49"/>
      <c r="N78" s="145"/>
      <c r="O78">
        <f t="shared" si="7"/>
        <v>24</v>
      </c>
    </row>
    <row r="79" spans="2:18" x14ac:dyDescent="0.35">
      <c r="B79">
        <f t="shared" si="6"/>
        <v>27</v>
      </c>
      <c r="C79" s="23" t="str">
        <f t="shared" si="8"/>
        <v>Marc Andreessen, general partner at the venture capital firm Andreessen Horowitz</v>
      </c>
      <c r="D79" s="8" t="s">
        <v>45</v>
      </c>
      <c r="G79" s="152"/>
      <c r="H79" s="48"/>
      <c r="M79" s="49"/>
      <c r="N79" s="145"/>
    </row>
    <row r="80" spans="2:18" x14ac:dyDescent="0.35">
      <c r="B80">
        <f t="shared" si="6"/>
        <v>28</v>
      </c>
      <c r="C80" s="23" t="str">
        <f t="shared" ref="C80" si="9">C36</f>
        <v>Andrew Yan-Tak Ng, technology entrepreneur, venture capital investor and computer scientist</v>
      </c>
      <c r="D80" s="8" t="s">
        <v>45</v>
      </c>
      <c r="G80" s="152"/>
      <c r="H80" s="48"/>
      <c r="M80" s="49"/>
      <c r="N80" s="145"/>
      <c r="O80">
        <f>O78+1</f>
        <v>25</v>
      </c>
    </row>
    <row r="81" spans="2:15" x14ac:dyDescent="0.35">
      <c r="B81">
        <f t="shared" si="6"/>
        <v>29</v>
      </c>
      <c r="C81" s="23"/>
      <c r="D81" s="8"/>
      <c r="G81" s="152"/>
      <c r="H81" s="48"/>
      <c r="M81" s="49"/>
      <c r="N81" s="145"/>
      <c r="O81">
        <f t="shared" si="7"/>
        <v>26</v>
      </c>
    </row>
    <row r="82" spans="2:15" x14ac:dyDescent="0.35">
      <c r="B82">
        <f t="shared" si="6"/>
        <v>30</v>
      </c>
      <c r="C82" s="23"/>
      <c r="D82" s="8"/>
      <c r="G82" s="152"/>
      <c r="H82" s="48"/>
      <c r="M82" s="49"/>
      <c r="N82" s="145"/>
      <c r="O82">
        <f t="shared" si="7"/>
        <v>27</v>
      </c>
    </row>
    <row r="83" spans="2:15" x14ac:dyDescent="0.35">
      <c r="B83">
        <f t="shared" si="6"/>
        <v>31</v>
      </c>
      <c r="C83" s="236" t="str">
        <f>C39</f>
        <v>Key politicians or dictators on AI</v>
      </c>
      <c r="D83" s="243"/>
      <c r="E83" s="243"/>
      <c r="F83" s="243"/>
      <c r="G83" s="243"/>
      <c r="H83" s="243"/>
      <c r="I83" s="243"/>
      <c r="J83" s="243"/>
      <c r="K83" s="243"/>
      <c r="L83" s="243"/>
      <c r="M83" s="243"/>
      <c r="N83" s="244"/>
      <c r="O83">
        <f t="shared" si="7"/>
        <v>28</v>
      </c>
    </row>
    <row r="84" spans="2:15" x14ac:dyDescent="0.35">
      <c r="B84">
        <f t="shared" si="6"/>
        <v>32</v>
      </c>
      <c r="C84" s="23" t="str">
        <f>C40</f>
        <v>Barack Obama, ex President USA</v>
      </c>
      <c r="D84" s="8" t="s">
        <v>45</v>
      </c>
      <c r="G84" s="152"/>
      <c r="H84" s="48"/>
      <c r="M84" s="49"/>
      <c r="N84" s="145"/>
      <c r="O84">
        <f t="shared" si="7"/>
        <v>29</v>
      </c>
    </row>
    <row r="85" spans="2:15" x14ac:dyDescent="0.35">
      <c r="B85">
        <f t="shared" si="6"/>
        <v>33</v>
      </c>
      <c r="C85" s="23" t="str">
        <f>C41</f>
        <v>Putin, dictator Russia</v>
      </c>
      <c r="D85" s="8" t="s">
        <v>45</v>
      </c>
      <c r="G85" s="152"/>
      <c r="H85" s="48"/>
      <c r="M85" s="49"/>
      <c r="N85" s="145"/>
      <c r="O85">
        <f t="shared" si="7"/>
        <v>30</v>
      </c>
    </row>
    <row r="86" spans="2:15" x14ac:dyDescent="0.35">
      <c r="B86">
        <f t="shared" si="6"/>
        <v>34</v>
      </c>
      <c r="C86" s="23"/>
      <c r="D86" s="8" t="s">
        <v>45</v>
      </c>
      <c r="G86" s="152"/>
      <c r="H86" s="48"/>
      <c r="M86" s="49"/>
      <c r="N86" s="145"/>
      <c r="O86">
        <f t="shared" si="7"/>
        <v>31</v>
      </c>
    </row>
    <row r="87" spans="2:15" x14ac:dyDescent="0.35">
      <c r="B87">
        <f t="shared" si="6"/>
        <v>35</v>
      </c>
      <c r="C87" s="236" t="str">
        <f>C43</f>
        <v>HM on AI</v>
      </c>
      <c r="D87" s="243"/>
      <c r="E87" s="237"/>
      <c r="F87" s="237"/>
      <c r="G87" s="276"/>
      <c r="H87" s="277"/>
      <c r="I87" s="237"/>
      <c r="J87" s="237"/>
      <c r="K87" s="237"/>
      <c r="L87" s="237"/>
      <c r="M87" s="621"/>
      <c r="N87" s="622"/>
      <c r="O87">
        <f t="shared" si="7"/>
        <v>32</v>
      </c>
    </row>
    <row r="88" spans="2:15" ht="15" thickBot="1" x14ac:dyDescent="0.4">
      <c r="B88">
        <f t="shared" si="6"/>
        <v>36</v>
      </c>
      <c r="C88" s="27" t="str">
        <f>C44</f>
        <v>Henrik Mathiesen</v>
      </c>
      <c r="D88" s="642" t="s">
        <v>45</v>
      </c>
      <c r="E88" s="92"/>
      <c r="F88" s="618"/>
      <c r="G88" s="618"/>
      <c r="H88" s="619"/>
      <c r="I88" s="92"/>
      <c r="J88" s="92"/>
      <c r="K88" s="92"/>
      <c r="L88" s="92"/>
      <c r="M88" s="620"/>
      <c r="N88" s="625" t="s">
        <v>1252</v>
      </c>
      <c r="O88">
        <f t="shared" si="7"/>
        <v>33</v>
      </c>
    </row>
    <row r="89" spans="2:15" ht="15" thickTop="1" x14ac:dyDescent="0.35"/>
  </sheetData>
  <phoneticPr fontId="4" type="noConversion"/>
  <hyperlinks>
    <hyperlink ref="N10" r:id="rId1" xr:uid="{9B8716CD-3529-4E1C-8CA7-7A2AD6D588F6}"/>
    <hyperlink ref="N88" r:id="rId2" xr:uid="{04543966-6097-4DFD-8C33-CAF0C3813D68}"/>
    <hyperlink ref="N44" r:id="rId3" xr:uid="{20180153-1BF2-4D6D-A137-FCF30D84FB73}"/>
    <hyperlink ref="D10" r:id="rId4" xr:uid="{A9B84A90-75BC-401A-82E5-875F9BBAF517}"/>
    <hyperlink ref="N27" r:id="rId5" xr:uid="{336DB3D4-976E-490E-BF50-6233FFC50926}"/>
    <hyperlink ref="E71" r:id="rId6" xr:uid="{68D4F6F4-7769-4E2E-8D6E-5E26E869F336}"/>
    <hyperlink ref="D27" r:id="rId7" xr:uid="{3F517473-61C2-4F0E-B202-5C9715F2E93B}"/>
    <hyperlink ref="F69" r:id="rId8" xr:uid="{5DF73F97-40C1-49A2-BE2C-BD6D2F4D3B30}"/>
    <hyperlink ref="D25" r:id="rId9" xr:uid="{033A4DB6-C0B7-4DCB-A62A-6A9237B70720}"/>
    <hyperlink ref="Q69" r:id="rId10" xr:uid="{C0B142C0-7F25-40AA-B6A8-3F9F250142B5}"/>
    <hyperlink ref="D29" r:id="rId11" xr:uid="{C5F9765E-0AA1-424C-8641-C69FB4579095}"/>
    <hyperlink ref="D28" r:id="rId12" xr:uid="{C791AAD4-C845-4B6C-9270-A53FD47A0B9F}"/>
    <hyperlink ref="D44" r:id="rId13" xr:uid="{B91BC295-7186-4156-A9E5-54E8160D7975}"/>
    <hyperlink ref="D12" r:id="rId14" xr:uid="{3E95705C-4BBC-4CD4-95C5-1A0D4B21A55B}"/>
    <hyperlink ref="D13" r:id="rId15" xr:uid="{F8054CBC-0087-47FA-912F-CC4E49947B09}"/>
    <hyperlink ref="D41" r:id="rId16" xr:uid="{4B104294-8FE8-4749-86E4-344B04D1982F}"/>
    <hyperlink ref="D40" r:id="rId17" xr:uid="{244D82BC-C44E-44A6-B7B1-9E98C6D4C42C}"/>
    <hyperlink ref="D16" r:id="rId18" xr:uid="{F51E6850-B2F6-4898-959A-1896F1EB71D4}"/>
    <hyperlink ref="D17" r:id="rId19" xr:uid="{3B897350-61A9-4B9F-AB08-F753D8BD9F68}"/>
    <hyperlink ref="J71" r:id="rId20" xr:uid="{13CC3021-5165-4BD6-AD56-78F71BF6F0BE}"/>
    <hyperlink ref="F71" r:id="rId21" xr:uid="{8BFB94D9-25A1-40D3-853F-A487925EF0F1}"/>
    <hyperlink ref="H71" r:id="rId22" xr:uid="{161DEF4A-73D4-4A04-AC06-39291E20A109}"/>
    <hyperlink ref="D26" r:id="rId23" xr:uid="{D74F47E0-8E0C-400A-905C-A8BA788E8140}"/>
    <hyperlink ref="D33" r:id="rId24" xr:uid="{FF5CACEF-9F30-4161-A5D7-180C82A93467}"/>
    <hyperlink ref="D20" r:id="rId25" xr:uid="{AE06DE4E-0DB4-4DAA-BD57-96F2164F25E6}"/>
    <hyperlink ref="D34" r:id="rId26" xr:uid="{5466D70E-7EAA-481D-9023-85B1DFC53AFA}"/>
    <hyperlink ref="D15" r:id="rId27" xr:uid="{EEC5F7B5-2B8D-431A-9234-4143144ABC38}"/>
    <hyperlink ref="F70" r:id="rId28" xr:uid="{49EDE0A1-87A0-4067-86BD-ADD63A0C5E6F}"/>
    <hyperlink ref="E72" r:id="rId29" xr:uid="{BADE9A9F-A9FE-4C1D-909B-5DFBA16514F6}"/>
    <hyperlink ref="D11" r:id="rId30" xr:uid="{ABD4360F-AAFD-4BCA-8A3E-BC598ED324B6}"/>
    <hyperlink ref="P11" r:id="rId31" xr:uid="{4B45541B-912C-41B0-BEFF-B54080200E03}"/>
    <hyperlink ref="F72" r:id="rId32" xr:uid="{F51210B8-5490-4C41-9431-2BDC2B126EFF}"/>
    <hyperlink ref="F75" r:id="rId33" xr:uid="{F5E65E33-8EED-4631-8E0E-0E30733D4CDE}"/>
    <hyperlink ref="G71" r:id="rId34" display="https://youtu.be/mofEOSUkMpA?si=b6iCZF1_uHrL_FFC&amp;t=131" xr:uid="{0CA03A4E-3139-45D8-B63B-EAEFF59FD1FE}"/>
    <hyperlink ref="I62" r:id="rId35" xr:uid="{A624B6CD-5940-4264-BA2A-298DBC65356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AI_Models</vt:lpstr>
      <vt:lpstr>KeyChips</vt:lpstr>
      <vt:lpstr>AI_Supercomputers</vt:lpstr>
      <vt:lpstr>FutureAISupercomputers</vt:lpstr>
      <vt:lpstr>AI_Chip_Prod_TFLOPS_GB_RAM</vt:lpstr>
      <vt:lpstr>AI_Chip_Prod_ElecUse</vt:lpstr>
      <vt:lpstr>Calc_Moores_Law</vt:lpstr>
      <vt:lpstr>Calc_nm_Law</vt:lpstr>
      <vt:lpstr>AGI_views</vt:lpstr>
      <vt:lpstr>AI_MegaTrends</vt:lpstr>
      <vt:lpstr>OpenAI5levelsAI</vt:lpstr>
      <vt:lpstr>AI_Data_Sets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2024-12-19T17:23:05Z</dcterms:modified>
</cp:coreProperties>
</file>