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V:\8_MakingTheFutureBetter\2024\"/>
    </mc:Choice>
  </mc:AlternateContent>
  <xr:revisionPtr revIDLastSave="0" documentId="13_ncr:1_{C99EE7C2-BC90-48D1-82FF-A9DFAEE77DF2}" xr6:coauthVersionLast="47" xr6:coauthVersionMax="47" xr10:uidLastSave="{00000000-0000-0000-0000-000000000000}"/>
  <bookViews>
    <workbookView xWindow="-110" yWindow="-110" windowWidth="38620" windowHeight="21100" tabRatio="684" xr2:uid="{00000000-000D-0000-FFFF-FFFF00000000}"/>
  </bookViews>
  <sheets>
    <sheet name="KeyArmiesStats" sheetId="8" r:id="rId1"/>
    <sheet name="WeaponsSpecs" sheetId="2" r:id="rId2"/>
    <sheet name="WeaponsUse" sheetId="9" r:id="rId3"/>
    <sheet name="UkraineVictoryPlan" sheetId="7" r:id="rId4"/>
    <sheet name="StrongerNATO_Members" sheetId="10" r:id="rId5"/>
    <sheet name="StrongerNATO_Charter" sheetId="12" r:id="rId6"/>
    <sheet name="MissileDroneTech" sheetId="6" r:id="rId7"/>
    <sheet name="UkrWar_KillRatios" sheetId="4" r:id="rId8"/>
    <sheet name="UkrAid24jan2022ToOct312023" sheetId="1" r:id="rId9"/>
    <sheet name="UkrAid24Jan2022To15Jan2024" sheetId="3" r:id="rId10"/>
    <sheet name="PopGDP" sheetId="5"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9" i="12" l="1"/>
  <c r="A60" i="12"/>
  <c r="A61" i="12"/>
  <c r="A58" i="12"/>
  <c r="D51" i="10"/>
  <c r="D50" i="10"/>
  <c r="C18" i="10"/>
  <c r="C59" i="10"/>
  <c r="C9" i="10"/>
  <c r="C51" i="10"/>
  <c r="C50" i="10"/>
  <c r="A50" i="10"/>
  <c r="A51" i="10" s="1"/>
  <c r="A52" i="10" s="1"/>
  <c r="A53" i="10" s="1"/>
  <c r="A54" i="10" s="1"/>
  <c r="A55" i="10" s="1"/>
  <c r="G77" i="10"/>
  <c r="G76" i="10"/>
  <c r="G75" i="10"/>
  <c r="G74" i="10"/>
  <c r="G73" i="10"/>
  <c r="G72" i="10"/>
  <c r="G71" i="10"/>
  <c r="G70" i="10"/>
  <c r="G69" i="10"/>
  <c r="G65" i="10"/>
  <c r="G64" i="10"/>
  <c r="G63" i="10"/>
  <c r="G62" i="10"/>
  <c r="G61" i="10"/>
  <c r="G60" i="10"/>
  <c r="G55"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6" i="10"/>
  <c r="G13" i="10"/>
  <c r="G12" i="10"/>
  <c r="G11" i="10"/>
  <c r="G8" i="10"/>
  <c r="E75" i="10"/>
  <c r="E77" i="10"/>
  <c r="E49" i="10"/>
  <c r="E16" i="10"/>
  <c r="E13" i="10"/>
  <c r="E8" i="10"/>
  <c r="H9" i="12"/>
  <c r="H10" i="12" s="1"/>
  <c r="H11" i="12" s="1"/>
  <c r="H12" i="12" s="1"/>
  <c r="H13" i="12" s="1"/>
  <c r="H14" i="12" s="1"/>
  <c r="H15" i="12" s="1"/>
  <c r="H16" i="12" s="1"/>
  <c r="H17" i="12" s="1"/>
  <c r="H18" i="12" s="1"/>
  <c r="H19" i="12" s="1"/>
  <c r="H20" i="12" s="1"/>
  <c r="H21" i="12" s="1"/>
  <c r="H22" i="12" s="1"/>
  <c r="H23" i="12" s="1"/>
  <c r="A9" i="12"/>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2" i="12"/>
  <c r="E137" i="2"/>
  <c r="AL137" i="2"/>
  <c r="AM137" i="2"/>
  <c r="AN137" i="2"/>
  <c r="B401" i="2"/>
  <c r="A62" i="12" l="1"/>
  <c r="A63" i="12" s="1"/>
  <c r="A64" i="12" s="1"/>
  <c r="A65" i="12" s="1"/>
  <c r="A66" i="12" s="1"/>
  <c r="A67" i="12" s="1"/>
  <c r="A68" i="12" s="1"/>
  <c r="H24" i="12"/>
  <c r="H25" i="12" s="1"/>
  <c r="H26" i="12" s="1"/>
  <c r="H27" i="12" s="1"/>
  <c r="H28" i="12" s="1"/>
  <c r="H29" i="12" s="1"/>
  <c r="H30" i="12" s="1"/>
  <c r="H31" i="12" s="1"/>
  <c r="H32" i="12" s="1"/>
  <c r="H33" i="12" s="1"/>
  <c r="Q48" i="7"/>
  <c r="R48" i="7"/>
  <c r="N48" i="7"/>
  <c r="P48" i="7" s="1"/>
  <c r="S48" i="7" s="1"/>
  <c r="K48" i="7"/>
  <c r="J48" i="7"/>
  <c r="H48" i="7"/>
  <c r="G48" i="7"/>
  <c r="F48" i="7"/>
  <c r="D48" i="7"/>
  <c r="Z111" i="7"/>
  <c r="Z112" i="7" s="1"/>
  <c r="A111" i="7"/>
  <c r="A112" i="7" s="1"/>
  <c r="B111" i="7"/>
  <c r="E192" i="2"/>
  <c r="AL192" i="2"/>
  <c r="AM192" i="2"/>
  <c r="AN192" i="2"/>
  <c r="AL188" i="2"/>
  <c r="AM188" i="2" s="1"/>
  <c r="AL189" i="2"/>
  <c r="AM189" i="2" s="1"/>
  <c r="B456" i="2"/>
  <c r="J21" i="7"/>
  <c r="Q21" i="7"/>
  <c r="R21" i="7" s="1"/>
  <c r="H21" i="7"/>
  <c r="G21" i="7"/>
  <c r="I21" i="7" s="1"/>
  <c r="F21" i="7"/>
  <c r="E21" i="7"/>
  <c r="D21" i="7"/>
  <c r="N21" i="7"/>
  <c r="P21" i="7" s="1"/>
  <c r="S21" i="7" s="1"/>
  <c r="AL150" i="2"/>
  <c r="AM150" i="2" s="1"/>
  <c r="B414" i="2"/>
  <c r="E150" i="2"/>
  <c r="F150" i="2"/>
  <c r="AL196" i="2"/>
  <c r="AM196" i="2" s="1"/>
  <c r="AN196" i="2"/>
  <c r="E196" i="2"/>
  <c r="F196" i="2"/>
  <c r="B460" i="2"/>
  <c r="Q52" i="7"/>
  <c r="R52" i="7" s="1"/>
  <c r="Q53" i="7"/>
  <c r="R53" i="7" s="1"/>
  <c r="Q51" i="7"/>
  <c r="R51" i="7" s="1"/>
  <c r="Q49" i="7"/>
  <c r="R49" i="7" s="1"/>
  <c r="Q47" i="7"/>
  <c r="R47" i="7" s="1"/>
  <c r="Q46" i="7"/>
  <c r="R46" i="7" s="1"/>
  <c r="Q45" i="7"/>
  <c r="R45" i="7" s="1"/>
  <c r="Q44" i="7"/>
  <c r="R44" i="7"/>
  <c r="Q27" i="7"/>
  <c r="R27" i="7" s="1"/>
  <c r="B116" i="7"/>
  <c r="B90" i="7"/>
  <c r="B91" i="7"/>
  <c r="B101" i="7"/>
  <c r="B102" i="7"/>
  <c r="B103" i="7"/>
  <c r="B104" i="7"/>
  <c r="B105" i="7"/>
  <c r="Q33" i="7"/>
  <c r="R33" i="7" s="1"/>
  <c r="Q19" i="7"/>
  <c r="R19" i="7" s="1"/>
  <c r="Q31" i="7"/>
  <c r="R31" i="7" s="1"/>
  <c r="Q30" i="7"/>
  <c r="R30" i="7" s="1"/>
  <c r="Q29" i="7"/>
  <c r="R29" i="7" s="1"/>
  <c r="Q18" i="7"/>
  <c r="R18" i="7" s="1"/>
  <c r="Q17" i="7"/>
  <c r="R17" i="7" s="1"/>
  <c r="Q20" i="7"/>
  <c r="R20" i="7" s="1"/>
  <c r="Q11" i="7"/>
  <c r="R11" i="7" s="1"/>
  <c r="H8" i="10"/>
  <c r="F68" i="10"/>
  <c r="G68" i="10" s="1"/>
  <c r="F59" i="10"/>
  <c r="G59" i="10" s="1"/>
  <c r="F54" i="10"/>
  <c r="G54" i="10" s="1"/>
  <c r="F18" i="10"/>
  <c r="G18" i="10" s="1"/>
  <c r="F15" i="10"/>
  <c r="G15" i="10" s="1"/>
  <c r="F10" i="10"/>
  <c r="G10" i="10" s="1"/>
  <c r="K47" i="7"/>
  <c r="K46" i="7"/>
  <c r="K44" i="7"/>
  <c r="K53" i="7"/>
  <c r="K52" i="7"/>
  <c r="K51" i="7"/>
  <c r="K49" i="7"/>
  <c r="K28" i="7"/>
  <c r="K27" i="7"/>
  <c r="K58" i="7"/>
  <c r="B124" i="7"/>
  <c r="G61" i="7"/>
  <c r="J25" i="7"/>
  <c r="K25" i="7"/>
  <c r="J24" i="7"/>
  <c r="G25" i="7"/>
  <c r="I25" i="7" s="1"/>
  <c r="H25" i="7"/>
  <c r="H24" i="7"/>
  <c r="G24" i="7"/>
  <c r="I24" i="7" s="1"/>
  <c r="F25" i="7"/>
  <c r="F24" i="7"/>
  <c r="N61" i="7"/>
  <c r="K60" i="7"/>
  <c r="K59" i="7"/>
  <c r="K61" i="7"/>
  <c r="D61" i="7"/>
  <c r="D60" i="7"/>
  <c r="D59" i="7"/>
  <c r="D58" i="7"/>
  <c r="D42" i="7"/>
  <c r="D41" i="7"/>
  <c r="D45" i="7"/>
  <c r="D44" i="7"/>
  <c r="D53" i="7"/>
  <c r="D52" i="7"/>
  <c r="D51" i="7"/>
  <c r="D50" i="7"/>
  <c r="D49" i="7"/>
  <c r="D40" i="7"/>
  <c r="D39" i="7"/>
  <c r="D38" i="7"/>
  <c r="Q34" i="7"/>
  <c r="R34" i="7" s="1"/>
  <c r="K34" i="7"/>
  <c r="J34" i="7"/>
  <c r="H34" i="7"/>
  <c r="G34" i="7"/>
  <c r="D34" i="7"/>
  <c r="D33" i="7"/>
  <c r="D32" i="7"/>
  <c r="D31" i="7"/>
  <c r="D19" i="7"/>
  <c r="D30" i="7"/>
  <c r="D29" i="7"/>
  <c r="A69" i="12" l="1"/>
  <c r="A70" i="12" s="1"/>
  <c r="H34" i="12"/>
  <c r="H35" i="12" s="1"/>
  <c r="H36" i="12" s="1"/>
  <c r="H37" i="12" s="1"/>
  <c r="H38" i="12" s="1"/>
  <c r="H39" i="12" s="1"/>
  <c r="H40" i="12" s="1"/>
  <c r="H41" i="12" s="1"/>
  <c r="H42" i="12" s="1"/>
  <c r="H43" i="12" s="1"/>
  <c r="H44" i="12" s="1"/>
  <c r="H45" i="12" s="1"/>
  <c r="H46" i="12" s="1"/>
  <c r="H47" i="12" s="1"/>
  <c r="H48" i="12" s="1"/>
  <c r="H49" i="12" s="1"/>
  <c r="H50" i="12" s="1"/>
  <c r="H51" i="12" s="1"/>
  <c r="H52" i="12" s="1"/>
  <c r="H53" i="12" s="1"/>
  <c r="H54" i="12" s="1"/>
  <c r="H55" i="12" s="1"/>
  <c r="H56" i="12" s="1"/>
  <c r="H57" i="12" s="1"/>
  <c r="AN189" i="2"/>
  <c r="AN188" i="2"/>
  <c r="AN150" i="2"/>
  <c r="F9" i="10"/>
  <c r="G9" i="10" s="1"/>
  <c r="H71" i="7"/>
  <c r="I71" i="7"/>
  <c r="J71" i="7"/>
  <c r="K71" i="7"/>
  <c r="H72" i="7"/>
  <c r="I72" i="7"/>
  <c r="J72" i="7"/>
  <c r="K72" i="7"/>
  <c r="H73" i="7"/>
  <c r="I73" i="7"/>
  <c r="J73" i="7"/>
  <c r="K73" i="7"/>
  <c r="D71" i="7"/>
  <c r="E71" i="7"/>
  <c r="F71" i="7"/>
  <c r="D72" i="7"/>
  <c r="E72" i="7"/>
  <c r="F72" i="7"/>
  <c r="D73" i="7"/>
  <c r="E73" i="7"/>
  <c r="F73" i="7"/>
  <c r="D20" i="7"/>
  <c r="D17" i="7"/>
  <c r="D16" i="7"/>
  <c r="D15" i="7"/>
  <c r="D14" i="7"/>
  <c r="D13" i="7"/>
  <c r="F34" i="7"/>
  <c r="N13" i="7"/>
  <c r="D25" i="7"/>
  <c r="D24" i="7"/>
  <c r="K24" i="7"/>
  <c r="E24" i="7"/>
  <c r="B372" i="2"/>
  <c r="AL108" i="2"/>
  <c r="AN108" i="2" s="1"/>
  <c r="AJ108" i="2"/>
  <c r="G108" i="2"/>
  <c r="F108" i="2"/>
  <c r="E108" i="2"/>
  <c r="D12" i="7"/>
  <c r="D18" i="7"/>
  <c r="D11" i="7"/>
  <c r="J40" i="7"/>
  <c r="J32" i="7"/>
  <c r="K32" i="7"/>
  <c r="K31" i="7"/>
  <c r="K19" i="7"/>
  <c r="Q32" i="7"/>
  <c r="R32" i="7" s="1"/>
  <c r="K30" i="7"/>
  <c r="H40" i="7"/>
  <c r="F40" i="7"/>
  <c r="E40" i="7"/>
  <c r="H39" i="7"/>
  <c r="F39" i="7"/>
  <c r="E39" i="7"/>
  <c r="E34" i="7"/>
  <c r="K33" i="7"/>
  <c r="J33" i="7"/>
  <c r="N34" i="7"/>
  <c r="P34" i="7" s="1"/>
  <c r="S34" i="7" s="1"/>
  <c r="N33" i="7"/>
  <c r="P33" i="7" s="1"/>
  <c r="S33" i="7" s="1"/>
  <c r="K39" i="7"/>
  <c r="J39" i="7"/>
  <c r="N38" i="7"/>
  <c r="K38" i="7"/>
  <c r="J38" i="7"/>
  <c r="B96" i="7"/>
  <c r="B97" i="7"/>
  <c r="K29" i="7"/>
  <c r="K17" i="7"/>
  <c r="K16" i="7"/>
  <c r="K15" i="7"/>
  <c r="K14" i="7"/>
  <c r="K13" i="7"/>
  <c r="K12" i="7"/>
  <c r="K20" i="7"/>
  <c r="K11" i="7"/>
  <c r="J60" i="7"/>
  <c r="J59" i="7"/>
  <c r="J58" i="7"/>
  <c r="J47" i="7"/>
  <c r="J46" i="7"/>
  <c r="J44" i="7"/>
  <c r="J53" i="7"/>
  <c r="J52" i="7"/>
  <c r="J51" i="7"/>
  <c r="J49" i="7"/>
  <c r="J28" i="7"/>
  <c r="J27" i="7"/>
  <c r="J31" i="7"/>
  <c r="J19" i="7"/>
  <c r="J29" i="7"/>
  <c r="J30" i="7"/>
  <c r="J18" i="7"/>
  <c r="J17" i="7"/>
  <c r="J16" i="7"/>
  <c r="J15" i="7"/>
  <c r="J14" i="7"/>
  <c r="N14" i="7"/>
  <c r="E25" i="7"/>
  <c r="H14" i="7"/>
  <c r="F14" i="7"/>
  <c r="G14" i="7"/>
  <c r="I14" i="7" s="1"/>
  <c r="B87" i="7"/>
  <c r="B88" i="7"/>
  <c r="E13" i="7"/>
  <c r="AL100" i="2"/>
  <c r="AM100" i="2" s="1"/>
  <c r="H13" i="7"/>
  <c r="G13" i="7"/>
  <c r="I13" i="7" s="1"/>
  <c r="F13" i="7"/>
  <c r="J13" i="7"/>
  <c r="E14" i="7"/>
  <c r="B78" i="7"/>
  <c r="B81" i="7"/>
  <c r="B82" i="7"/>
  <c r="B84" i="7"/>
  <c r="B76" i="7"/>
  <c r="B77" i="7"/>
  <c r="J12" i="7"/>
  <c r="H12" i="7"/>
  <c r="J11" i="7"/>
  <c r="G12" i="7"/>
  <c r="I12" i="7" s="1"/>
  <c r="E12" i="7"/>
  <c r="N12" i="7"/>
  <c r="H47" i="7"/>
  <c r="H46" i="7"/>
  <c r="F46" i="7"/>
  <c r="H44" i="7"/>
  <c r="F44" i="7"/>
  <c r="H60" i="7"/>
  <c r="F60" i="7"/>
  <c r="H59" i="7"/>
  <c r="F59" i="7"/>
  <c r="H52" i="7"/>
  <c r="F52" i="7"/>
  <c r="H51" i="7"/>
  <c r="F51" i="7"/>
  <c r="H49" i="7"/>
  <c r="F49" i="7"/>
  <c r="F28" i="7"/>
  <c r="F27" i="7"/>
  <c r="H32" i="7"/>
  <c r="F32" i="7"/>
  <c r="H31" i="7"/>
  <c r="F31" i="7"/>
  <c r="H30" i="7"/>
  <c r="F30" i="7"/>
  <c r="H20" i="7"/>
  <c r="H18" i="7"/>
  <c r="H17" i="7"/>
  <c r="H16" i="7"/>
  <c r="H15" i="7"/>
  <c r="H11" i="7"/>
  <c r="F20" i="7"/>
  <c r="F18" i="7"/>
  <c r="F17" i="7"/>
  <c r="F16" i="7"/>
  <c r="F15" i="7"/>
  <c r="F11" i="7"/>
  <c r="E60" i="7"/>
  <c r="E59" i="7"/>
  <c r="E46" i="7"/>
  <c r="E44" i="7"/>
  <c r="E52" i="7"/>
  <c r="E51" i="7"/>
  <c r="E49" i="7"/>
  <c r="E32" i="7"/>
  <c r="E31" i="7"/>
  <c r="E20" i="7"/>
  <c r="E17" i="7"/>
  <c r="E16" i="7"/>
  <c r="E15" i="7"/>
  <c r="E18" i="7"/>
  <c r="E11" i="7"/>
  <c r="N17" i="7"/>
  <c r="P17" i="7" s="1"/>
  <c r="S17" i="7" s="1"/>
  <c r="N16" i="7"/>
  <c r="N15" i="7"/>
  <c r="J34" i="9"/>
  <c r="J28" i="9"/>
  <c r="J29" i="9"/>
  <c r="J21" i="9"/>
  <c r="J22" i="9"/>
  <c r="J24" i="9"/>
  <c r="J11" i="9"/>
  <c r="J13" i="9"/>
  <c r="J35" i="9"/>
  <c r="J30" i="9"/>
  <c r="B79" i="7"/>
  <c r="B80" i="7"/>
  <c r="G17" i="7"/>
  <c r="I17" i="7" s="1"/>
  <c r="G16" i="7"/>
  <c r="I16" i="7" s="1"/>
  <c r="G15" i="7"/>
  <c r="I15" i="7" s="1"/>
  <c r="B383" i="2"/>
  <c r="B384" i="2"/>
  <c r="AL119" i="2"/>
  <c r="AN119" i="2" s="1"/>
  <c r="AL120" i="2"/>
  <c r="AN120" i="2" s="1"/>
  <c r="AL121" i="2"/>
  <c r="AM121" i="2" s="1"/>
  <c r="AL122" i="2"/>
  <c r="AM122" i="2" s="1"/>
  <c r="AL123" i="2"/>
  <c r="AM123" i="2" s="1"/>
  <c r="AL124" i="2"/>
  <c r="AN124" i="2" s="1"/>
  <c r="AL125" i="2"/>
  <c r="AN125" i="2" s="1"/>
  <c r="AM125" i="2"/>
  <c r="E120" i="2"/>
  <c r="B477" i="2"/>
  <c r="B478" i="2"/>
  <c r="B479" i="2"/>
  <c r="AL213" i="2"/>
  <c r="AM213" i="2" s="1"/>
  <c r="G198" i="2"/>
  <c r="E198" i="2"/>
  <c r="F198" i="2"/>
  <c r="E199" i="2"/>
  <c r="F199" i="2"/>
  <c r="B464" i="2"/>
  <c r="B463" i="2"/>
  <c r="AL200" i="2"/>
  <c r="AN200" i="2" s="1"/>
  <c r="F200" i="2"/>
  <c r="E200" i="2"/>
  <c r="B462" i="2"/>
  <c r="AL198" i="2"/>
  <c r="AN198" i="2" s="1"/>
  <c r="B85" i="9"/>
  <c r="B80" i="9"/>
  <c r="I29" i="9"/>
  <c r="B488" i="2"/>
  <c r="D224" i="2"/>
  <c r="E224" i="2" s="1"/>
  <c r="B388" i="2"/>
  <c r="B387" i="2"/>
  <c r="B386" i="2"/>
  <c r="H61" i="12" l="1"/>
  <c r="H62" i="12" s="1"/>
  <c r="H63" i="12" s="1"/>
  <c r="H64" i="12" s="1"/>
  <c r="H58" i="12"/>
  <c r="H60" i="12" s="1"/>
  <c r="AN100" i="2"/>
  <c r="AN123" i="2"/>
  <c r="AM124" i="2"/>
  <c r="AS108" i="2"/>
  <c r="AP108" i="2" s="1"/>
  <c r="AM108" i="2"/>
  <c r="AM119" i="2"/>
  <c r="AN122" i="2"/>
  <c r="AM120" i="2"/>
  <c r="AN121" i="2"/>
  <c r="AN213" i="2"/>
  <c r="AM200" i="2"/>
  <c r="AM198" i="2"/>
  <c r="F224" i="2"/>
  <c r="N46" i="10"/>
  <c r="N47" i="10"/>
  <c r="N48" i="10"/>
  <c r="M47" i="10"/>
  <c r="M48" i="10"/>
  <c r="M46" i="10"/>
  <c r="I47" i="10"/>
  <c r="I48" i="10"/>
  <c r="I46" i="10"/>
  <c r="M43" i="10"/>
  <c r="N43" i="10"/>
  <c r="M44" i="10"/>
  <c r="N44" i="10"/>
  <c r="M45" i="10"/>
  <c r="N45" i="10"/>
  <c r="I43" i="10"/>
  <c r="I44" i="10"/>
  <c r="I45" i="10"/>
  <c r="N42" i="10"/>
  <c r="M42" i="10"/>
  <c r="I42" i="10"/>
  <c r="N41" i="10"/>
  <c r="M41" i="10"/>
  <c r="I41" i="10"/>
  <c r="N40" i="10"/>
  <c r="M40" i="10"/>
  <c r="I40" i="10"/>
  <c r="N38" i="10"/>
  <c r="M38" i="10"/>
  <c r="N39" i="10"/>
  <c r="M39" i="10"/>
  <c r="H39" i="10"/>
  <c r="I38" i="10"/>
  <c r="N36" i="10"/>
  <c r="N37" i="10"/>
  <c r="M37" i="10"/>
  <c r="I37" i="10"/>
  <c r="M36" i="10"/>
  <c r="M35" i="10"/>
  <c r="N35" i="10"/>
  <c r="I36" i="10"/>
  <c r="I35" i="10"/>
  <c r="N34" i="10"/>
  <c r="M34" i="10"/>
  <c r="I34" i="10"/>
  <c r="M32" i="10"/>
  <c r="I32" i="10"/>
  <c r="N31" i="10"/>
  <c r="M31" i="10"/>
  <c r="N30" i="10"/>
  <c r="M30" i="10"/>
  <c r="N29" i="10"/>
  <c r="M29" i="10"/>
  <c r="N28" i="10"/>
  <c r="M28" i="10"/>
  <c r="I31" i="10"/>
  <c r="I30" i="10"/>
  <c r="I29" i="10"/>
  <c r="I28" i="10"/>
  <c r="N27" i="10"/>
  <c r="M27" i="10"/>
  <c r="M26" i="10"/>
  <c r="N25" i="10"/>
  <c r="M25" i="10"/>
  <c r="M24" i="10"/>
  <c r="I27" i="10"/>
  <c r="I26" i="10"/>
  <c r="I24" i="10"/>
  <c r="N23" i="10"/>
  <c r="I23" i="10"/>
  <c r="N22" i="10"/>
  <c r="M22" i="10"/>
  <c r="I22" i="10"/>
  <c r="N21" i="10"/>
  <c r="M21" i="10"/>
  <c r="N20" i="10"/>
  <c r="M20" i="10"/>
  <c r="I21" i="10"/>
  <c r="I20" i="10"/>
  <c r="H49" i="10"/>
  <c r="N19" i="10"/>
  <c r="M19" i="10"/>
  <c r="I19" i="10"/>
  <c r="N64" i="10"/>
  <c r="M64" i="10"/>
  <c r="N63" i="10"/>
  <c r="M63" i="10"/>
  <c r="N62" i="10"/>
  <c r="M62" i="10"/>
  <c r="N61" i="10"/>
  <c r="M61" i="10"/>
  <c r="N60" i="10"/>
  <c r="M60" i="10"/>
  <c r="I64" i="10"/>
  <c r="I62" i="10"/>
  <c r="N74" i="10"/>
  <c r="M74" i="10"/>
  <c r="N73" i="10"/>
  <c r="M73" i="10"/>
  <c r="N72" i="10"/>
  <c r="M72" i="10"/>
  <c r="N71" i="10"/>
  <c r="M71" i="10"/>
  <c r="N70" i="10"/>
  <c r="M70" i="10"/>
  <c r="N69" i="10"/>
  <c r="M69" i="10"/>
  <c r="N76" i="10"/>
  <c r="M76" i="10"/>
  <c r="I76" i="10"/>
  <c r="M75" i="10"/>
  <c r="H75" i="10"/>
  <c r="N55" i="10"/>
  <c r="N54" i="10" s="1"/>
  <c r="M55" i="10"/>
  <c r="M54" i="10" s="1"/>
  <c r="I74" i="10"/>
  <c r="I73" i="10"/>
  <c r="K49" i="10"/>
  <c r="I69" i="10"/>
  <c r="K16" i="10"/>
  <c r="I16" i="10"/>
  <c r="N12" i="10"/>
  <c r="N11" i="10"/>
  <c r="M12" i="10"/>
  <c r="K13" i="10"/>
  <c r="I13" i="10"/>
  <c r="D48" i="10"/>
  <c r="C48" i="10"/>
  <c r="D47" i="10"/>
  <c r="C47" i="10"/>
  <c r="D46" i="10"/>
  <c r="C46" i="10"/>
  <c r="D45" i="10"/>
  <c r="C45" i="10"/>
  <c r="D44" i="10"/>
  <c r="C44" i="10"/>
  <c r="D43" i="10"/>
  <c r="C43" i="10"/>
  <c r="D42" i="10"/>
  <c r="C42" i="10"/>
  <c r="D41" i="10"/>
  <c r="C41" i="10"/>
  <c r="D40" i="10"/>
  <c r="C40" i="10"/>
  <c r="D39" i="10"/>
  <c r="C39" i="10"/>
  <c r="C38" i="10"/>
  <c r="D38" i="10"/>
  <c r="D37" i="10"/>
  <c r="C37" i="10"/>
  <c r="D36" i="10"/>
  <c r="C36" i="10"/>
  <c r="D35" i="10"/>
  <c r="C35" i="10"/>
  <c r="D34" i="10"/>
  <c r="C34" i="10"/>
  <c r="D33" i="10"/>
  <c r="C33" i="10"/>
  <c r="D28" i="10"/>
  <c r="C28" i="10"/>
  <c r="D27" i="10"/>
  <c r="C27" i="10"/>
  <c r="D26" i="10"/>
  <c r="C26" i="10"/>
  <c r="D24" i="10"/>
  <c r="C24" i="10"/>
  <c r="D23" i="10"/>
  <c r="C23" i="10"/>
  <c r="C15" i="10"/>
  <c r="D76" i="10"/>
  <c r="E76" i="10" s="1"/>
  <c r="D74" i="10"/>
  <c r="E74" i="10" s="1"/>
  <c r="C74" i="10"/>
  <c r="D73" i="10"/>
  <c r="E73" i="10" s="1"/>
  <c r="C73" i="10"/>
  <c r="D69" i="10"/>
  <c r="E69" i="10" s="1"/>
  <c r="C69" i="10"/>
  <c r="D65" i="10"/>
  <c r="D64" i="10"/>
  <c r="C64" i="10"/>
  <c r="D62" i="10"/>
  <c r="C62" i="10"/>
  <c r="H15" i="10"/>
  <c r="M15" i="10"/>
  <c r="N15" i="10"/>
  <c r="D15" i="10"/>
  <c r="E15" i="10" s="1"/>
  <c r="P11" i="10"/>
  <c r="P12" i="10" s="1"/>
  <c r="P13" i="10" s="1"/>
  <c r="P14" i="10" s="1"/>
  <c r="P15" i="10" s="1"/>
  <c r="P16" i="10" s="1"/>
  <c r="P17" i="10" s="1"/>
  <c r="A11" i="10"/>
  <c r="A12" i="10" s="1"/>
  <c r="A13" i="10" s="1"/>
  <c r="A14" i="10" s="1"/>
  <c r="A15" i="10" s="1"/>
  <c r="A16" i="10" s="1"/>
  <c r="A2" i="10"/>
  <c r="B115" i="7"/>
  <c r="G52" i="7"/>
  <c r="I52" i="7" s="1"/>
  <c r="N52" i="7"/>
  <c r="P52" i="7" s="1"/>
  <c r="B308" i="2"/>
  <c r="B310" i="2"/>
  <c r="B307" i="2"/>
  <c r="B113" i="7"/>
  <c r="G50" i="7"/>
  <c r="I50" i="7" s="1"/>
  <c r="B377" i="2"/>
  <c r="AL113" i="2"/>
  <c r="AN113" i="2" s="1"/>
  <c r="F113" i="2"/>
  <c r="E113" i="2"/>
  <c r="A1" i="1"/>
  <c r="B108" i="7"/>
  <c r="D189" i="2"/>
  <c r="N45" i="7" s="1"/>
  <c r="P45" i="7" s="1"/>
  <c r="S45" i="7" s="1"/>
  <c r="G45" i="7"/>
  <c r="I45" i="7" s="1"/>
  <c r="B453" i="2"/>
  <c r="B466" i="2"/>
  <c r="B452" i="2"/>
  <c r="M10" i="9"/>
  <c r="M20" i="9"/>
  <c r="N23" i="9"/>
  <c r="N22" i="9"/>
  <c r="L22" i="9"/>
  <c r="L23" i="9"/>
  <c r="H24" i="9"/>
  <c r="L24" i="9" s="1"/>
  <c r="G24" i="9"/>
  <c r="K24" i="9" s="1"/>
  <c r="G23" i="9"/>
  <c r="K23" i="9" s="1"/>
  <c r="G46" i="7"/>
  <c r="I46" i="7" s="1"/>
  <c r="F23" i="9"/>
  <c r="J23" i="9" s="1"/>
  <c r="Q23" i="9"/>
  <c r="G22" i="9"/>
  <c r="K22" i="9" s="1"/>
  <c r="F22" i="9"/>
  <c r="F21" i="9"/>
  <c r="G21" i="9" s="1"/>
  <c r="H21" i="9" s="1"/>
  <c r="N21" i="9" s="1"/>
  <c r="D20" i="9"/>
  <c r="D10" i="9"/>
  <c r="D56" i="9"/>
  <c r="D57" i="9"/>
  <c r="D58" i="9"/>
  <c r="G15" i="9"/>
  <c r="F15" i="9"/>
  <c r="I15" i="9"/>
  <c r="J15" i="9" s="1"/>
  <c r="M25" i="9"/>
  <c r="N25" i="9" s="1"/>
  <c r="O25" i="9" s="1"/>
  <c r="G25" i="9"/>
  <c r="F25" i="9"/>
  <c r="I25" i="9"/>
  <c r="B75" i="9"/>
  <c r="B72" i="9"/>
  <c r="B73" i="9"/>
  <c r="B74" i="9"/>
  <c r="D25" i="9"/>
  <c r="K13" i="9"/>
  <c r="H13" i="9"/>
  <c r="N13" i="9" s="1"/>
  <c r="F13" i="9"/>
  <c r="AL161" i="2"/>
  <c r="AM161" i="2" s="1"/>
  <c r="AL162" i="2"/>
  <c r="AM162" i="2" s="1"/>
  <c r="AL212" i="2"/>
  <c r="AM212" i="2" s="1"/>
  <c r="F212" i="2"/>
  <c r="G212" i="2"/>
  <c r="B476" i="2"/>
  <c r="E162" i="2"/>
  <c r="G162" i="2"/>
  <c r="F162" i="2"/>
  <c r="B425" i="2"/>
  <c r="B426" i="2"/>
  <c r="D15" i="9"/>
  <c r="M15" i="9" s="1"/>
  <c r="N15" i="9" s="1"/>
  <c r="O15" i="9" s="1"/>
  <c r="D29" i="9"/>
  <c r="H12" i="9"/>
  <c r="F12" i="9"/>
  <c r="D243" i="2"/>
  <c r="N28" i="7" s="1"/>
  <c r="D12" i="9"/>
  <c r="M12" i="9" s="1"/>
  <c r="D14" i="9"/>
  <c r="I14" i="9"/>
  <c r="J14" i="9" s="1"/>
  <c r="H14" i="9"/>
  <c r="N14" i="9" s="1"/>
  <c r="F14" i="9"/>
  <c r="Q56" i="9"/>
  <c r="Q57" i="9"/>
  <c r="Q58" i="9"/>
  <c r="X29" i="9"/>
  <c r="X28" i="9"/>
  <c r="X11" i="9"/>
  <c r="P11" i="9" s="1"/>
  <c r="Q11" i="9" s="1"/>
  <c r="X21" i="9"/>
  <c r="B79" i="9"/>
  <c r="B114" i="7"/>
  <c r="N51" i="7"/>
  <c r="P51" i="7" s="1"/>
  <c r="S51" i="7" s="1"/>
  <c r="G51" i="7"/>
  <c r="I51" i="7" s="1"/>
  <c r="V28" i="9"/>
  <c r="F28" i="9" s="1"/>
  <c r="H39" i="9"/>
  <c r="L39" i="9" s="1"/>
  <c r="G39" i="9"/>
  <c r="K39" i="9" s="1"/>
  <c r="F39" i="9"/>
  <c r="H48" i="9"/>
  <c r="L48" i="9" s="1"/>
  <c r="G48" i="9"/>
  <c r="K48" i="9" s="1"/>
  <c r="F48" i="9"/>
  <c r="H34" i="9"/>
  <c r="L34" i="9" s="1"/>
  <c r="G34" i="9"/>
  <c r="K34" i="9" s="1"/>
  <c r="F34" i="9"/>
  <c r="H45" i="9"/>
  <c r="L45" i="9" s="1"/>
  <c r="G45" i="9"/>
  <c r="K45" i="9" s="1"/>
  <c r="F45" i="9"/>
  <c r="B89" i="9"/>
  <c r="B98" i="9"/>
  <c r="B84" i="9"/>
  <c r="B95" i="9"/>
  <c r="B88" i="9"/>
  <c r="B78" i="9"/>
  <c r="B92" i="9"/>
  <c r="P56" i="9"/>
  <c r="P57" i="9"/>
  <c r="P58" i="9"/>
  <c r="H42" i="9"/>
  <c r="L42" i="9" s="1"/>
  <c r="G42" i="9"/>
  <c r="K42" i="9" s="1"/>
  <c r="F42" i="9"/>
  <c r="B71" i="9"/>
  <c r="B70" i="9"/>
  <c r="B89" i="7"/>
  <c r="B404" i="2"/>
  <c r="E56" i="9"/>
  <c r="E57" i="9"/>
  <c r="E58" i="9"/>
  <c r="G11" i="9"/>
  <c r="H11" i="9" s="1"/>
  <c r="L11" i="9" s="1"/>
  <c r="N56" i="9"/>
  <c r="O56" i="9"/>
  <c r="R56" i="9"/>
  <c r="N57" i="9"/>
  <c r="O57" i="9"/>
  <c r="R57" i="9"/>
  <c r="N58" i="9"/>
  <c r="O58" i="9"/>
  <c r="R58" i="9"/>
  <c r="I20" i="9"/>
  <c r="I10" i="9"/>
  <c r="G20" i="9"/>
  <c r="H20" i="9" s="1"/>
  <c r="G10" i="9"/>
  <c r="H10" i="9" s="1"/>
  <c r="B77" i="9"/>
  <c r="B97" i="9"/>
  <c r="B83" i="9"/>
  <c r="B94" i="9"/>
  <c r="B61" i="9"/>
  <c r="B62" i="9"/>
  <c r="B63" i="9"/>
  <c r="B64" i="9"/>
  <c r="B65" i="9"/>
  <c r="B60" i="9"/>
  <c r="B56" i="9"/>
  <c r="C56" i="9"/>
  <c r="F56" i="9"/>
  <c r="G56" i="9"/>
  <c r="H56" i="9"/>
  <c r="I56" i="9"/>
  <c r="K56" i="9"/>
  <c r="L56" i="9"/>
  <c r="M56" i="9"/>
  <c r="B57" i="9"/>
  <c r="C57" i="9"/>
  <c r="F57" i="9"/>
  <c r="G57" i="9"/>
  <c r="H57" i="9"/>
  <c r="I57" i="9"/>
  <c r="K57" i="9"/>
  <c r="L57" i="9"/>
  <c r="M57" i="9"/>
  <c r="B58" i="9"/>
  <c r="C58" i="9"/>
  <c r="F58" i="9"/>
  <c r="G58" i="9"/>
  <c r="H58" i="9"/>
  <c r="I58" i="9"/>
  <c r="K58" i="9"/>
  <c r="L58" i="9"/>
  <c r="M58" i="9"/>
  <c r="B91" i="9"/>
  <c r="B69" i="9"/>
  <c r="B59" i="9"/>
  <c r="S60" i="9"/>
  <c r="S61" i="9" s="1"/>
  <c r="A60" i="9"/>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S10" i="9"/>
  <c r="A10" i="9"/>
  <c r="A11" i="9" s="1"/>
  <c r="A12" i="9" s="1"/>
  <c r="A13" i="9" s="1"/>
  <c r="A14" i="9" s="1"/>
  <c r="A15" i="9" s="1"/>
  <c r="A16" i="9" s="1"/>
  <c r="A3" i="9"/>
  <c r="A2" i="9"/>
  <c r="B92" i="7"/>
  <c r="N29" i="7"/>
  <c r="P29" i="7" s="1"/>
  <c r="B421" i="2"/>
  <c r="E157" i="2"/>
  <c r="B94" i="7"/>
  <c r="B95" i="7"/>
  <c r="B93" i="7"/>
  <c r="N30" i="7"/>
  <c r="P30" i="7" s="1"/>
  <c r="G30" i="7"/>
  <c r="I30" i="7" s="1"/>
  <c r="N46" i="7"/>
  <c r="P46" i="7" s="1"/>
  <c r="S46" i="7" s="1"/>
  <c r="B119" i="7"/>
  <c r="B107" i="7"/>
  <c r="B109" i="7"/>
  <c r="B110" i="7"/>
  <c r="N44" i="7"/>
  <c r="G44" i="7"/>
  <c r="AL185" i="2"/>
  <c r="AM185" i="2" s="1"/>
  <c r="G47" i="7"/>
  <c r="I47" i="7" s="1"/>
  <c r="AL243" i="2"/>
  <c r="AM243" i="2" s="1"/>
  <c r="I58" i="7"/>
  <c r="G49" i="7"/>
  <c r="E187" i="2"/>
  <c r="F187" i="2"/>
  <c r="N49" i="7"/>
  <c r="N39" i="7"/>
  <c r="G53" i="7"/>
  <c r="N42" i="7"/>
  <c r="N41" i="7"/>
  <c r="B100" i="7"/>
  <c r="B112" i="7"/>
  <c r="C71" i="7"/>
  <c r="G71" i="7"/>
  <c r="L71" i="7"/>
  <c r="M71" i="7"/>
  <c r="N71" i="7"/>
  <c r="O71" i="7"/>
  <c r="P71" i="7"/>
  <c r="Q71" i="7"/>
  <c r="S71" i="7"/>
  <c r="T71" i="7"/>
  <c r="U71" i="7"/>
  <c r="V71" i="7"/>
  <c r="W71" i="7"/>
  <c r="X71" i="7"/>
  <c r="Y71" i="7"/>
  <c r="C72" i="7"/>
  <c r="G72" i="7"/>
  <c r="L72" i="7"/>
  <c r="M72" i="7"/>
  <c r="N72" i="7"/>
  <c r="O72" i="7"/>
  <c r="P72" i="7"/>
  <c r="Q72" i="7"/>
  <c r="S72" i="7"/>
  <c r="T72" i="7"/>
  <c r="U72" i="7"/>
  <c r="V72" i="7"/>
  <c r="W72" i="7"/>
  <c r="X72" i="7"/>
  <c r="Y72" i="7"/>
  <c r="C73" i="7"/>
  <c r="G73" i="7"/>
  <c r="M73" i="7"/>
  <c r="N73" i="7"/>
  <c r="O73" i="7"/>
  <c r="P73" i="7"/>
  <c r="Q73" i="7"/>
  <c r="S73" i="7"/>
  <c r="U73" i="7"/>
  <c r="V73" i="7"/>
  <c r="X73" i="7"/>
  <c r="Y73" i="7"/>
  <c r="B83" i="7"/>
  <c r="G39" i="7"/>
  <c r="I39" i="7" s="1"/>
  <c r="N19" i="7"/>
  <c r="P19" i="7" s="1"/>
  <c r="S19" i="7" s="1"/>
  <c r="N60" i="7"/>
  <c r="B123" i="7"/>
  <c r="G60" i="7"/>
  <c r="I60" i="7" s="1"/>
  <c r="B122" i="7"/>
  <c r="B121" i="7"/>
  <c r="N58" i="7"/>
  <c r="N59" i="7"/>
  <c r="G59" i="7"/>
  <c r="I59" i="7" s="1"/>
  <c r="B120" i="7"/>
  <c r="N20" i="7"/>
  <c r="P20" i="7" s="1"/>
  <c r="S20" i="7" s="1"/>
  <c r="G20" i="7"/>
  <c r="I20" i="7" s="1"/>
  <c r="G18" i="7"/>
  <c r="I18" i="7" s="1"/>
  <c r="N18" i="7"/>
  <c r="P18" i="7" s="1"/>
  <c r="S18" i="7" s="1"/>
  <c r="M18" i="7"/>
  <c r="B75" i="7"/>
  <c r="N11" i="7"/>
  <c r="P11" i="7" s="1"/>
  <c r="G11" i="7"/>
  <c r="I11" i="7" s="1"/>
  <c r="G32" i="7"/>
  <c r="I32" i="7" s="1"/>
  <c r="G31" i="7"/>
  <c r="I31" i="7" s="1"/>
  <c r="G40" i="7"/>
  <c r="I40" i="7" s="1"/>
  <c r="B106" i="7"/>
  <c r="Z75" i="7"/>
  <c r="Z76" i="7" s="1"/>
  <c r="Z77" i="7" s="1"/>
  <c r="Z78" i="7" s="1"/>
  <c r="Z79" i="7" s="1"/>
  <c r="Z80" i="7" s="1"/>
  <c r="Z81" i="7" s="1"/>
  <c r="Z82" i="7" s="1"/>
  <c r="Z83" i="7" s="1"/>
  <c r="Z84" i="7" s="1"/>
  <c r="Z85" i="7" s="1"/>
  <c r="Z86" i="7" s="1"/>
  <c r="Z87" i="7" s="1"/>
  <c r="Z88" i="7" s="1"/>
  <c r="Z89" i="7" s="1"/>
  <c r="Z90" i="7" s="1"/>
  <c r="Z91" i="7" s="1"/>
  <c r="Z92" i="7" s="1"/>
  <c r="Z93" i="7" s="1"/>
  <c r="Z94" i="7" s="1"/>
  <c r="Z95" i="7" s="1"/>
  <c r="Z96" i="7" s="1"/>
  <c r="Z97" i="7" s="1"/>
  <c r="Z98" i="7" s="1"/>
  <c r="Z99" i="7" s="1"/>
  <c r="Z100" i="7" s="1"/>
  <c r="Z101" i="7" s="1"/>
  <c r="Z102" i="7" s="1"/>
  <c r="Z103" i="7" s="1"/>
  <c r="Z104" i="7" s="1"/>
  <c r="Z105" i="7" s="1"/>
  <c r="Z106" i="7" s="1"/>
  <c r="Z107" i="7" s="1"/>
  <c r="Z108" i="7" s="1"/>
  <c r="Z109" i="7" s="1"/>
  <c r="Z110" i="7" s="1"/>
  <c r="Z113" i="7" s="1"/>
  <c r="Z114" i="7" s="1"/>
  <c r="Z115" i="7" s="1"/>
  <c r="Z116" i="7" s="1"/>
  <c r="Z117" i="7" s="1"/>
  <c r="Z118" i="7" s="1"/>
  <c r="Z119" i="7" s="1"/>
  <c r="Z120" i="7" s="1"/>
  <c r="Z121" i="7" s="1"/>
  <c r="Z122" i="7" s="1"/>
  <c r="Z123" i="7" s="1"/>
  <c r="Z124" i="7" s="1"/>
  <c r="Z125" i="7" s="1"/>
  <c r="A75" i="7"/>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3" i="7" s="1"/>
  <c r="A114" i="7" s="1"/>
  <c r="A115" i="7" s="1"/>
  <c r="A116" i="7" s="1"/>
  <c r="A117" i="7" s="1"/>
  <c r="A118" i="7" s="1"/>
  <c r="A119" i="7" s="1"/>
  <c r="A120" i="7" s="1"/>
  <c r="A121" i="7" s="1"/>
  <c r="A122" i="7" s="1"/>
  <c r="A123" i="7" s="1"/>
  <c r="A124" i="7" s="1"/>
  <c r="A125" i="7" s="1"/>
  <c r="N32" i="7"/>
  <c r="P32" i="7" s="1"/>
  <c r="S32" i="7" s="1"/>
  <c r="N31" i="7"/>
  <c r="P31" i="7" s="1"/>
  <c r="S31" i="7" s="1"/>
  <c r="N40" i="7"/>
  <c r="B437" i="2"/>
  <c r="AL173" i="2"/>
  <c r="AM173" i="2" s="1"/>
  <c r="AL169" i="2"/>
  <c r="AN169" i="2" s="1"/>
  <c r="AL170" i="2"/>
  <c r="AM170" i="2" s="1"/>
  <c r="AL172" i="2"/>
  <c r="AM172" i="2" s="1"/>
  <c r="AL199" i="2"/>
  <c r="AM199" i="2" s="1"/>
  <c r="G38" i="3"/>
  <c r="O38" i="3"/>
  <c r="G64" i="8"/>
  <c r="H76" i="10" s="1"/>
  <c r="X64" i="8"/>
  <c r="W64" i="8"/>
  <c r="U64" i="8"/>
  <c r="V64" i="8"/>
  <c r="T64" i="8"/>
  <c r="S64" i="8"/>
  <c r="R64" i="8"/>
  <c r="Q80" i="8"/>
  <c r="Q64" i="8"/>
  <c r="Q81" i="8"/>
  <c r="Q82" i="8"/>
  <c r="Q83" i="8"/>
  <c r="Q79" i="8"/>
  <c r="M64" i="8"/>
  <c r="O64" i="8"/>
  <c r="J64" i="8"/>
  <c r="I80" i="8"/>
  <c r="I81" i="8"/>
  <c r="I82" i="8"/>
  <c r="I83" i="8"/>
  <c r="I79" i="8"/>
  <c r="X57" i="8"/>
  <c r="U57" i="8"/>
  <c r="S57" i="8"/>
  <c r="M57" i="8"/>
  <c r="I57" i="8" s="1"/>
  <c r="V56" i="8"/>
  <c r="U56" i="8"/>
  <c r="T56" i="8"/>
  <c r="R56" i="8"/>
  <c r="X56" i="8"/>
  <c r="M56" i="8"/>
  <c r="O56" i="8"/>
  <c r="J56" i="8"/>
  <c r="X55" i="8"/>
  <c r="V55" i="8"/>
  <c r="U55" i="8"/>
  <c r="T55" i="8"/>
  <c r="W55" i="8"/>
  <c r="S55" i="8"/>
  <c r="R55" i="8"/>
  <c r="M55" i="8"/>
  <c r="J55" i="8"/>
  <c r="I55" i="8" s="1"/>
  <c r="X54" i="8"/>
  <c r="V54" i="8"/>
  <c r="U54" i="8"/>
  <c r="T54" i="8"/>
  <c r="S54" i="8"/>
  <c r="M54" i="8"/>
  <c r="L54" i="8"/>
  <c r="O54" i="8"/>
  <c r="N54" i="8"/>
  <c r="J54" i="8"/>
  <c r="H68" i="12" l="1"/>
  <c r="H69" i="12" s="1"/>
  <c r="H70" i="12" s="1"/>
  <c r="H65" i="12"/>
  <c r="H66" i="12" s="1"/>
  <c r="H67" i="12" s="1"/>
  <c r="K42" i="10"/>
  <c r="E42" i="10"/>
  <c r="K43" i="10"/>
  <c r="E43" i="10"/>
  <c r="K38" i="10"/>
  <c r="E38" i="10"/>
  <c r="K39" i="10"/>
  <c r="E39" i="10"/>
  <c r="K23" i="10"/>
  <c r="E23" i="10"/>
  <c r="K45" i="10"/>
  <c r="E45" i="10"/>
  <c r="K28" i="10"/>
  <c r="E28" i="10"/>
  <c r="K62" i="10"/>
  <c r="E62" i="10"/>
  <c r="K26" i="10"/>
  <c r="E26" i="10"/>
  <c r="K27" i="10"/>
  <c r="E27" i="10"/>
  <c r="K47" i="10"/>
  <c r="E47" i="10"/>
  <c r="K48" i="10"/>
  <c r="E48" i="10"/>
  <c r="I65" i="10"/>
  <c r="E65" i="10"/>
  <c r="K40" i="10"/>
  <c r="E40" i="10"/>
  <c r="K41" i="10"/>
  <c r="E41" i="10"/>
  <c r="K1" i="10"/>
  <c r="K33" i="10"/>
  <c r="E33" i="10"/>
  <c r="K35" i="10"/>
  <c r="E35" i="10"/>
  <c r="K64" i="10"/>
  <c r="E64" i="10"/>
  <c r="K34" i="10"/>
  <c r="E34" i="10"/>
  <c r="K36" i="10"/>
  <c r="E36" i="10"/>
  <c r="K44" i="10"/>
  <c r="E44" i="10"/>
  <c r="K24" i="10"/>
  <c r="E24" i="10"/>
  <c r="K46" i="10"/>
  <c r="E46" i="10"/>
  <c r="K37" i="10"/>
  <c r="E37" i="10"/>
  <c r="A1" i="7"/>
  <c r="A1" i="12"/>
  <c r="K15" i="10"/>
  <c r="P10" i="7"/>
  <c r="P44" i="7"/>
  <c r="S44" i="7" s="1"/>
  <c r="S29" i="7"/>
  <c r="N10" i="10"/>
  <c r="L25" i="9"/>
  <c r="J25" i="9"/>
  <c r="Q10" i="9"/>
  <c r="J10" i="9"/>
  <c r="Q20" i="9"/>
  <c r="J20" i="9"/>
  <c r="A86" i="9"/>
  <c r="A87" i="9" s="1"/>
  <c r="A88" i="9" s="1"/>
  <c r="A89" i="9" s="1"/>
  <c r="A90" i="9" s="1"/>
  <c r="A91" i="9" s="1"/>
  <c r="A92" i="9" s="1"/>
  <c r="A93" i="9" s="1"/>
  <c r="A94" i="9" s="1"/>
  <c r="A95" i="9" s="1"/>
  <c r="A96" i="9" s="1"/>
  <c r="A97" i="9" s="1"/>
  <c r="A98" i="9" s="1"/>
  <c r="A99" i="9" s="1"/>
  <c r="A100" i="9" s="1"/>
  <c r="I54" i="8"/>
  <c r="I64" i="8"/>
  <c r="I56" i="8"/>
  <c r="A1" i="10"/>
  <c r="A1" i="9"/>
  <c r="N10" i="9"/>
  <c r="O10" i="9" s="1"/>
  <c r="N24" i="9"/>
  <c r="N20" i="9"/>
  <c r="O20" i="9" s="1"/>
  <c r="K21" i="9"/>
  <c r="K15" i="9"/>
  <c r="M68" i="10"/>
  <c r="I15" i="10"/>
  <c r="M59" i="10"/>
  <c r="P18" i="10"/>
  <c r="P19" i="10" s="1"/>
  <c r="P20" i="10" s="1"/>
  <c r="P21" i="10" s="1"/>
  <c r="P22" i="10" s="1"/>
  <c r="P23" i="10" s="1"/>
  <c r="P24" i="10" s="1"/>
  <c r="P25" i="10" s="1"/>
  <c r="P26" i="10" s="1"/>
  <c r="P27" i="10" s="1"/>
  <c r="P28" i="10" s="1"/>
  <c r="P29" i="10" s="1"/>
  <c r="P30" i="10" s="1"/>
  <c r="P31" i="10" s="1"/>
  <c r="P32" i="10" s="1"/>
  <c r="P33" i="10" s="1"/>
  <c r="P34" i="10" s="1"/>
  <c r="P35" i="10" s="1"/>
  <c r="P36" i="10" s="1"/>
  <c r="P37" i="10" s="1"/>
  <c r="P38" i="10" s="1"/>
  <c r="P39" i="10" s="1"/>
  <c r="P40" i="10" s="1"/>
  <c r="P41" i="10" s="1"/>
  <c r="P42" i="10" s="1"/>
  <c r="P43" i="10" s="1"/>
  <c r="P44" i="10" s="1"/>
  <c r="P45" i="10" s="1"/>
  <c r="P46" i="10" s="1"/>
  <c r="P47" i="10" s="1"/>
  <c r="P48" i="10" s="1"/>
  <c r="P49" i="10" s="1"/>
  <c r="P53" i="10" s="1"/>
  <c r="P54" i="10" s="1"/>
  <c r="P55" i="10" s="1"/>
  <c r="P56" i="10" s="1"/>
  <c r="P57" i="10" s="1"/>
  <c r="P58" i="10" s="1"/>
  <c r="P59" i="10" s="1"/>
  <c r="P60" i="10" s="1"/>
  <c r="N68" i="10"/>
  <c r="K65" i="10"/>
  <c r="N59" i="10"/>
  <c r="A17" i="10"/>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S52" i="7"/>
  <c r="AN162" i="2"/>
  <c r="AM113" i="2"/>
  <c r="S30" i="7"/>
  <c r="AN161" i="2"/>
  <c r="AN212" i="2"/>
  <c r="L15" i="9"/>
  <c r="K25" i="9"/>
  <c r="A17" i="9"/>
  <c r="A18" i="9" s="1"/>
  <c r="A19" i="9" s="1"/>
  <c r="A20" i="9" s="1"/>
  <c r="A21" i="9" s="1"/>
  <c r="A22" i="9" s="1"/>
  <c r="P28" i="9"/>
  <c r="Q28" i="9" s="1"/>
  <c r="L14" i="9"/>
  <c r="N11" i="9"/>
  <c r="P21" i="9"/>
  <c r="Q21" i="9" s="1"/>
  <c r="L13" i="9"/>
  <c r="N12" i="9"/>
  <c r="AN243" i="2"/>
  <c r="K14" i="9"/>
  <c r="G28" i="9"/>
  <c r="H28" i="9" s="1"/>
  <c r="F29" i="9"/>
  <c r="P29" i="9" s="1"/>
  <c r="Q29" i="9" s="1"/>
  <c r="L21" i="9"/>
  <c r="L20" i="9"/>
  <c r="L10" i="9"/>
  <c r="K10" i="9"/>
  <c r="K11" i="9"/>
  <c r="K20" i="9"/>
  <c r="S62" i="9"/>
  <c r="S63" i="9" s="1"/>
  <c r="S64" i="9" s="1"/>
  <c r="S11" i="9"/>
  <c r="S12" i="9" s="1"/>
  <c r="S13" i="9" s="1"/>
  <c r="S14" i="9" s="1"/>
  <c r="S15" i="9" s="1"/>
  <c r="S16" i="9" s="1"/>
  <c r="AN185" i="2"/>
  <c r="AN199" i="2"/>
  <c r="AM169" i="2"/>
  <c r="AN172" i="2"/>
  <c r="S11" i="7"/>
  <c r="S10" i="7" s="1"/>
  <c r="AN170" i="2"/>
  <c r="AN173" i="2"/>
  <c r="X45" i="8"/>
  <c r="W45" i="8"/>
  <c r="V45" i="8"/>
  <c r="U45" i="8"/>
  <c r="T45" i="8"/>
  <c r="R45" i="8"/>
  <c r="S45" i="8"/>
  <c r="M45" i="8"/>
  <c r="L45" i="8"/>
  <c r="O45" i="8"/>
  <c r="J45" i="8"/>
  <c r="X44" i="8"/>
  <c r="Y44" i="8"/>
  <c r="W44" i="8"/>
  <c r="V44" i="8"/>
  <c r="U44" i="8"/>
  <c r="T44" i="8"/>
  <c r="R44" i="8"/>
  <c r="S44" i="8"/>
  <c r="J44" i="8"/>
  <c r="M44" i="8"/>
  <c r="L44" i="8"/>
  <c r="O44" i="8"/>
  <c r="X43" i="8"/>
  <c r="V43" i="8"/>
  <c r="U43" i="8"/>
  <c r="T43" i="8"/>
  <c r="S43" i="8"/>
  <c r="Q43" i="8" s="1"/>
  <c r="M43" i="8"/>
  <c r="J43" i="8"/>
  <c r="X42" i="8"/>
  <c r="W42" i="8"/>
  <c r="V42" i="8"/>
  <c r="U42" i="8"/>
  <c r="T42" i="8"/>
  <c r="S42" i="8"/>
  <c r="Q42" i="8" s="1"/>
  <c r="M42" i="8"/>
  <c r="O42" i="8"/>
  <c r="J42" i="8"/>
  <c r="Q54" i="8"/>
  <c r="Q55" i="8"/>
  <c r="Q56" i="8"/>
  <c r="Q57" i="8"/>
  <c r="W41" i="8"/>
  <c r="V41" i="8"/>
  <c r="U41" i="8"/>
  <c r="T41" i="8"/>
  <c r="S41" i="8"/>
  <c r="R41" i="8"/>
  <c r="M41" i="8"/>
  <c r="O41" i="8"/>
  <c r="N41" i="8"/>
  <c r="N46" i="8" s="1"/>
  <c r="J41" i="8"/>
  <c r="L41" i="8"/>
  <c r="X39" i="8"/>
  <c r="U39" i="8"/>
  <c r="S39" i="8"/>
  <c r="Q39" i="8" s="1"/>
  <c r="J39" i="8"/>
  <c r="I39" i="8" s="1"/>
  <c r="X38" i="8"/>
  <c r="W38" i="8"/>
  <c r="V38" i="8"/>
  <c r="U38" i="8"/>
  <c r="T38" i="8"/>
  <c r="S38" i="8"/>
  <c r="R38" i="8"/>
  <c r="M38" i="8"/>
  <c r="J38" i="8"/>
  <c r="V34" i="8"/>
  <c r="S34" i="8"/>
  <c r="Q34" i="8" s="1"/>
  <c r="I34" i="8"/>
  <c r="W35" i="8"/>
  <c r="U35" i="8"/>
  <c r="T35" i="8"/>
  <c r="I35" i="8"/>
  <c r="Q35" i="8"/>
  <c r="X33" i="8"/>
  <c r="V33" i="8"/>
  <c r="U33" i="8"/>
  <c r="T33" i="8"/>
  <c r="M33" i="8"/>
  <c r="I33" i="8" s="1"/>
  <c r="S33" i="8"/>
  <c r="Q33" i="8" s="1"/>
  <c r="X37" i="8"/>
  <c r="Y37" i="8"/>
  <c r="W37" i="8"/>
  <c r="V37" i="8"/>
  <c r="U37" i="8"/>
  <c r="T37" i="8"/>
  <c r="S37" i="8"/>
  <c r="R37" i="8"/>
  <c r="Q37" i="8" s="1"/>
  <c r="M37" i="8"/>
  <c r="O37" i="8"/>
  <c r="J37" i="8"/>
  <c r="I37" i="8" s="1"/>
  <c r="V32" i="8"/>
  <c r="W32" i="8"/>
  <c r="U32" i="8"/>
  <c r="T32" i="8"/>
  <c r="I32" i="8"/>
  <c r="S32" i="8"/>
  <c r="Q32" i="8" s="1"/>
  <c r="V31" i="8"/>
  <c r="U31" i="8"/>
  <c r="T31" i="8"/>
  <c r="S31" i="8"/>
  <c r="Q31" i="8" s="1"/>
  <c r="M31" i="8"/>
  <c r="I31" i="8" s="1"/>
  <c r="X30" i="8"/>
  <c r="W30" i="8"/>
  <c r="V30" i="8"/>
  <c r="U30" i="8"/>
  <c r="T30" i="8"/>
  <c r="S30" i="8"/>
  <c r="Q30" i="8" s="1"/>
  <c r="M30" i="8"/>
  <c r="J30" i="8"/>
  <c r="U40" i="8"/>
  <c r="I40" i="8"/>
  <c r="Q40" i="8"/>
  <c r="G31" i="8"/>
  <c r="H41" i="10" s="1"/>
  <c r="G32" i="8"/>
  <c r="H42" i="10" s="1"/>
  <c r="G33" i="8"/>
  <c r="H43" i="10" s="1"/>
  <c r="G34" i="8"/>
  <c r="H44" i="10" s="1"/>
  <c r="G35" i="8"/>
  <c r="H45" i="10" s="1"/>
  <c r="G40" i="8"/>
  <c r="H48" i="10" s="1"/>
  <c r="B126" i="8"/>
  <c r="B107" i="8"/>
  <c r="W49" i="8"/>
  <c r="V49" i="8"/>
  <c r="U49" i="8"/>
  <c r="T49" i="8"/>
  <c r="S49" i="8"/>
  <c r="Q49" i="8" s="1"/>
  <c r="J49" i="8"/>
  <c r="I49" i="8" s="1"/>
  <c r="G49" i="8"/>
  <c r="V15" i="8"/>
  <c r="U15" i="8"/>
  <c r="T15" i="8"/>
  <c r="G30" i="8"/>
  <c r="H40" i="10" s="1"/>
  <c r="B135" i="8"/>
  <c r="B116" i="8"/>
  <c r="B117" i="8"/>
  <c r="B118" i="8"/>
  <c r="B119" i="8"/>
  <c r="B120" i="8"/>
  <c r="B121" i="8"/>
  <c r="O28" i="3"/>
  <c r="G10" i="8"/>
  <c r="H69" i="10" s="1"/>
  <c r="H28" i="3"/>
  <c r="G28" i="3"/>
  <c r="P28" i="3" s="1"/>
  <c r="G29" i="3"/>
  <c r="O29" i="3"/>
  <c r="G15" i="8"/>
  <c r="H26" i="10" s="1"/>
  <c r="W15" i="8"/>
  <c r="S15" i="8"/>
  <c r="Q15" i="8" s="1"/>
  <c r="M15" i="8"/>
  <c r="J15" i="8"/>
  <c r="G39" i="8"/>
  <c r="H47" i="10" s="1"/>
  <c r="G38" i="8"/>
  <c r="H46" i="10" s="1"/>
  <c r="B124" i="8"/>
  <c r="B125" i="8"/>
  <c r="X36" i="8"/>
  <c r="V36" i="8"/>
  <c r="U36" i="8"/>
  <c r="T36" i="8"/>
  <c r="W36" i="8"/>
  <c r="S36" i="8"/>
  <c r="Q36" i="8" s="1"/>
  <c r="M36" i="8"/>
  <c r="L36" i="8"/>
  <c r="J36" i="8"/>
  <c r="G43" i="8"/>
  <c r="H24" i="10" s="1"/>
  <c r="B129" i="8"/>
  <c r="V29" i="8"/>
  <c r="U29" i="8"/>
  <c r="T29" i="8"/>
  <c r="S29" i="8"/>
  <c r="Q29" i="8" s="1"/>
  <c r="J29" i="8"/>
  <c r="I29" i="8" s="1"/>
  <c r="K46" i="8"/>
  <c r="P46" i="8"/>
  <c r="V28" i="8"/>
  <c r="U28" i="8"/>
  <c r="T28" i="8"/>
  <c r="W28" i="8"/>
  <c r="S28" i="8"/>
  <c r="Q28" i="8" s="1"/>
  <c r="M28" i="8"/>
  <c r="J28" i="8"/>
  <c r="U14" i="8"/>
  <c r="T14" i="8"/>
  <c r="W14" i="8"/>
  <c r="S14" i="8"/>
  <c r="Q14" i="8" s="1"/>
  <c r="I14" i="8"/>
  <c r="H29" i="8"/>
  <c r="I39" i="10" s="1"/>
  <c r="G14" i="8"/>
  <c r="B100" i="8"/>
  <c r="B115" i="8"/>
  <c r="X12" i="8"/>
  <c r="W12" i="8"/>
  <c r="V12" i="8"/>
  <c r="U12" i="8"/>
  <c r="T12" i="8"/>
  <c r="S12" i="8"/>
  <c r="Q12" i="8" s="1"/>
  <c r="M12" i="8"/>
  <c r="J12" i="8"/>
  <c r="G11" i="8"/>
  <c r="H73" i="10" s="1"/>
  <c r="G12" i="8"/>
  <c r="AF90" i="8"/>
  <c r="AG90" i="8"/>
  <c r="B98" i="8"/>
  <c r="W27" i="8"/>
  <c r="U27" i="8"/>
  <c r="T27" i="8"/>
  <c r="S27" i="8"/>
  <c r="R27" i="8"/>
  <c r="M27" i="8"/>
  <c r="J27" i="8"/>
  <c r="W13" i="8"/>
  <c r="V13" i="8"/>
  <c r="U13" i="8"/>
  <c r="T13" i="8"/>
  <c r="S13" i="8"/>
  <c r="Q13" i="8" s="1"/>
  <c r="M13" i="8"/>
  <c r="I13" i="8" s="1"/>
  <c r="G13" i="8"/>
  <c r="B99" i="8"/>
  <c r="X26" i="8"/>
  <c r="W26" i="8"/>
  <c r="U26" i="8"/>
  <c r="M26" i="8"/>
  <c r="S26" i="8"/>
  <c r="Q26" i="8" s="1"/>
  <c r="J26" i="8"/>
  <c r="G57" i="8"/>
  <c r="H64" i="10" s="1"/>
  <c r="B143" i="8"/>
  <c r="B131" i="8"/>
  <c r="D45" i="8"/>
  <c r="C12" i="10" s="1"/>
  <c r="C45" i="8"/>
  <c r="W25" i="8"/>
  <c r="V25" i="8"/>
  <c r="U25" i="8"/>
  <c r="T25" i="8"/>
  <c r="Q48" i="8"/>
  <c r="Q25" i="8"/>
  <c r="M25" i="8"/>
  <c r="J25" i="8"/>
  <c r="V48" i="8"/>
  <c r="U48" i="8"/>
  <c r="I48" i="8"/>
  <c r="W48" i="8"/>
  <c r="X24" i="8"/>
  <c r="U24" i="8"/>
  <c r="V24" i="8"/>
  <c r="S24" i="8"/>
  <c r="Q24" i="8" s="1"/>
  <c r="M24" i="8"/>
  <c r="I24" i="8" s="1"/>
  <c r="X23" i="8"/>
  <c r="V23" i="8"/>
  <c r="U23" i="8"/>
  <c r="I23" i="8"/>
  <c r="Q23" i="8"/>
  <c r="V22" i="8"/>
  <c r="U22" i="8"/>
  <c r="Q22" i="8"/>
  <c r="I22" i="8"/>
  <c r="X20" i="8"/>
  <c r="S20" i="8"/>
  <c r="Q20" i="8" s="1"/>
  <c r="J20" i="8"/>
  <c r="I20" i="8" s="1"/>
  <c r="U20" i="8"/>
  <c r="X19" i="8"/>
  <c r="Y19" i="8"/>
  <c r="W19" i="8"/>
  <c r="V19" i="8"/>
  <c r="U19" i="8"/>
  <c r="T19" i="8"/>
  <c r="S19" i="8"/>
  <c r="Q19" i="8" s="1"/>
  <c r="M19" i="8"/>
  <c r="J19" i="8"/>
  <c r="X18" i="8"/>
  <c r="V18" i="8"/>
  <c r="U18" i="8"/>
  <c r="T18" i="8"/>
  <c r="S18" i="8"/>
  <c r="Q18" i="8" s="1"/>
  <c r="I18" i="8"/>
  <c r="X17" i="8"/>
  <c r="S17" i="8"/>
  <c r="Q17" i="8" s="1"/>
  <c r="W17" i="8"/>
  <c r="V17" i="8"/>
  <c r="U17" i="8"/>
  <c r="T17" i="8"/>
  <c r="M17" i="8"/>
  <c r="O17" i="8"/>
  <c r="J17" i="8"/>
  <c r="G28" i="8"/>
  <c r="H38" i="10" s="1"/>
  <c r="B114" i="8"/>
  <c r="E42" i="8"/>
  <c r="G42" i="8"/>
  <c r="H23" i="10" s="1"/>
  <c r="G27" i="8"/>
  <c r="H37" i="10" s="1"/>
  <c r="G26" i="8"/>
  <c r="H28" i="10" s="1"/>
  <c r="G25" i="8"/>
  <c r="H27" i="10" s="1"/>
  <c r="G48" i="8"/>
  <c r="G23" i="8"/>
  <c r="H35" i="10" s="1"/>
  <c r="G24" i="8"/>
  <c r="H36" i="10" s="1"/>
  <c r="G22" i="8"/>
  <c r="H34" i="10" s="1"/>
  <c r="F20" i="8"/>
  <c r="D44" i="8"/>
  <c r="C22" i="10" s="1"/>
  <c r="C44" i="8"/>
  <c r="B128" i="8"/>
  <c r="B130" i="8"/>
  <c r="B132" i="8"/>
  <c r="B113" i="8"/>
  <c r="D41" i="8"/>
  <c r="C21" i="10" s="1"/>
  <c r="C41" i="8"/>
  <c r="D37" i="8"/>
  <c r="C20" i="10" s="1"/>
  <c r="C37" i="8"/>
  <c r="D36" i="8"/>
  <c r="C19" i="10" s="1"/>
  <c r="C36" i="8"/>
  <c r="B103" i="8"/>
  <c r="B104" i="8"/>
  <c r="B105" i="8"/>
  <c r="B106" i="8"/>
  <c r="B108" i="8"/>
  <c r="B109" i="8"/>
  <c r="B110" i="8"/>
  <c r="B134" i="8"/>
  <c r="B111" i="8"/>
  <c r="B112" i="8"/>
  <c r="B122" i="8"/>
  <c r="B123" i="8"/>
  <c r="B127" i="8"/>
  <c r="D20" i="8"/>
  <c r="C32" i="10" s="1"/>
  <c r="C20" i="8"/>
  <c r="D19" i="8"/>
  <c r="C31" i="10" s="1"/>
  <c r="C19" i="8"/>
  <c r="D18" i="8"/>
  <c r="C30" i="10" s="1"/>
  <c r="C18" i="8"/>
  <c r="D17" i="8"/>
  <c r="C29" i="10" s="1"/>
  <c r="C17" i="8"/>
  <c r="M16" i="8"/>
  <c r="J16" i="8"/>
  <c r="W16" i="8"/>
  <c r="S16" i="8"/>
  <c r="Q16" i="8" s="1"/>
  <c r="W11" i="8"/>
  <c r="U11" i="8"/>
  <c r="S11" i="8"/>
  <c r="Q11" i="8" s="1"/>
  <c r="M11" i="8"/>
  <c r="J11" i="8"/>
  <c r="Y60" i="8"/>
  <c r="X60" i="8" s="1"/>
  <c r="V60" i="8"/>
  <c r="U60" i="8"/>
  <c r="T60" i="8"/>
  <c r="S60" i="8"/>
  <c r="R60" i="8"/>
  <c r="W60" i="8"/>
  <c r="O60" i="8"/>
  <c r="M60" i="8"/>
  <c r="J60" i="8"/>
  <c r="X52" i="8"/>
  <c r="S52" i="8"/>
  <c r="Q52" i="8" s="1"/>
  <c r="W52" i="8"/>
  <c r="V52" i="8"/>
  <c r="U52" i="8"/>
  <c r="T52" i="8"/>
  <c r="M52" i="8"/>
  <c r="N52" i="8"/>
  <c r="L52" i="8"/>
  <c r="O52" i="8"/>
  <c r="J52" i="8"/>
  <c r="U59" i="8"/>
  <c r="T59" i="8"/>
  <c r="S59" i="8"/>
  <c r="Q59" i="8" s="1"/>
  <c r="M59" i="8"/>
  <c r="J59" i="8"/>
  <c r="S51" i="8"/>
  <c r="V51" i="8"/>
  <c r="U51" i="8"/>
  <c r="T51" i="8"/>
  <c r="W51" i="8"/>
  <c r="M51" i="8"/>
  <c r="J51" i="8"/>
  <c r="M62" i="8"/>
  <c r="M65" i="8"/>
  <c r="J65" i="8"/>
  <c r="R65" i="8"/>
  <c r="X63" i="8"/>
  <c r="Y63" i="8"/>
  <c r="M92" i="8"/>
  <c r="N92" i="8"/>
  <c r="O92" i="8"/>
  <c r="M93" i="8"/>
  <c r="N93" i="8"/>
  <c r="O93" i="8"/>
  <c r="M94" i="8"/>
  <c r="N94" i="8"/>
  <c r="O94" i="8"/>
  <c r="M63" i="8"/>
  <c r="J63" i="8"/>
  <c r="Q63" i="8"/>
  <c r="I63" i="8"/>
  <c r="AL91" i="2"/>
  <c r="AM91" i="2" s="1"/>
  <c r="F90" i="2"/>
  <c r="E90" i="2"/>
  <c r="E91" i="2"/>
  <c r="F91" i="2"/>
  <c r="B355" i="2"/>
  <c r="AL90" i="2"/>
  <c r="AM90" i="2" s="1"/>
  <c r="B354" i="2"/>
  <c r="B385" i="2"/>
  <c r="E121" i="2"/>
  <c r="F121" i="2"/>
  <c r="E118" i="2"/>
  <c r="F118" i="2"/>
  <c r="P148" i="8"/>
  <c r="P92" i="8"/>
  <c r="P93" i="8"/>
  <c r="P94" i="8"/>
  <c r="E89" i="2"/>
  <c r="F89" i="2"/>
  <c r="B353" i="2"/>
  <c r="AL89" i="2"/>
  <c r="AN89" i="2" s="1"/>
  <c r="G92" i="2"/>
  <c r="F92" i="2"/>
  <c r="E92" i="2"/>
  <c r="AL92" i="2"/>
  <c r="AM92" i="2" s="1"/>
  <c r="E16" i="2"/>
  <c r="F16" i="2"/>
  <c r="E117" i="2"/>
  <c r="F117" i="2"/>
  <c r="AL145" i="2"/>
  <c r="AN145" i="2" s="1"/>
  <c r="AL146" i="2"/>
  <c r="AM146" i="2" s="1"/>
  <c r="B409" i="2"/>
  <c r="B410" i="2"/>
  <c r="F146" i="2"/>
  <c r="G146" i="2"/>
  <c r="E146" i="2"/>
  <c r="E145" i="2"/>
  <c r="AL118" i="2"/>
  <c r="AM118" i="2" s="1"/>
  <c r="AL117" i="2"/>
  <c r="AN117" i="2" s="1"/>
  <c r="B382" i="2"/>
  <c r="AL147" i="2"/>
  <c r="AM147" i="2" s="1"/>
  <c r="G147" i="2"/>
  <c r="F147" i="2"/>
  <c r="E147" i="2"/>
  <c r="B411" i="2"/>
  <c r="B381" i="2"/>
  <c r="B356" i="2"/>
  <c r="B309" i="2"/>
  <c r="B280" i="2"/>
  <c r="AL16" i="2"/>
  <c r="AM16" i="2" s="1"/>
  <c r="O16" i="2"/>
  <c r="AL15" i="2"/>
  <c r="AM15" i="2" s="1"/>
  <c r="B279" i="2"/>
  <c r="E15" i="2"/>
  <c r="F15" i="2"/>
  <c r="S53" i="8"/>
  <c r="R53" i="8"/>
  <c r="M53" i="8"/>
  <c r="L53" i="8"/>
  <c r="K53" i="8"/>
  <c r="N53" i="8"/>
  <c r="O53" i="8"/>
  <c r="J53" i="8"/>
  <c r="R62" i="8"/>
  <c r="J62" i="8"/>
  <c r="N62" i="8"/>
  <c r="L62" i="8"/>
  <c r="J92" i="8"/>
  <c r="K92" i="8"/>
  <c r="L92" i="8"/>
  <c r="Q92" i="8"/>
  <c r="R92" i="8"/>
  <c r="S92" i="8"/>
  <c r="J93" i="8"/>
  <c r="K93" i="8"/>
  <c r="L93" i="8"/>
  <c r="Q93" i="8"/>
  <c r="R93" i="8"/>
  <c r="S93" i="8"/>
  <c r="J94" i="8"/>
  <c r="K94" i="8"/>
  <c r="L94" i="8"/>
  <c r="Q94" i="8"/>
  <c r="R94" i="8"/>
  <c r="S94" i="8"/>
  <c r="N15" i="8"/>
  <c r="N10" i="8"/>
  <c r="L10" i="8"/>
  <c r="K10" i="8"/>
  <c r="J10" i="8"/>
  <c r="R10" i="8"/>
  <c r="Z53" i="8"/>
  <c r="E53" i="8" s="1"/>
  <c r="M11" i="10" s="1"/>
  <c r="M10" i="10" s="1"/>
  <c r="P40" i="3"/>
  <c r="O40" i="3"/>
  <c r="H83" i="8"/>
  <c r="G82" i="8"/>
  <c r="G63" i="8"/>
  <c r="H70" i="10" s="1"/>
  <c r="B169" i="8"/>
  <c r="G79" i="8"/>
  <c r="G80" i="8" s="1"/>
  <c r="G56" i="8"/>
  <c r="H62" i="10" s="1"/>
  <c r="G55" i="8"/>
  <c r="G54" i="8"/>
  <c r="H60" i="10" s="1"/>
  <c r="G53" i="8"/>
  <c r="H11" i="10" s="1"/>
  <c r="G52" i="8"/>
  <c r="H72" i="10" s="1"/>
  <c r="G51" i="8"/>
  <c r="H63" i="10" s="1"/>
  <c r="X65" i="8"/>
  <c r="G81" i="8"/>
  <c r="H81" i="8" s="1"/>
  <c r="V65" i="8"/>
  <c r="I65" i="8"/>
  <c r="Q65" i="8"/>
  <c r="G65" i="8"/>
  <c r="H74" i="10" s="1"/>
  <c r="G73" i="8"/>
  <c r="AL148" i="2"/>
  <c r="AM148" i="2" s="1"/>
  <c r="E148" i="2"/>
  <c r="F148" i="2"/>
  <c r="F159" i="2"/>
  <c r="AL158" i="2"/>
  <c r="AM158" i="2" s="1"/>
  <c r="AL159" i="2"/>
  <c r="AN159" i="2" s="1"/>
  <c r="E159" i="2"/>
  <c r="G158" i="2"/>
  <c r="F158" i="2"/>
  <c r="E158" i="2"/>
  <c r="B422" i="2"/>
  <c r="B423" i="2"/>
  <c r="B412" i="2"/>
  <c r="AL155" i="2"/>
  <c r="AM155" i="2" s="1"/>
  <c r="AL156" i="2"/>
  <c r="AN156" i="2" s="1"/>
  <c r="B419" i="2"/>
  <c r="B420" i="2"/>
  <c r="H156" i="2"/>
  <c r="G156" i="2"/>
  <c r="F156" i="2"/>
  <c r="E156" i="2"/>
  <c r="E155" i="2"/>
  <c r="V62" i="8"/>
  <c r="U62" i="8"/>
  <c r="T62" i="8"/>
  <c r="AD90" i="8"/>
  <c r="I62" i="8"/>
  <c r="Q62" i="8"/>
  <c r="AE90" i="8"/>
  <c r="AC90" i="8"/>
  <c r="G60" i="8"/>
  <c r="H61" i="10" s="1"/>
  <c r="G59" i="8"/>
  <c r="H71" i="10" s="1"/>
  <c r="G62" i="8"/>
  <c r="H55" i="10" s="1"/>
  <c r="T11" i="8"/>
  <c r="V16" i="8"/>
  <c r="V11" i="8"/>
  <c r="G16" i="8"/>
  <c r="H25" i="10" s="1"/>
  <c r="Y10" i="8"/>
  <c r="X10" i="8"/>
  <c r="W10" i="8"/>
  <c r="V10" i="8"/>
  <c r="U10" i="8"/>
  <c r="T10" i="8"/>
  <c r="Q10" i="8"/>
  <c r="I10" i="8"/>
  <c r="D68" i="8"/>
  <c r="D69" i="8"/>
  <c r="D71" i="8"/>
  <c r="D72" i="8"/>
  <c r="C68" i="8"/>
  <c r="C69" i="8"/>
  <c r="C71" i="8"/>
  <c r="C72" i="8"/>
  <c r="B153" i="8"/>
  <c r="B154" i="8"/>
  <c r="B155" i="8"/>
  <c r="B156" i="8"/>
  <c r="B157" i="8"/>
  <c r="B158" i="8"/>
  <c r="B162" i="8"/>
  <c r="B164" i="8"/>
  <c r="AG66" i="8"/>
  <c r="C66" i="8" s="1"/>
  <c r="AG67" i="8"/>
  <c r="AG70" i="8" s="1"/>
  <c r="C70" i="8" s="1"/>
  <c r="C75" i="8"/>
  <c r="D76" i="8"/>
  <c r="D78" i="8"/>
  <c r="D75" i="8"/>
  <c r="C76" i="8"/>
  <c r="C78" i="8"/>
  <c r="AG74" i="8"/>
  <c r="C74" i="8" s="1"/>
  <c r="AG77" i="8"/>
  <c r="D77" i="8" s="1"/>
  <c r="D64" i="8"/>
  <c r="C76" i="10" s="1"/>
  <c r="D60" i="8"/>
  <c r="C61" i="10" s="1"/>
  <c r="C60" i="8"/>
  <c r="D61" i="10" s="1"/>
  <c r="D59" i="8"/>
  <c r="C71" i="10" s="1"/>
  <c r="C59" i="8"/>
  <c r="D71" i="10" s="1"/>
  <c r="E71" i="10" s="1"/>
  <c r="B144" i="8"/>
  <c r="B145" i="8"/>
  <c r="B146" i="8"/>
  <c r="D80" i="8"/>
  <c r="C80" i="8"/>
  <c r="B165" i="8"/>
  <c r="D63" i="8"/>
  <c r="C70" i="10" s="1"/>
  <c r="C63" i="8"/>
  <c r="D70" i="10" s="1"/>
  <c r="E70" i="10" s="1"/>
  <c r="D16" i="8"/>
  <c r="C25" i="10" s="1"/>
  <c r="C16" i="8"/>
  <c r="D25" i="10" s="1"/>
  <c r="D54" i="8"/>
  <c r="C60" i="10" s="1"/>
  <c r="C54" i="8"/>
  <c r="D60" i="10" s="1"/>
  <c r="B133" i="8"/>
  <c r="D47" i="8"/>
  <c r="C47" i="8"/>
  <c r="D53" i="8"/>
  <c r="C11" i="10" s="1"/>
  <c r="C53" i="8"/>
  <c r="D11" i="10" s="1"/>
  <c r="D52" i="8"/>
  <c r="C72" i="10" s="1"/>
  <c r="C52" i="8"/>
  <c r="D72" i="10" s="1"/>
  <c r="E72" i="10" s="1"/>
  <c r="D51" i="8"/>
  <c r="C63" i="10" s="1"/>
  <c r="C51" i="8"/>
  <c r="D63" i="10" s="1"/>
  <c r="D62" i="8"/>
  <c r="C55" i="10" s="1"/>
  <c r="C54" i="10" s="1"/>
  <c r="C62" i="8"/>
  <c r="D55" i="10" s="1"/>
  <c r="D93" i="8"/>
  <c r="C94" i="8"/>
  <c r="B96" i="8"/>
  <c r="B101" i="8"/>
  <c r="B97" i="8"/>
  <c r="B102" i="8"/>
  <c r="B147" i="8"/>
  <c r="B148" i="8"/>
  <c r="B151" i="8"/>
  <c r="B152" i="8"/>
  <c r="B159" i="8"/>
  <c r="B160" i="8"/>
  <c r="B161" i="8"/>
  <c r="B163" i="8"/>
  <c r="B149" i="8"/>
  <c r="B166" i="8"/>
  <c r="B150" i="8"/>
  <c r="B167" i="8"/>
  <c r="B168" i="8"/>
  <c r="B136" i="8"/>
  <c r="B137" i="8"/>
  <c r="B138" i="8"/>
  <c r="B139" i="8"/>
  <c r="B140" i="8"/>
  <c r="B141" i="8"/>
  <c r="B142" i="8"/>
  <c r="B95" i="8"/>
  <c r="AB96" i="8"/>
  <c r="AB97" i="8" s="1"/>
  <c r="AB98" i="8" s="1"/>
  <c r="AB99" i="8" s="1"/>
  <c r="AB100" i="8" s="1"/>
  <c r="AB101" i="8" s="1"/>
  <c r="AB102" i="8" s="1"/>
  <c r="AB103" i="8" s="1"/>
  <c r="AB104" i="8" s="1"/>
  <c r="AB105" i="8" s="1"/>
  <c r="AB106" i="8" s="1"/>
  <c r="A96" i="8"/>
  <c r="A97" i="8" s="1"/>
  <c r="A98" i="8" s="1"/>
  <c r="A99" i="8" s="1"/>
  <c r="A100" i="8" s="1"/>
  <c r="A101" i="8" s="1"/>
  <c r="AA92" i="8"/>
  <c r="E92" i="8"/>
  <c r="F92" i="8"/>
  <c r="G92" i="8"/>
  <c r="H92" i="8"/>
  <c r="I92" i="8"/>
  <c r="T92" i="8"/>
  <c r="U92" i="8"/>
  <c r="V92" i="8"/>
  <c r="W92" i="8"/>
  <c r="X92" i="8"/>
  <c r="Y92" i="8"/>
  <c r="AA93" i="8"/>
  <c r="E93" i="8"/>
  <c r="F93" i="8"/>
  <c r="G93" i="8"/>
  <c r="H93" i="8"/>
  <c r="I93" i="8"/>
  <c r="T93" i="8"/>
  <c r="U93" i="8"/>
  <c r="V93" i="8"/>
  <c r="W93" i="8"/>
  <c r="X93" i="8"/>
  <c r="Y93" i="8"/>
  <c r="AA94" i="8"/>
  <c r="E94" i="8"/>
  <c r="F94" i="8"/>
  <c r="G94" i="8"/>
  <c r="H94" i="8"/>
  <c r="I94" i="8"/>
  <c r="T94" i="8"/>
  <c r="U94" i="8"/>
  <c r="V94" i="8"/>
  <c r="W94" i="8"/>
  <c r="X94" i="8"/>
  <c r="D92" i="8"/>
  <c r="C92" i="8"/>
  <c r="Z92" i="8"/>
  <c r="C93" i="8"/>
  <c r="Z93" i="8"/>
  <c r="Z94" i="8"/>
  <c r="AB10" i="8"/>
  <c r="AB11" i="8" s="1"/>
  <c r="AB12" i="8" s="1"/>
  <c r="AB13" i="8" s="1"/>
  <c r="AB14" i="8" s="1"/>
  <c r="AB15" i="8" s="1"/>
  <c r="AB16" i="8" s="1"/>
  <c r="A10" i="8"/>
  <c r="A11" i="8" s="1"/>
  <c r="A12" i="8" s="1"/>
  <c r="A13" i="8" s="1"/>
  <c r="A14" i="8" s="1"/>
  <c r="A15" i="8" s="1"/>
  <c r="A16" i="8" s="1"/>
  <c r="A17" i="8" s="1"/>
  <c r="A3" i="8"/>
  <c r="A2" i="8"/>
  <c r="W149" i="2"/>
  <c r="B457" i="2"/>
  <c r="AL187" i="2"/>
  <c r="AN187" i="2" s="1"/>
  <c r="AL190" i="2"/>
  <c r="AM190" i="2" s="1"/>
  <c r="AL193" i="2"/>
  <c r="AN193" i="2" s="1"/>
  <c r="N193" i="2"/>
  <c r="B446" i="2"/>
  <c r="F205" i="2"/>
  <c r="F206" i="2"/>
  <c r="F207" i="2"/>
  <c r="G204" i="2"/>
  <c r="H204" i="2"/>
  <c r="G205" i="2"/>
  <c r="H205" i="2"/>
  <c r="G206" i="2"/>
  <c r="H206" i="2"/>
  <c r="G207" i="2"/>
  <c r="H207" i="2"/>
  <c r="B469" i="2"/>
  <c r="B470" i="2"/>
  <c r="B471" i="2"/>
  <c r="B451" i="2"/>
  <c r="B454" i="2"/>
  <c r="G190" i="2"/>
  <c r="F190" i="2"/>
  <c r="E190" i="2"/>
  <c r="Z11" i="7"/>
  <c r="Z12" i="7" s="1"/>
  <c r="A11" i="7"/>
  <c r="A12" i="7" s="1"/>
  <c r="A13" i="7" s="1"/>
  <c r="A14" i="7" s="1"/>
  <c r="A15" i="7" s="1"/>
  <c r="A16" i="7" s="1"/>
  <c r="A17" i="7" s="1"/>
  <c r="A18" i="7" s="1"/>
  <c r="A19" i="7" s="1"/>
  <c r="A20" i="7" s="1"/>
  <c r="A3" i="7"/>
  <c r="A2" i="7"/>
  <c r="H80" i="2"/>
  <c r="K61" i="10" l="1"/>
  <c r="E61" i="10"/>
  <c r="K60" i="10"/>
  <c r="E60" i="10"/>
  <c r="D54" i="10"/>
  <c r="E54" i="10" s="1"/>
  <c r="E55" i="10"/>
  <c r="K63" i="10"/>
  <c r="E63" i="10"/>
  <c r="K25" i="10"/>
  <c r="E25" i="10"/>
  <c r="K11" i="10"/>
  <c r="E11" i="10"/>
  <c r="C68" i="10"/>
  <c r="A21" i="7"/>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Q38" i="8"/>
  <c r="Z13" i="7"/>
  <c r="Z14" i="7" s="1"/>
  <c r="Z15" i="7" s="1"/>
  <c r="Z16" i="7" s="1"/>
  <c r="Z17" i="7" s="1"/>
  <c r="Z18" i="7" s="1"/>
  <c r="Z19" i="7" s="1"/>
  <c r="Z20" i="7" s="1"/>
  <c r="Z22" i="7" s="1"/>
  <c r="Z23" i="7" s="1"/>
  <c r="Z24" i="7" s="1"/>
  <c r="Z25" i="7" s="1"/>
  <c r="Z26" i="7" s="1"/>
  <c r="Z27" i="7" s="1"/>
  <c r="Z28" i="7" s="1"/>
  <c r="Z29" i="7" s="1"/>
  <c r="Z30" i="7" s="1"/>
  <c r="Z31" i="7" s="1"/>
  <c r="Z32" i="7" s="1"/>
  <c r="Z33" i="7" s="1"/>
  <c r="Z34" i="7" s="1"/>
  <c r="Z35" i="7" s="1"/>
  <c r="Z36" i="7" s="1"/>
  <c r="Z37" i="7" s="1"/>
  <c r="Z38" i="7" s="1"/>
  <c r="Z39" i="7" s="1"/>
  <c r="Z40" i="7" s="1"/>
  <c r="Z41" i="7" s="1"/>
  <c r="Z42" i="7" s="1"/>
  <c r="Z43" i="7" s="1"/>
  <c r="Z44" i="7" s="1"/>
  <c r="Z45" i="7" s="1"/>
  <c r="Z46" i="7" s="1"/>
  <c r="Z47" i="7" s="1"/>
  <c r="I38" i="8"/>
  <c r="I30" i="8"/>
  <c r="Q45" i="8"/>
  <c r="Q41" i="8"/>
  <c r="Q44" i="8"/>
  <c r="I43" i="8"/>
  <c r="I44" i="8"/>
  <c r="D68" i="10"/>
  <c r="E68" i="10" s="1"/>
  <c r="H59" i="10"/>
  <c r="K55" i="10"/>
  <c r="C10" i="10"/>
  <c r="I41" i="8"/>
  <c r="I45" i="8"/>
  <c r="I42" i="8"/>
  <c r="F46" i="8"/>
  <c r="N32" i="10"/>
  <c r="N18" i="10" s="1"/>
  <c r="N9" i="10" s="1"/>
  <c r="G36" i="8"/>
  <c r="H19" i="10" s="1"/>
  <c r="D19" i="10"/>
  <c r="E19" i="10" s="1"/>
  <c r="I11" i="10"/>
  <c r="G37" i="8"/>
  <c r="H20" i="10" s="1"/>
  <c r="D20" i="10"/>
  <c r="G41" i="8"/>
  <c r="H21" i="10" s="1"/>
  <c r="D21" i="10"/>
  <c r="G18" i="8"/>
  <c r="H30" i="10" s="1"/>
  <c r="D30" i="10"/>
  <c r="G45" i="8"/>
  <c r="H12" i="10" s="1"/>
  <c r="D12" i="10"/>
  <c r="E12" i="10" s="1"/>
  <c r="H54" i="10"/>
  <c r="I54" i="10" s="1"/>
  <c r="G44" i="8"/>
  <c r="H22" i="10" s="1"/>
  <c r="D22" i="10"/>
  <c r="G17" i="8"/>
  <c r="H29" i="10" s="1"/>
  <c r="D29" i="10"/>
  <c r="D59" i="10"/>
  <c r="E59" i="10" s="1"/>
  <c r="E46" i="8"/>
  <c r="M23" i="10"/>
  <c r="M18" i="10" s="1"/>
  <c r="M9" i="10" s="1"/>
  <c r="G19" i="8"/>
  <c r="H31" i="10" s="1"/>
  <c r="D31" i="10"/>
  <c r="G20" i="8"/>
  <c r="H32" i="10" s="1"/>
  <c r="D32" i="10"/>
  <c r="H68" i="10"/>
  <c r="J76" i="10" s="1"/>
  <c r="P61" i="10"/>
  <c r="P62" i="10" s="1"/>
  <c r="P63" i="10" s="1"/>
  <c r="P64" i="10" s="1"/>
  <c r="P65" i="10" s="1"/>
  <c r="P66" i="10" s="1"/>
  <c r="P67" i="10" s="1"/>
  <c r="P68" i="10" s="1"/>
  <c r="P69" i="10" s="1"/>
  <c r="P70" i="10" s="1"/>
  <c r="P71" i="10" s="1"/>
  <c r="P72" i="10" s="1"/>
  <c r="P73" i="10" s="1"/>
  <c r="P74" i="10" s="1"/>
  <c r="P75" i="10" s="1"/>
  <c r="P76" i="10" s="1"/>
  <c r="P77" i="10" s="1"/>
  <c r="P78" i="10" s="1"/>
  <c r="A49" i="10"/>
  <c r="A56" i="10" s="1"/>
  <c r="A57" i="10" s="1"/>
  <c r="A58" i="10" s="1"/>
  <c r="A59" i="10" s="1"/>
  <c r="A60" i="10" s="1"/>
  <c r="A61" i="10" s="1"/>
  <c r="S17" i="9"/>
  <c r="S18" i="9" s="1"/>
  <c r="S19" i="9" s="1"/>
  <c r="S20" i="9" s="1"/>
  <c r="S21" i="9" s="1"/>
  <c r="S22" i="9" s="1"/>
  <c r="A23" i="9"/>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S65" i="9"/>
  <c r="S66" i="9" s="1"/>
  <c r="S67" i="9" s="1"/>
  <c r="S68" i="9" s="1"/>
  <c r="S69" i="9" s="1"/>
  <c r="S70" i="9" s="1"/>
  <c r="S71" i="9" s="1"/>
  <c r="S72" i="9" s="1"/>
  <c r="S73" i="9" s="1"/>
  <c r="S74" i="9" s="1"/>
  <c r="L28" i="9"/>
  <c r="H29" i="9"/>
  <c r="K28" i="9"/>
  <c r="G29" i="9"/>
  <c r="K29" i="9" s="1"/>
  <c r="AN91" i="2"/>
  <c r="AN92" i="2"/>
  <c r="R46" i="8"/>
  <c r="Y46" i="8"/>
  <c r="O46" i="8"/>
  <c r="AB107" i="8"/>
  <c r="AB108" i="8" s="1"/>
  <c r="AB109" i="8" s="1"/>
  <c r="AB110" i="8" s="1"/>
  <c r="AB111" i="8" s="1"/>
  <c r="AB112" i="8" s="1"/>
  <c r="AB113" i="8" s="1"/>
  <c r="AB114" i="8" s="1"/>
  <c r="AB115" i="8" s="1"/>
  <c r="AB116" i="8" s="1"/>
  <c r="AB117" i="8" s="1"/>
  <c r="AB118" i="8" s="1"/>
  <c r="AB119" i="8" s="1"/>
  <c r="AB120" i="8" s="1"/>
  <c r="AB121" i="8" s="1"/>
  <c r="AB122" i="8" s="1"/>
  <c r="AB123" i="8" s="1"/>
  <c r="C46" i="8"/>
  <c r="I27" i="8"/>
  <c r="I15" i="8"/>
  <c r="I36" i="8"/>
  <c r="I28" i="8"/>
  <c r="I12" i="8"/>
  <c r="U46" i="8"/>
  <c r="W46" i="8"/>
  <c r="L46" i="8"/>
  <c r="X46" i="8"/>
  <c r="V46" i="8"/>
  <c r="J46" i="8"/>
  <c r="T46" i="8"/>
  <c r="M46" i="8"/>
  <c r="S46" i="8"/>
  <c r="Q27" i="8"/>
  <c r="I26" i="8"/>
  <c r="A102" i="8"/>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8" i="8"/>
  <c r="A19" i="8" s="1"/>
  <c r="A20" i="8" s="1"/>
  <c r="AB17" i="8"/>
  <c r="AB18" i="8" s="1"/>
  <c r="AB19" i="8" s="1"/>
  <c r="AB20" i="8" s="1"/>
  <c r="D46" i="8"/>
  <c r="I25" i="8"/>
  <c r="I19" i="8"/>
  <c r="I17" i="8"/>
  <c r="Q60" i="8"/>
  <c r="I59" i="8"/>
  <c r="I52" i="8"/>
  <c r="I51" i="8"/>
  <c r="I11" i="8"/>
  <c r="I53" i="8"/>
  <c r="I16" i="8"/>
  <c r="I60" i="8"/>
  <c r="S65" i="8"/>
  <c r="Q53" i="8"/>
  <c r="S62" i="8"/>
  <c r="AN90" i="2"/>
  <c r="AM89" i="2"/>
  <c r="AM145" i="2"/>
  <c r="AN146" i="2"/>
  <c r="AN118" i="2"/>
  <c r="AM117" i="2"/>
  <c r="AN147" i="2"/>
  <c r="AN15" i="2"/>
  <c r="AN16" i="2"/>
  <c r="S10" i="8"/>
  <c r="AN148" i="2"/>
  <c r="H52" i="8"/>
  <c r="I72" i="10" s="1"/>
  <c r="H53" i="8"/>
  <c r="H54" i="8"/>
  <c r="I60" i="10" s="1"/>
  <c r="H51" i="8"/>
  <c r="I63" i="10" s="1"/>
  <c r="H55" i="8"/>
  <c r="H16" i="8"/>
  <c r="I25" i="10" s="1"/>
  <c r="AN158" i="2"/>
  <c r="AM159" i="2"/>
  <c r="AM156" i="2"/>
  <c r="AN155" i="2"/>
  <c r="H62" i="8"/>
  <c r="I55" i="10" s="1"/>
  <c r="H59" i="8"/>
  <c r="I71" i="10" s="1"/>
  <c r="H60" i="8"/>
  <c r="I61" i="10" s="1"/>
  <c r="D67" i="8"/>
  <c r="D70" i="8"/>
  <c r="C67" i="8"/>
  <c r="C77" i="8"/>
  <c r="AM187" i="2"/>
  <c r="AN190" i="2"/>
  <c r="AM193" i="2"/>
  <c r="AL129" i="2"/>
  <c r="AN129" i="2" s="1"/>
  <c r="AJ129" i="2"/>
  <c r="S129" i="2"/>
  <c r="E129" i="2"/>
  <c r="F129" i="2"/>
  <c r="L393" i="2"/>
  <c r="B393" i="2"/>
  <c r="B455" i="2"/>
  <c r="N191" i="2"/>
  <c r="E47" i="7" s="1"/>
  <c r="L191" i="2"/>
  <c r="B474" i="2"/>
  <c r="N210" i="2"/>
  <c r="E53" i="7" s="1"/>
  <c r="AL203" i="2"/>
  <c r="AN203" i="2" s="1"/>
  <c r="AL204" i="2"/>
  <c r="AM204" i="2" s="1"/>
  <c r="AL208" i="2"/>
  <c r="AM208" i="2" s="1"/>
  <c r="AL209" i="2"/>
  <c r="AM209" i="2" s="1"/>
  <c r="L210" i="2"/>
  <c r="D210" i="2"/>
  <c r="D191" i="2" s="1"/>
  <c r="N47" i="7" s="1"/>
  <c r="P47" i="7" s="1"/>
  <c r="S47" i="7" s="1"/>
  <c r="B483" i="2"/>
  <c r="B484" i="2"/>
  <c r="AL149" i="2"/>
  <c r="Q234" i="2"/>
  <c r="B507" i="2"/>
  <c r="V271" i="2"/>
  <c r="U270" i="2"/>
  <c r="U271" i="2"/>
  <c r="U272" i="2"/>
  <c r="S272" i="2"/>
  <c r="W104" i="2"/>
  <c r="W103" i="2"/>
  <c r="V270" i="2"/>
  <c r="W270" i="2"/>
  <c r="X270" i="2"/>
  <c r="Z270" i="2"/>
  <c r="AA270" i="2"/>
  <c r="AB270" i="2"/>
  <c r="AC270" i="2"/>
  <c r="W271" i="2"/>
  <c r="X271" i="2"/>
  <c r="Z271" i="2"/>
  <c r="AA271" i="2"/>
  <c r="AB271" i="2"/>
  <c r="AC271" i="2"/>
  <c r="W272" i="2"/>
  <c r="AA272" i="2"/>
  <c r="AB272" i="2"/>
  <c r="S271" i="2"/>
  <c r="S270" i="2"/>
  <c r="K59" i="10" l="1"/>
  <c r="K31" i="10"/>
  <c r="E31" i="10"/>
  <c r="K29" i="10"/>
  <c r="E29" i="10"/>
  <c r="K20" i="10"/>
  <c r="E20" i="10"/>
  <c r="K30" i="10"/>
  <c r="E30" i="10"/>
  <c r="K21" i="10"/>
  <c r="E21" i="10"/>
  <c r="K32" i="10"/>
  <c r="E32" i="10"/>
  <c r="K22" i="10"/>
  <c r="E22" i="10"/>
  <c r="K54" i="10"/>
  <c r="Z48" i="7"/>
  <c r="Z49" i="7" s="1"/>
  <c r="Z50" i="7" s="1"/>
  <c r="Z51" i="7" s="1"/>
  <c r="Z52" i="7" s="1"/>
  <c r="Z53" i="7" s="1"/>
  <c r="Z54" i="7" s="1"/>
  <c r="Z55" i="7" s="1"/>
  <c r="Z56" i="7" s="1"/>
  <c r="Z57" i="7" s="1"/>
  <c r="Z58" i="7" s="1"/>
  <c r="Z59" i="7" s="1"/>
  <c r="Z60" i="7" s="1"/>
  <c r="Z61" i="7" s="1"/>
  <c r="Z62" i="7" s="1"/>
  <c r="A48" i="7"/>
  <c r="A49" i="7" s="1"/>
  <c r="A50" i="7" s="1"/>
  <c r="A51" i="7" s="1"/>
  <c r="A52" i="7" s="1"/>
  <c r="A53" i="7" s="1"/>
  <c r="A54" i="7" s="1"/>
  <c r="A55" i="7" s="1"/>
  <c r="A56" i="7" s="1"/>
  <c r="A57" i="7" s="1"/>
  <c r="A58" i="7" s="1"/>
  <c r="A59" i="7" s="1"/>
  <c r="A60" i="7" s="1"/>
  <c r="A61" i="7" s="1"/>
  <c r="A62" i="7" s="1"/>
  <c r="J70" i="10"/>
  <c r="I68" i="10"/>
  <c r="AL210" i="2"/>
  <c r="AN210" i="2" s="1"/>
  <c r="F53" i="7"/>
  <c r="AL191" i="2"/>
  <c r="AM191" i="2" s="1"/>
  <c r="F47" i="7"/>
  <c r="J71" i="10"/>
  <c r="Q46" i="8"/>
  <c r="I59" i="10"/>
  <c r="J75" i="10"/>
  <c r="J69" i="10"/>
  <c r="K12" i="10"/>
  <c r="K2" i="10" s="1"/>
  <c r="D10" i="10"/>
  <c r="E10" i="10" s="1"/>
  <c r="I12" i="10"/>
  <c r="J74" i="10"/>
  <c r="J73" i="10"/>
  <c r="H10" i="10"/>
  <c r="K19" i="10"/>
  <c r="D18" i="10"/>
  <c r="E18" i="10" s="1"/>
  <c r="H18" i="10"/>
  <c r="J72" i="10"/>
  <c r="G46" i="8"/>
  <c r="H46" i="8" s="1"/>
  <c r="S23" i="9"/>
  <c r="S24" i="9" s="1"/>
  <c r="S25" i="9" s="1"/>
  <c r="S26" i="9" s="1"/>
  <c r="S27" i="9" s="1"/>
  <c r="S28" i="9" s="1"/>
  <c r="S29" i="9" s="1"/>
  <c r="S30" i="9" s="1"/>
  <c r="S31" i="9" s="1"/>
  <c r="S32" i="9" s="1"/>
  <c r="S33" i="9" s="1"/>
  <c r="S34" i="9" s="1"/>
  <c r="S35" i="9" s="1"/>
  <c r="S36" i="9" s="1"/>
  <c r="S37" i="9" s="1"/>
  <c r="S38" i="9" s="1"/>
  <c r="S39" i="9" s="1"/>
  <c r="S40" i="9" s="1"/>
  <c r="S41" i="9" s="1"/>
  <c r="S42" i="9" s="1"/>
  <c r="S43" i="9" s="1"/>
  <c r="S44" i="9" s="1"/>
  <c r="S45" i="9" s="1"/>
  <c r="S46" i="9" s="1"/>
  <c r="S47" i="9" s="1"/>
  <c r="S48" i="9" s="1"/>
  <c r="S49" i="9" s="1"/>
  <c r="S50" i="9" s="1"/>
  <c r="A62" i="10"/>
  <c r="A63" i="10" s="1"/>
  <c r="A64" i="10" s="1"/>
  <c r="A65" i="10" s="1"/>
  <c r="A66" i="10" s="1"/>
  <c r="A67" i="10" s="1"/>
  <c r="A68" i="10" s="1"/>
  <c r="A69" i="10" s="1"/>
  <c r="A70" i="10" s="1"/>
  <c r="A71" i="10" s="1"/>
  <c r="A72" i="10" s="1"/>
  <c r="A73" i="10" s="1"/>
  <c r="A74" i="10" s="1"/>
  <c r="A75" i="10" s="1"/>
  <c r="A76" i="10" s="1"/>
  <c r="A77" i="10" s="1"/>
  <c r="A78" i="10" s="1"/>
  <c r="S75" i="9"/>
  <c r="S76" i="9" s="1"/>
  <c r="S77" i="9" s="1"/>
  <c r="S78" i="9" s="1"/>
  <c r="S79" i="9" s="1"/>
  <c r="S80" i="9" s="1"/>
  <c r="S81" i="9" s="1"/>
  <c r="S82" i="9" s="1"/>
  <c r="S83" i="9" s="1"/>
  <c r="S84" i="9" s="1"/>
  <c r="S85" i="9" s="1"/>
  <c r="L29" i="9"/>
  <c r="N29" i="9"/>
  <c r="G191" i="2"/>
  <c r="F210" i="2"/>
  <c r="N53" i="7"/>
  <c r="P53" i="7" s="1"/>
  <c r="S53" i="7" s="1"/>
  <c r="S43" i="7" s="1"/>
  <c r="AB124" i="8"/>
  <c r="AB125" i="8" s="1"/>
  <c r="AB126" i="8" s="1"/>
  <c r="AB127" i="8" s="1"/>
  <c r="AB128" i="8" s="1"/>
  <c r="AB129" i="8" s="1"/>
  <c r="AB130" i="8" s="1"/>
  <c r="AB131" i="8" s="1"/>
  <c r="AB132" i="8" s="1"/>
  <c r="AB133" i="8" s="1"/>
  <c r="AB134" i="8" s="1"/>
  <c r="AB135" i="8" s="1"/>
  <c r="AB136" i="8" s="1"/>
  <c r="AB137" i="8" s="1"/>
  <c r="AB138" i="8" s="1"/>
  <c r="AB139" i="8" s="1"/>
  <c r="AB140" i="8" s="1"/>
  <c r="AB141" i="8" s="1"/>
  <c r="AB142" i="8" s="1"/>
  <c r="AB143" i="8" s="1"/>
  <c r="AB144" i="8" s="1"/>
  <c r="AB145" i="8" s="1"/>
  <c r="AB146" i="8" s="1"/>
  <c r="AB147" i="8" s="1"/>
  <c r="AB148" i="8" s="1"/>
  <c r="AB149" i="8" s="1"/>
  <c r="AB150" i="8" s="1"/>
  <c r="AB151" i="8" s="1"/>
  <c r="AB152" i="8" s="1"/>
  <c r="AB153" i="8" s="1"/>
  <c r="AB154" i="8" s="1"/>
  <c r="AB155" i="8" s="1"/>
  <c r="AB156" i="8" s="1"/>
  <c r="AB157" i="8" s="1"/>
  <c r="AB158" i="8" s="1"/>
  <c r="AB159" i="8" s="1"/>
  <c r="AB160" i="8" s="1"/>
  <c r="AB161" i="8" s="1"/>
  <c r="AB162" i="8" s="1"/>
  <c r="AB163" i="8" s="1"/>
  <c r="AB164" i="8" s="1"/>
  <c r="AB165" i="8" s="1"/>
  <c r="AB166" i="8" s="1"/>
  <c r="AB167" i="8" s="1"/>
  <c r="AB168" i="8" s="1"/>
  <c r="AB169" i="8" s="1"/>
  <c r="A130" i="8"/>
  <c r="A131" i="8" s="1"/>
  <c r="A132" i="8" s="1"/>
  <c r="A133" i="8" s="1"/>
  <c r="A134" i="8" s="1"/>
  <c r="A135" i="8" s="1"/>
  <c r="A136" i="8" s="1"/>
  <c r="A137" i="8" s="1"/>
  <c r="AB21" i="8"/>
  <c r="AB22" i="8" s="1"/>
  <c r="AB23" i="8" s="1"/>
  <c r="AB24" i="8" s="1"/>
  <c r="AB25" i="8" s="1"/>
  <c r="AB26" i="8" s="1"/>
  <c r="AB27" i="8" s="1"/>
  <c r="AB28" i="8" s="1"/>
  <c r="AB29" i="8" s="1"/>
  <c r="AB30" i="8" s="1"/>
  <c r="AB31" i="8" s="1"/>
  <c r="AB32" i="8" s="1"/>
  <c r="AB33" i="8" s="1"/>
  <c r="AB34" i="8" s="1"/>
  <c r="AB35" i="8" s="1"/>
  <c r="AB36" i="8" s="1"/>
  <c r="AB37" i="8" s="1"/>
  <c r="AB38" i="8" s="1"/>
  <c r="AB39" i="8" s="1"/>
  <c r="A21" i="8"/>
  <c r="A22" i="8" s="1"/>
  <c r="A23" i="8" s="1"/>
  <c r="A24" i="8" s="1"/>
  <c r="A25" i="8" s="1"/>
  <c r="A26" i="8" s="1"/>
  <c r="A27" i="8" s="1"/>
  <c r="A28" i="8" s="1"/>
  <c r="A29" i="8" s="1"/>
  <c r="A30" i="8" s="1"/>
  <c r="A31" i="8" s="1"/>
  <c r="A32" i="8" s="1"/>
  <c r="A33" i="8" s="1"/>
  <c r="A34" i="8" s="1"/>
  <c r="A35" i="8" s="1"/>
  <c r="A36" i="8" s="1"/>
  <c r="A37" i="8" s="1"/>
  <c r="A38" i="8" s="1"/>
  <c r="A39" i="8" s="1"/>
  <c r="I46" i="8"/>
  <c r="AS129" i="2"/>
  <c r="AP129" i="2" s="1"/>
  <c r="AM129" i="2"/>
  <c r="AN209" i="2"/>
  <c r="AN208" i="2"/>
  <c r="AN204" i="2"/>
  <c r="AM203" i="2"/>
  <c r="F191" i="2"/>
  <c r="E191" i="2"/>
  <c r="G210" i="2"/>
  <c r="AL12" i="2"/>
  <c r="AN12" i="2" s="1"/>
  <c r="B276" i="2"/>
  <c r="B389" i="2"/>
  <c r="AL116" i="2"/>
  <c r="AM116" i="2" s="1"/>
  <c r="E125" i="2"/>
  <c r="F125" i="2"/>
  <c r="B380" i="2"/>
  <c r="AL144" i="2"/>
  <c r="AN144" i="2" s="1"/>
  <c r="E144" i="2"/>
  <c r="F144" i="2"/>
  <c r="G144" i="2"/>
  <c r="B408" i="2"/>
  <c r="B511" i="2"/>
  <c r="AL247" i="2"/>
  <c r="AM247" i="2" s="1"/>
  <c r="D247" i="2"/>
  <c r="AL248" i="2"/>
  <c r="AN248" i="2" s="1"/>
  <c r="AL246" i="2"/>
  <c r="AM246" i="2" s="1"/>
  <c r="D246" i="2"/>
  <c r="E246" i="2" s="1"/>
  <c r="B510" i="2"/>
  <c r="L23" i="6"/>
  <c r="L24" i="6"/>
  <c r="L25" i="6"/>
  <c r="L26" i="6"/>
  <c r="L27" i="6"/>
  <c r="A23" i="6"/>
  <c r="A24" i="6"/>
  <c r="A25" i="6" s="1"/>
  <c r="A26" i="6" s="1"/>
  <c r="A27" i="6" s="1"/>
  <c r="A20" i="6"/>
  <c r="L20" i="6"/>
  <c r="L21" i="6" s="1"/>
  <c r="L22" i="6" s="1"/>
  <c r="A21" i="6"/>
  <c r="A22" i="6"/>
  <c r="L10" i="6"/>
  <c r="L11" i="6" s="1"/>
  <c r="L12" i="6" s="1"/>
  <c r="L13" i="6" s="1"/>
  <c r="L14" i="6" s="1"/>
  <c r="L15" i="6" s="1"/>
  <c r="L16" i="6" s="1"/>
  <c r="L17" i="6" s="1"/>
  <c r="L18" i="6" s="1"/>
  <c r="L19" i="6" s="1"/>
  <c r="A10" i="6"/>
  <c r="A11" i="6" s="1"/>
  <c r="A12" i="6" s="1"/>
  <c r="A13" i="6" s="1"/>
  <c r="A14" i="6" s="1"/>
  <c r="A15" i="6" s="1"/>
  <c r="A16" i="6" s="1"/>
  <c r="A17" i="6" s="1"/>
  <c r="A18" i="6" s="1"/>
  <c r="A19" i="6" s="1"/>
  <c r="A3" i="6"/>
  <c r="A2" i="6"/>
  <c r="A1" i="6"/>
  <c r="AL14" i="2"/>
  <c r="AN14" i="2" s="1"/>
  <c r="AJ14" i="2"/>
  <c r="G14" i="2"/>
  <c r="F14" i="2"/>
  <c r="E14" i="2"/>
  <c r="F107" i="2"/>
  <c r="G107" i="2"/>
  <c r="E107" i="2"/>
  <c r="AL164" i="2"/>
  <c r="AM164" i="2" s="1"/>
  <c r="R274" i="2"/>
  <c r="R275" i="2" s="1"/>
  <c r="R276" i="2" s="1"/>
  <c r="R277" i="2" s="1"/>
  <c r="R278" i="2" s="1"/>
  <c r="R279" i="2" s="1"/>
  <c r="R280" i="2" s="1"/>
  <c r="R281" i="2" s="1"/>
  <c r="R282" i="2" s="1"/>
  <c r="R283" i="2" s="1"/>
  <c r="R284" i="2" s="1"/>
  <c r="R285" i="2" s="1"/>
  <c r="R286" i="2" s="1"/>
  <c r="R287" i="2" s="1"/>
  <c r="R288" i="2" s="1"/>
  <c r="R289" i="2" s="1"/>
  <c r="R290" i="2" s="1"/>
  <c r="R291" i="2" s="1"/>
  <c r="R292" i="2" s="1"/>
  <c r="R293" i="2" s="1"/>
  <c r="R294" i="2" s="1"/>
  <c r="R295" i="2" s="1"/>
  <c r="R296" i="2" s="1"/>
  <c r="R297" i="2" s="1"/>
  <c r="R298" i="2" s="1"/>
  <c r="R299" i="2" s="1"/>
  <c r="R300" i="2" s="1"/>
  <c r="R301" i="2" s="1"/>
  <c r="R302" i="2" s="1"/>
  <c r="R303" i="2" s="1"/>
  <c r="R304" i="2" s="1"/>
  <c r="R305" i="2" s="1"/>
  <c r="R306" i="2" s="1"/>
  <c r="R307" i="2" s="1"/>
  <c r="R308" i="2" s="1"/>
  <c r="R309" i="2" s="1"/>
  <c r="R310" i="2" s="1"/>
  <c r="R311" i="2" s="1"/>
  <c r="R312" i="2" s="1"/>
  <c r="R313" i="2" s="1"/>
  <c r="R314" i="2" s="1"/>
  <c r="R315" i="2" s="1"/>
  <c r="R316" i="2" s="1"/>
  <c r="R317" i="2" s="1"/>
  <c r="R318" i="2" s="1"/>
  <c r="R319" i="2" s="1"/>
  <c r="R320" i="2" s="1"/>
  <c r="R321" i="2" s="1"/>
  <c r="R322" i="2" s="1"/>
  <c r="R323" i="2" s="1"/>
  <c r="R324" i="2" s="1"/>
  <c r="R325" i="2" s="1"/>
  <c r="R326" i="2" s="1"/>
  <c r="R327" i="2" s="1"/>
  <c r="R328" i="2" s="1"/>
  <c r="R329" i="2" s="1"/>
  <c r="R330" i="2" s="1"/>
  <c r="R331" i="2" s="1"/>
  <c r="R332" i="2" s="1"/>
  <c r="R333" i="2" s="1"/>
  <c r="R334" i="2" s="1"/>
  <c r="R335" i="2" s="1"/>
  <c r="R336" i="2" s="1"/>
  <c r="R337" i="2" s="1"/>
  <c r="R338" i="2" s="1"/>
  <c r="R339" i="2" s="1"/>
  <c r="R340" i="2" s="1"/>
  <c r="R341" i="2" s="1"/>
  <c r="R342" i="2" s="1"/>
  <c r="R343" i="2" s="1"/>
  <c r="R344" i="2" s="1"/>
  <c r="R345" i="2" s="1"/>
  <c r="R346" i="2" s="1"/>
  <c r="R347" i="2" s="1"/>
  <c r="R348" i="2" s="1"/>
  <c r="R349" i="2" s="1"/>
  <c r="R350" i="2" s="1"/>
  <c r="R351" i="2" s="1"/>
  <c r="R352" i="2" s="1"/>
  <c r="R353" i="2" s="1"/>
  <c r="R354" i="2" s="1"/>
  <c r="R355" i="2" s="1"/>
  <c r="R356" i="2" s="1"/>
  <c r="R357" i="2" s="1"/>
  <c r="R358" i="2" s="1"/>
  <c r="R359" i="2" s="1"/>
  <c r="R360" i="2" s="1"/>
  <c r="R361" i="2" s="1"/>
  <c r="R362" i="2" s="1"/>
  <c r="R363" i="2" s="1"/>
  <c r="R364" i="2" s="1"/>
  <c r="R365" i="2" s="1"/>
  <c r="R366" i="2" s="1"/>
  <c r="R367" i="2" s="1"/>
  <c r="R368" i="2" s="1"/>
  <c r="R369" i="2" s="1"/>
  <c r="R370" i="2" s="1"/>
  <c r="R371" i="2" s="1"/>
  <c r="R372" i="2" s="1"/>
  <c r="R373" i="2" s="1"/>
  <c r="R374" i="2" s="1"/>
  <c r="R375" i="2" s="1"/>
  <c r="R376" i="2" s="1"/>
  <c r="R377" i="2" s="1"/>
  <c r="R378" i="2" s="1"/>
  <c r="R379" i="2" s="1"/>
  <c r="R380" i="2" s="1"/>
  <c r="R381" i="2" s="1"/>
  <c r="R382" i="2" s="1"/>
  <c r="R383" i="2" s="1"/>
  <c r="R384" i="2" s="1"/>
  <c r="R385" i="2" s="1"/>
  <c r="R386" i="2" s="1"/>
  <c r="R387" i="2" s="1"/>
  <c r="R388" i="2" s="1"/>
  <c r="R389" i="2" s="1"/>
  <c r="R390" i="2" s="1"/>
  <c r="R391" i="2" s="1"/>
  <c r="R392" i="2" s="1"/>
  <c r="R393" i="2" s="1"/>
  <c r="R394" i="2" s="1"/>
  <c r="R395" i="2" s="1"/>
  <c r="R396" i="2" s="1"/>
  <c r="R397" i="2" s="1"/>
  <c r="R398" i="2" s="1"/>
  <c r="R399" i="2" s="1"/>
  <c r="R400" i="2" s="1"/>
  <c r="R10" i="2"/>
  <c r="R11" i="2" s="1"/>
  <c r="R12" i="2" s="1"/>
  <c r="R13" i="2" s="1"/>
  <c r="R14" i="2" s="1"/>
  <c r="R15" i="2" s="1"/>
  <c r="R16" i="2" s="1"/>
  <c r="R17" i="2" s="1"/>
  <c r="R18" i="2" s="1"/>
  <c r="R19" i="2" s="1"/>
  <c r="R20" i="2" s="1"/>
  <c r="R21" i="2" s="1"/>
  <c r="R22" i="2" s="1"/>
  <c r="R23" i="2" s="1"/>
  <c r="R24" i="2" s="1"/>
  <c r="R25" i="2" s="1"/>
  <c r="R26" i="2" s="1"/>
  <c r="R27" i="2" s="1"/>
  <c r="R28" i="2" s="1"/>
  <c r="R29" i="2" s="1"/>
  <c r="R30" i="2" s="1"/>
  <c r="R31" i="2" s="1"/>
  <c r="R32" i="2" s="1"/>
  <c r="R33" i="2" s="1"/>
  <c r="R34" i="2" s="1"/>
  <c r="R35" i="2" s="1"/>
  <c r="R36" i="2" s="1"/>
  <c r="R37" i="2" s="1"/>
  <c r="R38" i="2" s="1"/>
  <c r="R39" i="2" s="1"/>
  <c r="R40" i="2" s="1"/>
  <c r="R41" i="2" s="1"/>
  <c r="R42" i="2" s="1"/>
  <c r="R43" i="2" s="1"/>
  <c r="R44" i="2" s="1"/>
  <c r="R45" i="2" s="1"/>
  <c r="R46" i="2" s="1"/>
  <c r="R47" i="2" s="1"/>
  <c r="R48" i="2" s="1"/>
  <c r="R49" i="2" s="1"/>
  <c r="R50" i="2" s="1"/>
  <c r="R51" i="2" s="1"/>
  <c r="R52" i="2" s="1"/>
  <c r="R53" i="2" s="1"/>
  <c r="R54" i="2" s="1"/>
  <c r="R55" i="2" s="1"/>
  <c r="R56" i="2" s="1"/>
  <c r="R57" i="2" s="1"/>
  <c r="R58" i="2" s="1"/>
  <c r="R59" i="2" s="1"/>
  <c r="R60" i="2" s="1"/>
  <c r="R61" i="2" s="1"/>
  <c r="R62" i="2" s="1"/>
  <c r="R63" i="2" s="1"/>
  <c r="R64" i="2" s="1"/>
  <c r="R65" i="2" s="1"/>
  <c r="R66" i="2" s="1"/>
  <c r="R67" i="2" s="1"/>
  <c r="R68" i="2" s="1"/>
  <c r="R69" i="2" s="1"/>
  <c r="R70" i="2" s="1"/>
  <c r="R71" i="2" s="1"/>
  <c r="R72" i="2" s="1"/>
  <c r="R73" i="2" s="1"/>
  <c r="R74" i="2" s="1"/>
  <c r="R75" i="2" s="1"/>
  <c r="R76" i="2" s="1"/>
  <c r="R77" i="2" s="1"/>
  <c r="R78" i="2" s="1"/>
  <c r="R79" i="2" s="1"/>
  <c r="R80" i="2" s="1"/>
  <c r="R81" i="2" s="1"/>
  <c r="R82" i="2" s="1"/>
  <c r="R83" i="2" s="1"/>
  <c r="R84" i="2" s="1"/>
  <c r="R85" i="2" s="1"/>
  <c r="R86" i="2" s="1"/>
  <c r="R87" i="2" s="1"/>
  <c r="R88" i="2" s="1"/>
  <c r="R89" i="2" s="1"/>
  <c r="R90" i="2" s="1"/>
  <c r="R91" i="2" s="1"/>
  <c r="R92" i="2" s="1"/>
  <c r="R93" i="2" s="1"/>
  <c r="R94" i="2" s="1"/>
  <c r="R95" i="2" s="1"/>
  <c r="R96" i="2" s="1"/>
  <c r="R97" i="2" s="1"/>
  <c r="R98" i="2" s="1"/>
  <c r="R99" i="2" s="1"/>
  <c r="R100" i="2" s="1"/>
  <c r="R101" i="2" s="1"/>
  <c r="R102" i="2" s="1"/>
  <c r="R103" i="2" s="1"/>
  <c r="R104" i="2" s="1"/>
  <c r="R105" i="2" s="1"/>
  <c r="R106" i="2" s="1"/>
  <c r="R107" i="2" s="1"/>
  <c r="R108" i="2" s="1"/>
  <c r="R109" i="2" s="1"/>
  <c r="R110" i="2" s="1"/>
  <c r="R111" i="2" s="1"/>
  <c r="R112" i="2" s="1"/>
  <c r="R113" i="2" s="1"/>
  <c r="R114" i="2" s="1"/>
  <c r="R115" i="2" s="1"/>
  <c r="R116" i="2" s="1"/>
  <c r="R117" i="2" s="1"/>
  <c r="R118" i="2" s="1"/>
  <c r="R119" i="2" s="1"/>
  <c r="R120" i="2" s="1"/>
  <c r="R121" i="2" s="1"/>
  <c r="R122" i="2" s="1"/>
  <c r="R123" i="2" s="1"/>
  <c r="R124" i="2" s="1"/>
  <c r="R125" i="2" s="1"/>
  <c r="R126" i="2" s="1"/>
  <c r="R127" i="2" s="1"/>
  <c r="R128" i="2" s="1"/>
  <c r="R129" i="2" s="1"/>
  <c r="R130" i="2" s="1"/>
  <c r="R131" i="2" s="1"/>
  <c r="R132" i="2" s="1"/>
  <c r="R133" i="2" s="1"/>
  <c r="R134" i="2" s="1"/>
  <c r="R135" i="2" s="1"/>
  <c r="R136" i="2" s="1"/>
  <c r="R401" i="2" l="1"/>
  <c r="R402" i="2" s="1"/>
  <c r="R403" i="2" s="1"/>
  <c r="R404" i="2" s="1"/>
  <c r="R405" i="2" s="1"/>
  <c r="R406" i="2" s="1"/>
  <c r="R407" i="2" s="1"/>
  <c r="R408" i="2" s="1"/>
  <c r="R409" i="2" s="1"/>
  <c r="R410" i="2" s="1"/>
  <c r="R411" i="2" s="1"/>
  <c r="R412" i="2" s="1"/>
  <c r="R413" i="2" s="1"/>
  <c r="R414" i="2" s="1"/>
  <c r="R415" i="2" s="1"/>
  <c r="R416" i="2" s="1"/>
  <c r="R417" i="2" s="1"/>
  <c r="R418" i="2" s="1"/>
  <c r="R419" i="2" s="1"/>
  <c r="R420" i="2" s="1"/>
  <c r="R421" i="2" s="1"/>
  <c r="R422" i="2" s="1"/>
  <c r="R423" i="2" s="1"/>
  <c r="R424" i="2" s="1"/>
  <c r="R425" i="2" s="1"/>
  <c r="R426" i="2" s="1"/>
  <c r="R427" i="2" s="1"/>
  <c r="R428" i="2" s="1"/>
  <c r="R429" i="2" s="1"/>
  <c r="R430" i="2" s="1"/>
  <c r="R431" i="2" s="1"/>
  <c r="R432" i="2" s="1"/>
  <c r="R433" i="2" s="1"/>
  <c r="R434" i="2" s="1"/>
  <c r="R435" i="2" s="1"/>
  <c r="R436" i="2" s="1"/>
  <c r="R437" i="2" s="1"/>
  <c r="R438" i="2" s="1"/>
  <c r="R439" i="2" s="1"/>
  <c r="R440" i="2" s="1"/>
  <c r="R441" i="2" s="1"/>
  <c r="R442" i="2" s="1"/>
  <c r="R443" i="2" s="1"/>
  <c r="R444" i="2" s="1"/>
  <c r="R445" i="2" s="1"/>
  <c r="R446" i="2" s="1"/>
  <c r="R447" i="2" s="1"/>
  <c r="R448" i="2" s="1"/>
  <c r="R449" i="2" s="1"/>
  <c r="R450" i="2" s="1"/>
  <c r="R451" i="2" s="1"/>
  <c r="R452" i="2" s="1"/>
  <c r="R453" i="2" s="1"/>
  <c r="R454" i="2" s="1"/>
  <c r="R455" i="2" s="1"/>
  <c r="R137" i="2"/>
  <c r="R138" i="2" s="1"/>
  <c r="R139" i="2" s="1"/>
  <c r="R140" i="2" s="1"/>
  <c r="R141" i="2" s="1"/>
  <c r="R142" i="2" s="1"/>
  <c r="R143" i="2" s="1"/>
  <c r="R144" i="2" s="1"/>
  <c r="R145" i="2" s="1"/>
  <c r="R146" i="2" s="1"/>
  <c r="R147" i="2" s="1"/>
  <c r="R148" i="2" s="1"/>
  <c r="R149" i="2" s="1"/>
  <c r="R150" i="2" s="1"/>
  <c r="R151" i="2" s="1"/>
  <c r="R152" i="2" s="1"/>
  <c r="R153" i="2" s="1"/>
  <c r="R154" i="2" s="1"/>
  <c r="R155" i="2" s="1"/>
  <c r="R156" i="2" s="1"/>
  <c r="R157" i="2" s="1"/>
  <c r="R158" i="2" s="1"/>
  <c r="R159" i="2" s="1"/>
  <c r="R160" i="2" s="1"/>
  <c r="R161" i="2" s="1"/>
  <c r="R162" i="2" s="1"/>
  <c r="R163" i="2" s="1"/>
  <c r="R164" i="2" s="1"/>
  <c r="R165" i="2" s="1"/>
  <c r="R166" i="2" s="1"/>
  <c r="R167" i="2" s="1"/>
  <c r="R168" i="2" s="1"/>
  <c r="R169" i="2" s="1"/>
  <c r="R170" i="2" s="1"/>
  <c r="R171" i="2" s="1"/>
  <c r="R172" i="2" s="1"/>
  <c r="R173" i="2" s="1"/>
  <c r="R174" i="2" s="1"/>
  <c r="R175" i="2" s="1"/>
  <c r="R176" i="2" s="1"/>
  <c r="R177" i="2" s="1"/>
  <c r="R178" i="2" s="1"/>
  <c r="R179" i="2" s="1"/>
  <c r="R180" i="2" s="1"/>
  <c r="R181" i="2" s="1"/>
  <c r="R182" i="2" s="1"/>
  <c r="R183" i="2" s="1"/>
  <c r="R184" i="2" s="1"/>
  <c r="R185" i="2" s="1"/>
  <c r="R186" i="2" s="1"/>
  <c r="R187" i="2" s="1"/>
  <c r="R188" i="2" s="1"/>
  <c r="R189" i="2" s="1"/>
  <c r="R190" i="2" s="1"/>
  <c r="R191" i="2" s="1"/>
  <c r="K18" i="10"/>
  <c r="K10" i="10"/>
  <c r="P43" i="7"/>
  <c r="D9" i="10"/>
  <c r="E9" i="10" s="1"/>
  <c r="AN191" i="2"/>
  <c r="AM210" i="2"/>
  <c r="S86" i="9"/>
  <c r="S87" i="9" s="1"/>
  <c r="S88" i="9" s="1"/>
  <c r="S89" i="9" s="1"/>
  <c r="S90" i="9" s="1"/>
  <c r="S91" i="9" s="1"/>
  <c r="S92" i="9" s="1"/>
  <c r="S93" i="9" s="1"/>
  <c r="S94" i="9" s="1"/>
  <c r="S95" i="9" s="1"/>
  <c r="S96" i="9" s="1"/>
  <c r="S97" i="9" s="1"/>
  <c r="S98" i="9" s="1"/>
  <c r="S99" i="9" s="1"/>
  <c r="S100" i="9" s="1"/>
  <c r="I18" i="10"/>
  <c r="H9" i="10"/>
  <c r="I10" i="10"/>
  <c r="J68" i="10"/>
  <c r="E247" i="2"/>
  <c r="N27" i="7"/>
  <c r="P27" i="7" s="1"/>
  <c r="P26" i="7" s="1"/>
  <c r="A40" i="8"/>
  <c r="A41" i="8" s="1"/>
  <c r="A42" i="8" s="1"/>
  <c r="A43" i="8" s="1"/>
  <c r="A44" i="8" s="1"/>
  <c r="A45" i="8" s="1"/>
  <c r="A46" i="8" s="1"/>
  <c r="A47" i="8" s="1"/>
  <c r="A48" i="8" s="1"/>
  <c r="A49" i="8" s="1"/>
  <c r="A50" i="8" s="1"/>
  <c r="AB40" i="8"/>
  <c r="AB41" i="8" s="1"/>
  <c r="AB42" i="8" s="1"/>
  <c r="AB43" i="8" s="1"/>
  <c r="AB44" i="8" s="1"/>
  <c r="AB45" i="8" s="1"/>
  <c r="AB46" i="8" s="1"/>
  <c r="AB47" i="8" s="1"/>
  <c r="AB48" i="8" s="1"/>
  <c r="AB49" i="8" s="1"/>
  <c r="AB50" i="8" s="1"/>
  <c r="AB51" i="8" s="1"/>
  <c r="AM12" i="2"/>
  <c r="AN116" i="2"/>
  <c r="AN246" i="2"/>
  <c r="AN164" i="2"/>
  <c r="AM144" i="2"/>
  <c r="AS14" i="2"/>
  <c r="AP14" i="2" s="1"/>
  <c r="AN247" i="2"/>
  <c r="AM248" i="2"/>
  <c r="AM14" i="2"/>
  <c r="AM149" i="2"/>
  <c r="G149" i="2"/>
  <c r="F149" i="2"/>
  <c r="E149" i="2"/>
  <c r="B413" i="2"/>
  <c r="B281" i="2"/>
  <c r="E17" i="2"/>
  <c r="AL101" i="2"/>
  <c r="AM101" i="2" s="1"/>
  <c r="O101" i="2"/>
  <c r="B365" i="2"/>
  <c r="K258" i="2"/>
  <c r="D258" i="2"/>
  <c r="E258" i="2" s="1"/>
  <c r="B522" i="2"/>
  <c r="AL112" i="2"/>
  <c r="AN112" i="2" s="1"/>
  <c r="B375" i="2"/>
  <c r="B376" i="2"/>
  <c r="E112" i="2"/>
  <c r="F112" i="2"/>
  <c r="G106" i="2"/>
  <c r="G109" i="2"/>
  <c r="AL104" i="2"/>
  <c r="AM104" i="2" s="1"/>
  <c r="B368" i="2"/>
  <c r="G104" i="2"/>
  <c r="E104" i="2"/>
  <c r="F104" i="2"/>
  <c r="B366" i="2"/>
  <c r="I40" i="3"/>
  <c r="I46" i="3"/>
  <c r="I47" i="3"/>
  <c r="I48" i="3"/>
  <c r="Q39" i="3"/>
  <c r="P39" i="3"/>
  <c r="B79" i="3"/>
  <c r="P35" i="3"/>
  <c r="Q35" i="3"/>
  <c r="E46" i="3"/>
  <c r="F46" i="3"/>
  <c r="G46" i="3"/>
  <c r="H46" i="3"/>
  <c r="J46" i="3"/>
  <c r="K46" i="3"/>
  <c r="L46" i="3"/>
  <c r="P46" i="3"/>
  <c r="D47" i="3"/>
  <c r="E47" i="3"/>
  <c r="F47" i="3"/>
  <c r="G47" i="3"/>
  <c r="H47" i="3"/>
  <c r="J47" i="3"/>
  <c r="K47" i="3"/>
  <c r="O47" i="3"/>
  <c r="P47" i="3"/>
  <c r="D48" i="3"/>
  <c r="E48" i="3"/>
  <c r="F48" i="3"/>
  <c r="G48" i="3"/>
  <c r="H48" i="3"/>
  <c r="J48" i="3"/>
  <c r="K48" i="3"/>
  <c r="L48" i="3"/>
  <c r="M48" i="3"/>
  <c r="N48" i="3"/>
  <c r="O48" i="3"/>
  <c r="P48" i="3"/>
  <c r="Q48" i="3"/>
  <c r="C47" i="3"/>
  <c r="C46" i="3"/>
  <c r="B68" i="3"/>
  <c r="B69" i="3"/>
  <c r="B70" i="3"/>
  <c r="B71" i="3"/>
  <c r="B72" i="3"/>
  <c r="B73" i="3"/>
  <c r="B74" i="3"/>
  <c r="B75" i="3"/>
  <c r="B76" i="3"/>
  <c r="B77" i="3"/>
  <c r="B78" i="3"/>
  <c r="B80" i="3"/>
  <c r="B81" i="3"/>
  <c r="B50" i="3"/>
  <c r="B51" i="3"/>
  <c r="B52" i="3"/>
  <c r="B53" i="3"/>
  <c r="B54" i="3"/>
  <c r="B55" i="3"/>
  <c r="B56" i="3"/>
  <c r="B57" i="3"/>
  <c r="B58" i="3"/>
  <c r="B59" i="3"/>
  <c r="B60" i="3"/>
  <c r="B61" i="3"/>
  <c r="B62" i="3"/>
  <c r="B63" i="3"/>
  <c r="B64" i="3"/>
  <c r="B65" i="3"/>
  <c r="B66" i="3"/>
  <c r="B67" i="3"/>
  <c r="B49" i="3"/>
  <c r="E131" i="2"/>
  <c r="F131" i="2"/>
  <c r="AJ127" i="2"/>
  <c r="AJ107" i="2"/>
  <c r="AJ109" i="2"/>
  <c r="AJ106" i="2"/>
  <c r="AJ105" i="2"/>
  <c r="N130" i="2"/>
  <c r="L391" i="2"/>
  <c r="L392" i="2"/>
  <c r="AL128" i="2"/>
  <c r="AM128" i="2" s="1"/>
  <c r="AJ130" i="2"/>
  <c r="AL127" i="2"/>
  <c r="AM127" i="2" s="1"/>
  <c r="L11" i="2"/>
  <c r="K11" i="2"/>
  <c r="S128" i="2"/>
  <c r="AJ128" i="2"/>
  <c r="E128" i="2"/>
  <c r="F128" i="2"/>
  <c r="AJ11" i="2"/>
  <c r="B392" i="2"/>
  <c r="AJ80" i="2"/>
  <c r="AL3" i="2"/>
  <c r="AM3" i="2" s="1"/>
  <c r="AL4" i="2"/>
  <c r="AN4" i="2" s="1"/>
  <c r="AL103" i="2"/>
  <c r="AM103" i="2" s="1"/>
  <c r="AL131" i="2"/>
  <c r="AM131" i="2" s="1"/>
  <c r="B359" i="2"/>
  <c r="AL95" i="2"/>
  <c r="AM95" i="2" s="1"/>
  <c r="E95" i="2"/>
  <c r="B407" i="2"/>
  <c r="AL143" i="2"/>
  <c r="AN143" i="2" s="1"/>
  <c r="E143" i="2"/>
  <c r="F143" i="2"/>
  <c r="G143" i="2"/>
  <c r="B349" i="2"/>
  <c r="E85" i="2"/>
  <c r="F85" i="2"/>
  <c r="G85" i="2"/>
  <c r="AL85" i="2"/>
  <c r="AM85" i="2" s="1"/>
  <c r="N93" i="2"/>
  <c r="E87" i="2"/>
  <c r="E93" i="2"/>
  <c r="E94" i="2"/>
  <c r="AL87" i="2"/>
  <c r="AM87" i="2" s="1"/>
  <c r="AL88" i="2"/>
  <c r="AM88" i="2" s="1"/>
  <c r="AL93" i="2"/>
  <c r="AM93" i="2" s="1"/>
  <c r="AL94" i="2"/>
  <c r="AM94" i="2" s="1"/>
  <c r="B358" i="2"/>
  <c r="B357" i="2"/>
  <c r="B350" i="2"/>
  <c r="B351" i="2"/>
  <c r="E86" i="2"/>
  <c r="AL86" i="2"/>
  <c r="AM86" i="2" s="1"/>
  <c r="B297" i="2"/>
  <c r="AL33" i="2"/>
  <c r="AN33" i="2" s="1"/>
  <c r="B348" i="2"/>
  <c r="F84" i="2"/>
  <c r="G84" i="2"/>
  <c r="AL84" i="2"/>
  <c r="AM84" i="2" s="1"/>
  <c r="AL83" i="2"/>
  <c r="AN83" i="2" s="1"/>
  <c r="E83" i="2"/>
  <c r="F83" i="2"/>
  <c r="G83" i="2"/>
  <c r="B347" i="2"/>
  <c r="AL81" i="2"/>
  <c r="AM81" i="2" s="1"/>
  <c r="AL82" i="2"/>
  <c r="AM82" i="2" s="1"/>
  <c r="B339" i="2"/>
  <c r="AL75" i="2"/>
  <c r="AM75" i="2" s="1"/>
  <c r="G75" i="2"/>
  <c r="F75" i="2"/>
  <c r="B338" i="2"/>
  <c r="AL74" i="2"/>
  <c r="AN74" i="2" s="1"/>
  <c r="G74" i="2"/>
  <c r="F74" i="2"/>
  <c r="E74" i="2"/>
  <c r="G68" i="2"/>
  <c r="AL68" i="2"/>
  <c r="AM68" i="2" s="1"/>
  <c r="B332" i="2"/>
  <c r="AL65" i="2"/>
  <c r="AM65" i="2" s="1"/>
  <c r="AL66" i="2"/>
  <c r="AM66" i="2" s="1"/>
  <c r="AL67" i="2"/>
  <c r="AM67" i="2" s="1"/>
  <c r="H67" i="2"/>
  <c r="AP80" i="2"/>
  <c r="B418" i="2"/>
  <c r="B335" i="2"/>
  <c r="AL72" i="2"/>
  <c r="D36" i="1"/>
  <c r="E36" i="1"/>
  <c r="F36" i="1"/>
  <c r="G36" i="1"/>
  <c r="H36" i="1"/>
  <c r="I36" i="1"/>
  <c r="J36" i="1"/>
  <c r="K36" i="1"/>
  <c r="D37" i="1"/>
  <c r="E37" i="1"/>
  <c r="F37" i="1"/>
  <c r="G37" i="1"/>
  <c r="H37" i="1"/>
  <c r="I37" i="1"/>
  <c r="J37" i="1"/>
  <c r="K37" i="1"/>
  <c r="C37" i="1"/>
  <c r="C36" i="1"/>
  <c r="AL58" i="2"/>
  <c r="AM58" i="2" s="1"/>
  <c r="AL59" i="2"/>
  <c r="AM59" i="2" s="1"/>
  <c r="AL183" i="2"/>
  <c r="AN183" i="2" s="1"/>
  <c r="AL184" i="2"/>
  <c r="AN184" i="2" s="1"/>
  <c r="AL186" i="2"/>
  <c r="AM186" i="2" s="1"/>
  <c r="AL195" i="2"/>
  <c r="AM195" i="2" s="1"/>
  <c r="AL197" i="2"/>
  <c r="AM197" i="2" s="1"/>
  <c r="AL201" i="2"/>
  <c r="AM201" i="2" s="1"/>
  <c r="AL28" i="2"/>
  <c r="AM28" i="2" s="1"/>
  <c r="AL29" i="2"/>
  <c r="AM29" i="2" s="1"/>
  <c r="AL30" i="2"/>
  <c r="AM30" i="2" s="1"/>
  <c r="AL31" i="2"/>
  <c r="AM31" i="2" s="1"/>
  <c r="AL32" i="2"/>
  <c r="AM32" i="2" s="1"/>
  <c r="AL34" i="2"/>
  <c r="AM34" i="2" s="1"/>
  <c r="AL35" i="2"/>
  <c r="AM35" i="2" s="1"/>
  <c r="AL36" i="2"/>
  <c r="AM36" i="2" s="1"/>
  <c r="AL41" i="2"/>
  <c r="AN41" i="2" s="1"/>
  <c r="AL39" i="2"/>
  <c r="AM39" i="2" s="1"/>
  <c r="AL142" i="2"/>
  <c r="AN142" i="2" s="1"/>
  <c r="AL154" i="2"/>
  <c r="AM154" i="2" s="1"/>
  <c r="AL160" i="2"/>
  <c r="AM160" i="2" s="1"/>
  <c r="AL163" i="2"/>
  <c r="AM163" i="2" s="1"/>
  <c r="AL165" i="2"/>
  <c r="AM165" i="2" s="1"/>
  <c r="G154" i="2"/>
  <c r="F154" i="2"/>
  <c r="E154" i="2"/>
  <c r="B127" i="2"/>
  <c r="B391" i="2" s="1"/>
  <c r="C127" i="2"/>
  <c r="G127" i="2"/>
  <c r="H127" i="2"/>
  <c r="I127" i="2"/>
  <c r="J127" i="2"/>
  <c r="O127" i="2"/>
  <c r="S127" i="2"/>
  <c r="B371" i="2"/>
  <c r="D521" i="2"/>
  <c r="D520" i="2"/>
  <c r="G80" i="2"/>
  <c r="F80" i="2"/>
  <c r="E80" i="2"/>
  <c r="AL80" i="2"/>
  <c r="AM80" i="2" s="1"/>
  <c r="B344" i="2"/>
  <c r="J255" i="2"/>
  <c r="I255" i="2"/>
  <c r="H255" i="2"/>
  <c r="E254" i="2"/>
  <c r="B521" i="2"/>
  <c r="AL255" i="2"/>
  <c r="AM255" i="2" s="1"/>
  <c r="AL254" i="2"/>
  <c r="AN254" i="2" s="1"/>
  <c r="B518" i="2"/>
  <c r="B519" i="2"/>
  <c r="B520" i="2"/>
  <c r="AL126" i="2"/>
  <c r="AM126" i="2" s="1"/>
  <c r="B395" i="2"/>
  <c r="B374" i="2"/>
  <c r="B436" i="2"/>
  <c r="B489" i="2"/>
  <c r="K223" i="2"/>
  <c r="K222" i="2"/>
  <c r="AL222" i="2" s="1"/>
  <c r="AL109" i="2"/>
  <c r="AM109" i="2" s="1"/>
  <c r="B486" i="2"/>
  <c r="AG88" i="2"/>
  <c r="B394" i="2"/>
  <c r="AL13" i="2"/>
  <c r="AM13" i="2" s="1"/>
  <c r="AL10" i="2"/>
  <c r="AM10" i="2" s="1"/>
  <c r="AL130" i="2"/>
  <c r="F130" i="2"/>
  <c r="B373" i="2"/>
  <c r="B278" i="2"/>
  <c r="AG252" i="2"/>
  <c r="AG251" i="2"/>
  <c r="K260" i="2"/>
  <c r="AL260" i="2" s="1"/>
  <c r="B524" i="2"/>
  <c r="E260" i="2"/>
  <c r="B523" i="2"/>
  <c r="E259" i="2"/>
  <c r="AL253" i="2"/>
  <c r="AM253" i="2" s="1"/>
  <c r="K259" i="2"/>
  <c r="AL259" i="2" s="1"/>
  <c r="E244" i="2"/>
  <c r="D245" i="2"/>
  <c r="E245" i="2" s="1"/>
  <c r="A3" i="2"/>
  <c r="A3" i="4"/>
  <c r="B3" i="3"/>
  <c r="F6" i="2"/>
  <c r="G6" i="2" s="1"/>
  <c r="H6" i="2" s="1"/>
  <c r="I6" i="2" s="1"/>
  <c r="J6" i="2" s="1"/>
  <c r="A1" i="5"/>
  <c r="AG234" i="2"/>
  <c r="AG233" i="2"/>
  <c r="A1" i="4"/>
  <c r="A1" i="2"/>
  <c r="B1" i="3"/>
  <c r="A2" i="4"/>
  <c r="K9" i="10" l="1"/>
  <c r="L11" i="10" s="1"/>
  <c r="R192" i="2"/>
  <c r="R193" i="2" s="1"/>
  <c r="R194" i="2" s="1"/>
  <c r="R195" i="2" s="1"/>
  <c r="R196" i="2" s="1"/>
  <c r="R197" i="2" s="1"/>
  <c r="R198" i="2" s="1"/>
  <c r="R199" i="2" s="1"/>
  <c r="R200" i="2" s="1"/>
  <c r="R201" i="2" s="1"/>
  <c r="R202" i="2" s="1"/>
  <c r="R203" i="2" s="1"/>
  <c r="R204" i="2" s="1"/>
  <c r="R205" i="2" s="1"/>
  <c r="R206" i="2" s="1"/>
  <c r="R207" i="2" s="1"/>
  <c r="R208" i="2" s="1"/>
  <c r="R209" i="2" s="1"/>
  <c r="R210" i="2" s="1"/>
  <c r="R211" i="2" s="1"/>
  <c r="R212" i="2" s="1"/>
  <c r="R213" i="2" s="1"/>
  <c r="R214" i="2" s="1"/>
  <c r="R215" i="2" s="1"/>
  <c r="R216" i="2" s="1"/>
  <c r="R217" i="2" s="1"/>
  <c r="R218" i="2" s="1"/>
  <c r="R219" i="2" s="1"/>
  <c r="R220" i="2" s="1"/>
  <c r="R221" i="2" s="1"/>
  <c r="R222" i="2" s="1"/>
  <c r="R223" i="2" s="1"/>
  <c r="R224" i="2" s="1"/>
  <c r="R225" i="2" s="1"/>
  <c r="R226" i="2" s="1"/>
  <c r="R227" i="2" s="1"/>
  <c r="R228" i="2" s="1"/>
  <c r="R229" i="2" s="1"/>
  <c r="R230" i="2" s="1"/>
  <c r="R231" i="2" s="1"/>
  <c r="R232" i="2" s="1"/>
  <c r="R233" i="2" s="1"/>
  <c r="R234" i="2" s="1"/>
  <c r="R235" i="2" s="1"/>
  <c r="R236" i="2" s="1"/>
  <c r="R237" i="2" s="1"/>
  <c r="R238" i="2" s="1"/>
  <c r="R239" i="2" s="1"/>
  <c r="R240" i="2" s="1"/>
  <c r="R241" i="2" s="1"/>
  <c r="R242" i="2" s="1"/>
  <c r="R243" i="2" s="1"/>
  <c r="R244" i="2" s="1"/>
  <c r="R245" i="2" s="1"/>
  <c r="R246" i="2" s="1"/>
  <c r="R247" i="2" s="1"/>
  <c r="R248" i="2" s="1"/>
  <c r="R249" i="2" s="1"/>
  <c r="R250" i="2" s="1"/>
  <c r="R251" i="2" s="1"/>
  <c r="R252" i="2" s="1"/>
  <c r="R253" i="2" s="1"/>
  <c r="R254" i="2" s="1"/>
  <c r="R255" i="2" s="1"/>
  <c r="R256" i="2" s="1"/>
  <c r="R257" i="2" s="1"/>
  <c r="R258" i="2" s="1"/>
  <c r="R259" i="2" s="1"/>
  <c r="R260" i="2" s="1"/>
  <c r="R261" i="2" s="1"/>
  <c r="R262" i="2" s="1"/>
  <c r="R263" i="2" s="1"/>
  <c r="R264" i="2" s="1"/>
  <c r="R265" i="2" s="1"/>
  <c r="R456" i="2"/>
  <c r="R457" i="2" s="1"/>
  <c r="R458" i="2" s="1"/>
  <c r="R459" i="2" s="1"/>
  <c r="R460" i="2" s="1"/>
  <c r="R461" i="2" s="1"/>
  <c r="R462" i="2" s="1"/>
  <c r="R463" i="2" s="1"/>
  <c r="R464" i="2" s="1"/>
  <c r="R465" i="2" s="1"/>
  <c r="R466" i="2" s="1"/>
  <c r="R467" i="2" s="1"/>
  <c r="R468" i="2" s="1"/>
  <c r="R469" i="2" s="1"/>
  <c r="R470" i="2" s="1"/>
  <c r="R471" i="2" s="1"/>
  <c r="R472" i="2" s="1"/>
  <c r="R473" i="2" s="1"/>
  <c r="R474" i="2" s="1"/>
  <c r="R475" i="2" s="1"/>
  <c r="R476" i="2" s="1"/>
  <c r="R477" i="2" s="1"/>
  <c r="R478" i="2" s="1"/>
  <c r="R479" i="2" s="1"/>
  <c r="R480" i="2" s="1"/>
  <c r="R481" i="2" s="1"/>
  <c r="R482" i="2" s="1"/>
  <c r="R483" i="2" s="1"/>
  <c r="R484" i="2" s="1"/>
  <c r="R485" i="2" s="1"/>
  <c r="R486" i="2" s="1"/>
  <c r="R487" i="2" s="1"/>
  <c r="R488" i="2" s="1"/>
  <c r="R489" i="2" s="1"/>
  <c r="R490" i="2" s="1"/>
  <c r="R491" i="2" s="1"/>
  <c r="R492" i="2" s="1"/>
  <c r="R493" i="2" s="1"/>
  <c r="R494" i="2" s="1"/>
  <c r="R495" i="2" s="1"/>
  <c r="R496" i="2" s="1"/>
  <c r="R497" i="2" s="1"/>
  <c r="R498" i="2" s="1"/>
  <c r="R499" i="2" s="1"/>
  <c r="R500" i="2" s="1"/>
  <c r="R501" i="2" s="1"/>
  <c r="R502" i="2" s="1"/>
  <c r="R503" i="2" s="1"/>
  <c r="R504" i="2" s="1"/>
  <c r="R505" i="2" s="1"/>
  <c r="R506" i="2" s="1"/>
  <c r="R507" i="2" s="1"/>
  <c r="R508" i="2" s="1"/>
  <c r="R509" i="2" s="1"/>
  <c r="R510" i="2" s="1"/>
  <c r="R511" i="2" s="1"/>
  <c r="R512" i="2" s="1"/>
  <c r="R513" i="2" s="1"/>
  <c r="R514" i="2" s="1"/>
  <c r="R515" i="2" s="1"/>
  <c r="R516" i="2" s="1"/>
  <c r="R517" i="2" s="1"/>
  <c r="R518" i="2" s="1"/>
  <c r="R519" i="2" s="1"/>
  <c r="R520" i="2" s="1"/>
  <c r="R521" i="2" s="1"/>
  <c r="R522" i="2" s="1"/>
  <c r="R523" i="2" s="1"/>
  <c r="R524" i="2" s="1"/>
  <c r="R525" i="2" s="1"/>
  <c r="R526" i="2" s="1"/>
  <c r="R527" i="2" s="1"/>
  <c r="R528" i="2" s="1"/>
  <c r="R529" i="2" s="1"/>
  <c r="J16" i="10"/>
  <c r="J15" i="10" s="1"/>
  <c r="J11" i="10"/>
  <c r="I9" i="10"/>
  <c r="J49" i="10"/>
  <c r="J65" i="10"/>
  <c r="J13" i="10"/>
  <c r="J39" i="10"/>
  <c r="J43" i="10"/>
  <c r="J24" i="10"/>
  <c r="J26" i="10"/>
  <c r="J42" i="10"/>
  <c r="J41" i="10"/>
  <c r="J34" i="10"/>
  <c r="J64" i="10"/>
  <c r="J37" i="10"/>
  <c r="J63" i="10"/>
  <c r="J23" i="10"/>
  <c r="J48" i="10"/>
  <c r="J28" i="10"/>
  <c r="J60" i="10"/>
  <c r="J62" i="10"/>
  <c r="J40" i="10"/>
  <c r="J35" i="10"/>
  <c r="J55" i="10"/>
  <c r="J54" i="10" s="1"/>
  <c r="J45" i="10"/>
  <c r="J27" i="10"/>
  <c r="J36" i="10"/>
  <c r="J38" i="10"/>
  <c r="J25" i="10"/>
  <c r="J46" i="10"/>
  <c r="J47" i="10"/>
  <c r="J44" i="10"/>
  <c r="J61" i="10"/>
  <c r="J22" i="10"/>
  <c r="J32" i="10"/>
  <c r="J31" i="10"/>
  <c r="J30" i="10"/>
  <c r="J21" i="10"/>
  <c r="J19" i="10"/>
  <c r="J12" i="10"/>
  <c r="J20" i="10"/>
  <c r="J29" i="10"/>
  <c r="S27" i="7"/>
  <c r="S26" i="7" s="1"/>
  <c r="A138" i="8"/>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N104" i="2"/>
  <c r="AN149" i="2"/>
  <c r="AN101" i="2"/>
  <c r="AM143" i="2"/>
  <c r="AN128" i="2"/>
  <c r="AM112" i="2"/>
  <c r="AL107" i="2"/>
  <c r="AS107" i="2" s="1"/>
  <c r="AP107" i="2" s="1"/>
  <c r="AN103" i="2"/>
  <c r="AS128" i="2"/>
  <c r="AP128" i="2" s="1"/>
  <c r="AS127" i="2"/>
  <c r="AP127" i="2" s="1"/>
  <c r="AS130" i="2"/>
  <c r="AP130" i="2" s="1"/>
  <c r="AS109" i="2"/>
  <c r="AP109" i="2" s="1"/>
  <c r="AL11" i="2"/>
  <c r="AM11" i="2" s="1"/>
  <c r="AN127" i="2"/>
  <c r="AN85" i="2"/>
  <c r="AN3" i="2"/>
  <c r="AM4" i="2"/>
  <c r="AN95" i="2"/>
  <c r="AN87" i="2"/>
  <c r="AN88" i="2"/>
  <c r="AM33" i="2"/>
  <c r="AN84" i="2"/>
  <c r="AN94" i="2"/>
  <c r="AN93" i="2"/>
  <c r="AM83" i="2"/>
  <c r="AN86" i="2"/>
  <c r="AN66" i="2"/>
  <c r="AN65" i="2"/>
  <c r="AM74" i="2"/>
  <c r="AN81" i="2"/>
  <c r="AN82" i="2"/>
  <c r="AN75" i="2"/>
  <c r="AN68" i="2"/>
  <c r="AN67" i="2"/>
  <c r="AM183" i="2"/>
  <c r="AN163" i="2"/>
  <c r="AM41" i="2"/>
  <c r="AN39" i="2"/>
  <c r="AN35" i="2"/>
  <c r="AN28" i="2"/>
  <c r="AM142" i="2"/>
  <c r="AN31" i="2"/>
  <c r="AN195" i="2"/>
  <c r="AN160" i="2"/>
  <c r="AN30" i="2"/>
  <c r="AN29" i="2"/>
  <c r="AN165" i="2"/>
  <c r="AM184" i="2"/>
  <c r="AN34" i="2"/>
  <c r="AN201" i="2"/>
  <c r="AN197" i="2"/>
  <c r="AN59" i="2"/>
  <c r="AN58" i="2"/>
  <c r="AN186" i="2"/>
  <c r="AN36" i="2"/>
  <c r="AN32" i="2"/>
  <c r="AN154" i="2"/>
  <c r="AN80" i="2"/>
  <c r="AN255" i="2"/>
  <c r="AM254" i="2"/>
  <c r="AN131" i="2"/>
  <c r="AN126" i="2"/>
  <c r="AM222" i="2"/>
  <c r="AN222" i="2"/>
  <c r="AN109" i="2"/>
  <c r="AN253" i="2"/>
  <c r="AM130" i="2"/>
  <c r="AN130" i="2"/>
  <c r="E130" i="2"/>
  <c r="AN10" i="2"/>
  <c r="AN13" i="2"/>
  <c r="AG253" i="2"/>
  <c r="AM260" i="2"/>
  <c r="AN260" i="2"/>
  <c r="AN259" i="2"/>
  <c r="AM259" i="2"/>
  <c r="A2" i="2"/>
  <c r="A2" i="5"/>
  <c r="B2" i="3"/>
  <c r="L46" i="10" l="1"/>
  <c r="L45" i="10"/>
  <c r="L32" i="10"/>
  <c r="L61" i="10"/>
  <c r="L35" i="10"/>
  <c r="L47" i="10"/>
  <c r="L13" i="10"/>
  <c r="L48" i="10"/>
  <c r="L24" i="10"/>
  <c r="L64" i="10"/>
  <c r="L26" i="10"/>
  <c r="L40" i="10"/>
  <c r="L62" i="10"/>
  <c r="L44" i="10"/>
  <c r="L23" i="10"/>
  <c r="L34" i="10"/>
  <c r="L33" i="10"/>
  <c r="L27" i="10"/>
  <c r="L16" i="10"/>
  <c r="L15" i="10" s="1"/>
  <c r="L43" i="10"/>
  <c r="L37" i="10"/>
  <c r="L29" i="10"/>
  <c r="L31" i="10"/>
  <c r="L28" i="10"/>
  <c r="L30" i="10"/>
  <c r="L39" i="10"/>
  <c r="L22" i="10"/>
  <c r="L63" i="10"/>
  <c r="L25" i="10"/>
  <c r="L60" i="10"/>
  <c r="L59" i="10" s="1"/>
  <c r="L49" i="10"/>
  <c r="L38" i="10"/>
  <c r="L19" i="10"/>
  <c r="L12" i="10"/>
  <c r="L55" i="10"/>
  <c r="L54" i="10" s="1"/>
  <c r="L36" i="10"/>
  <c r="L21" i="10"/>
  <c r="L42" i="10"/>
  <c r="L41" i="10"/>
  <c r="L20" i="10"/>
  <c r="L65" i="10"/>
  <c r="J10" i="10"/>
  <c r="J59" i="10"/>
  <c r="J18" i="10"/>
  <c r="AB52" i="8"/>
  <c r="AB53" i="8" s="1"/>
  <c r="AB54" i="8" s="1"/>
  <c r="AB55" i="8" s="1"/>
  <c r="AB56" i="8" s="1"/>
  <c r="AB57" i="8" s="1"/>
  <c r="AB58" i="8" s="1"/>
  <c r="AB59" i="8" s="1"/>
  <c r="AB60" i="8" s="1"/>
  <c r="AB61" i="8" s="1"/>
  <c r="AB62" i="8" s="1"/>
  <c r="AB63" i="8" s="1"/>
  <c r="AB64" i="8" s="1"/>
  <c r="AB65" i="8" s="1"/>
  <c r="AB66" i="8" s="1"/>
  <c r="AB67" i="8" s="1"/>
  <c r="AB68" i="8" s="1"/>
  <c r="AB69" i="8" s="1"/>
  <c r="AB70" i="8" s="1"/>
  <c r="AB71" i="8" s="1"/>
  <c r="AB72" i="8" s="1"/>
  <c r="AB73" i="8" s="1"/>
  <c r="AB74" i="8" s="1"/>
  <c r="AB75" i="8" s="1"/>
  <c r="AB76" i="8" s="1"/>
  <c r="AB77" i="8" s="1"/>
  <c r="AB78" i="8" s="1"/>
  <c r="AB79" i="8" s="1"/>
  <c r="AB80" i="8" s="1"/>
  <c r="AB81" i="8" s="1"/>
  <c r="AB82" i="8" s="1"/>
  <c r="AB83" i="8" s="1"/>
  <c r="A51" i="8"/>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N107" i="2"/>
  <c r="AM107" i="2"/>
  <c r="AN11" i="2"/>
  <c r="E109" i="2"/>
  <c r="F109" i="2"/>
  <c r="L10" i="10" l="1"/>
  <c r="L18" i="10"/>
  <c r="J9" i="10"/>
  <c r="Q271" i="2"/>
  <c r="Q270" i="2"/>
  <c r="AL245" i="2"/>
  <c r="AM245" i="2" s="1"/>
  <c r="B509" i="2"/>
  <c r="B512" i="2"/>
  <c r="K227" i="2"/>
  <c r="AL227" i="2" s="1"/>
  <c r="B491" i="2"/>
  <c r="P271" i="2"/>
  <c r="P270" i="2"/>
  <c r="K230" i="2"/>
  <c r="AL230" i="2" s="1"/>
  <c r="B494" i="2"/>
  <c r="K226" i="2"/>
  <c r="AL226" i="2" s="1"/>
  <c r="AM226" i="2" s="1"/>
  <c r="K228" i="2"/>
  <c r="AL228" i="2" s="1"/>
  <c r="B492" i="2"/>
  <c r="E240" i="2"/>
  <c r="AL239" i="2"/>
  <c r="AN239" i="2" s="1"/>
  <c r="AL240" i="2"/>
  <c r="AM240" i="2" s="1"/>
  <c r="B503" i="2"/>
  <c r="B504" i="2"/>
  <c r="D239" i="2"/>
  <c r="E239" i="2" s="1"/>
  <c r="AL238" i="2"/>
  <c r="AM238" i="2" s="1"/>
  <c r="E238" i="2"/>
  <c r="B502" i="2"/>
  <c r="K229" i="2"/>
  <c r="AL229" i="2" s="1"/>
  <c r="B493" i="2"/>
  <c r="B513" i="2"/>
  <c r="K249" i="2"/>
  <c r="AL249" i="2" s="1"/>
  <c r="AM249" i="2" s="1"/>
  <c r="AL244" i="2"/>
  <c r="AM244" i="2" s="1"/>
  <c r="K231" i="2"/>
  <c r="AL231" i="2" s="1"/>
  <c r="B495" i="2"/>
  <c r="AL242" i="2"/>
  <c r="AM242" i="2" s="1"/>
  <c r="D242" i="2"/>
  <c r="E242" i="2" s="1"/>
  <c r="B506" i="2"/>
  <c r="E241" i="2"/>
  <c r="AL241" i="2"/>
  <c r="AM241" i="2" s="1"/>
  <c r="B505" i="2"/>
  <c r="B439" i="2"/>
  <c r="B468" i="2"/>
  <c r="B295" i="2"/>
  <c r="E31" i="2"/>
  <c r="F31" i="2"/>
  <c r="AL167" i="2"/>
  <c r="AN167" i="2" s="1"/>
  <c r="AL166" i="2"/>
  <c r="AN166" i="2" s="1"/>
  <c r="E167" i="2"/>
  <c r="B431" i="2"/>
  <c r="AL96" i="2"/>
  <c r="AM96" i="2" s="1"/>
  <c r="AL223" i="2"/>
  <c r="AM223" i="2" s="1"/>
  <c r="E88" i="2"/>
  <c r="B341" i="2"/>
  <c r="B328" i="2"/>
  <c r="N217" i="2"/>
  <c r="L217" i="2"/>
  <c r="AL217" i="2" s="1"/>
  <c r="AM217" i="2" s="1"/>
  <c r="B481" i="2"/>
  <c r="F217" i="2"/>
  <c r="G217" i="2"/>
  <c r="AL216" i="2"/>
  <c r="AM216" i="2" s="1"/>
  <c r="B480" i="2"/>
  <c r="F216" i="2"/>
  <c r="G216" i="2"/>
  <c r="V318" i="2"/>
  <c r="V319" i="2"/>
  <c r="V317" i="2"/>
  <c r="B318" i="2"/>
  <c r="B319" i="2"/>
  <c r="F54" i="2"/>
  <c r="G54" i="2"/>
  <c r="F55" i="2"/>
  <c r="G55" i="2"/>
  <c r="AL55" i="2"/>
  <c r="AM55" i="2" s="1"/>
  <c r="AL54" i="2"/>
  <c r="AM54" i="2" s="1"/>
  <c r="AL53" i="2"/>
  <c r="AN53" i="2" s="1"/>
  <c r="F53" i="2"/>
  <c r="G53" i="2"/>
  <c r="B317" i="2"/>
  <c r="B352" i="2"/>
  <c r="B360" i="2"/>
  <c r="AL106" i="2"/>
  <c r="AS106" i="2" s="1"/>
  <c r="AP106" i="2" s="1"/>
  <c r="AL105" i="2"/>
  <c r="AS105" i="2" s="1"/>
  <c r="AP105" i="2" s="1"/>
  <c r="B370" i="2"/>
  <c r="E106" i="2"/>
  <c r="F106" i="2"/>
  <c r="G105" i="2"/>
  <c r="E105" i="2"/>
  <c r="F105" i="2"/>
  <c r="B369" i="2"/>
  <c r="B487" i="2"/>
  <c r="E223" i="2"/>
  <c r="E250" i="2"/>
  <c r="E253" i="2"/>
  <c r="G252" i="2"/>
  <c r="F252" i="2"/>
  <c r="E252" i="2"/>
  <c r="G251" i="2"/>
  <c r="F251" i="2"/>
  <c r="E251" i="2"/>
  <c r="AL252" i="2"/>
  <c r="AM252" i="2" s="1"/>
  <c r="B515" i="2"/>
  <c r="B516" i="2"/>
  <c r="AL251" i="2"/>
  <c r="AN251" i="2" s="1"/>
  <c r="B517" i="2"/>
  <c r="B514" i="2"/>
  <c r="E249" i="2"/>
  <c r="B508" i="2"/>
  <c r="K221" i="2"/>
  <c r="AL221" i="2" s="1"/>
  <c r="B485" i="2"/>
  <c r="B490" i="2"/>
  <c r="AL237" i="2"/>
  <c r="AN237" i="2" s="1"/>
  <c r="B501" i="2"/>
  <c r="B500" i="2"/>
  <c r="B434" i="2"/>
  <c r="B435" i="2"/>
  <c r="B363" i="2"/>
  <c r="B74" i="7" s="1"/>
  <c r="E237" i="2"/>
  <c r="F237" i="2"/>
  <c r="AL171" i="2"/>
  <c r="AM171" i="2" s="1"/>
  <c r="G171" i="2"/>
  <c r="F171" i="2"/>
  <c r="E171" i="2"/>
  <c r="E170" i="2"/>
  <c r="AL168" i="2"/>
  <c r="AN168" i="2" s="1"/>
  <c r="B432" i="2"/>
  <c r="B433" i="2"/>
  <c r="AL136" i="2"/>
  <c r="AM136" i="2" s="1"/>
  <c r="AL135" i="2"/>
  <c r="AM135" i="2" s="1"/>
  <c r="E135" i="2"/>
  <c r="F135" i="2"/>
  <c r="AL133" i="2"/>
  <c r="AN133" i="2" s="1"/>
  <c r="E133" i="2"/>
  <c r="F133" i="2"/>
  <c r="B400" i="2"/>
  <c r="F136" i="2"/>
  <c r="E136" i="2"/>
  <c r="B448" i="2"/>
  <c r="B449" i="2"/>
  <c r="J184" i="2"/>
  <c r="I184" i="2"/>
  <c r="H184" i="2"/>
  <c r="J195" i="2"/>
  <c r="I195" i="2"/>
  <c r="H195" i="2"/>
  <c r="B459" i="2"/>
  <c r="AL236" i="2"/>
  <c r="AN236" i="2" s="1"/>
  <c r="J236" i="2"/>
  <c r="I236" i="2"/>
  <c r="H236" i="2"/>
  <c r="B499" i="2"/>
  <c r="E235" i="2"/>
  <c r="F235" i="2"/>
  <c r="L235" i="2"/>
  <c r="AL235" i="2" s="1"/>
  <c r="AN235" i="2" s="1"/>
  <c r="AL134" i="2"/>
  <c r="AM134" i="2" s="1"/>
  <c r="E134" i="2"/>
  <c r="F134" i="2"/>
  <c r="F194" i="2"/>
  <c r="E194" i="2"/>
  <c r="AL132" i="2"/>
  <c r="AN132" i="2" s="1"/>
  <c r="E132" i="2"/>
  <c r="F132" i="2"/>
  <c r="B399" i="2"/>
  <c r="B396" i="2"/>
  <c r="B398" i="2"/>
  <c r="K232" i="2"/>
  <c r="AL232" i="2" s="1"/>
  <c r="K233" i="2"/>
  <c r="AL233" i="2" s="1"/>
  <c r="K194" i="2"/>
  <c r="B458" i="2"/>
  <c r="D234" i="2"/>
  <c r="G234" i="2" s="1"/>
  <c r="E233" i="2"/>
  <c r="F233" i="2"/>
  <c r="B497" i="2"/>
  <c r="B498" i="2"/>
  <c r="F232" i="2"/>
  <c r="E232" i="2"/>
  <c r="B496" i="2"/>
  <c r="B329" i="2"/>
  <c r="B330" i="2"/>
  <c r="B331" i="2"/>
  <c r="M73" i="2"/>
  <c r="N73" i="2"/>
  <c r="K73" i="2"/>
  <c r="AL73" i="2" s="1"/>
  <c r="AN72" i="2"/>
  <c r="AL78" i="2"/>
  <c r="AN78" i="2" s="1"/>
  <c r="L79" i="2"/>
  <c r="M79" i="2"/>
  <c r="N79" i="2"/>
  <c r="K79" i="2"/>
  <c r="I73" i="2"/>
  <c r="H73" i="2"/>
  <c r="I79" i="2"/>
  <c r="H79" i="2"/>
  <c r="B336" i="2"/>
  <c r="B337" i="2"/>
  <c r="B343" i="2"/>
  <c r="E185" i="2"/>
  <c r="F185" i="2"/>
  <c r="E186" i="2"/>
  <c r="F186" i="2"/>
  <c r="B450" i="2"/>
  <c r="E82" i="2"/>
  <c r="F82" i="2"/>
  <c r="G82" i="2"/>
  <c r="E126" i="2"/>
  <c r="F126" i="2"/>
  <c r="B390" i="2"/>
  <c r="D197" i="2"/>
  <c r="E197" i="2" s="1"/>
  <c r="B461" i="2"/>
  <c r="B472" i="2"/>
  <c r="G208" i="2"/>
  <c r="H208" i="2"/>
  <c r="AL211" i="2"/>
  <c r="AM211" i="2" s="1"/>
  <c r="F211" i="2"/>
  <c r="G211" i="2"/>
  <c r="B475" i="2"/>
  <c r="J218" i="2"/>
  <c r="I218" i="2"/>
  <c r="H218" i="2"/>
  <c r="AL218" i="2"/>
  <c r="AM218" i="2" s="1"/>
  <c r="B482" i="2"/>
  <c r="B473" i="2"/>
  <c r="G209" i="2"/>
  <c r="F209" i="2"/>
  <c r="F58" i="2"/>
  <c r="G58" i="2"/>
  <c r="B322" i="2"/>
  <c r="B320" i="2"/>
  <c r="B321" i="2"/>
  <c r="F56" i="2"/>
  <c r="G56" i="2"/>
  <c r="F57" i="2"/>
  <c r="G57" i="2"/>
  <c r="I50" i="2"/>
  <c r="F52" i="2"/>
  <c r="G52" i="2"/>
  <c r="G51" i="2"/>
  <c r="F51" i="2"/>
  <c r="B315" i="2"/>
  <c r="B316" i="2"/>
  <c r="B324" i="2"/>
  <c r="J60" i="2"/>
  <c r="I60" i="2"/>
  <c r="H60" i="2"/>
  <c r="G59" i="2"/>
  <c r="F59" i="2"/>
  <c r="E59" i="2"/>
  <c r="B323" i="2"/>
  <c r="H203" i="2"/>
  <c r="G203" i="2"/>
  <c r="B467" i="2"/>
  <c r="I166" i="2"/>
  <c r="H166" i="2"/>
  <c r="G166" i="2"/>
  <c r="B430" i="2"/>
  <c r="B428" i="2"/>
  <c r="B429" i="2"/>
  <c r="G163" i="2"/>
  <c r="F163" i="2"/>
  <c r="E163" i="2"/>
  <c r="J164" i="2"/>
  <c r="I164" i="2"/>
  <c r="H164" i="2"/>
  <c r="B427" i="2"/>
  <c r="B424" i="2"/>
  <c r="B416" i="2"/>
  <c r="G152" i="2"/>
  <c r="F152" i="2"/>
  <c r="E152" i="2"/>
  <c r="E153" i="2"/>
  <c r="B417" i="2"/>
  <c r="E151" i="2"/>
  <c r="B415" i="2"/>
  <c r="B406" i="2"/>
  <c r="G142" i="2"/>
  <c r="F142" i="2"/>
  <c r="E142" i="2"/>
  <c r="B405" i="2"/>
  <c r="E141" i="2"/>
  <c r="E201" i="2"/>
  <c r="F201" i="2"/>
  <c r="B465" i="2"/>
  <c r="E103" i="2"/>
  <c r="F103" i="2"/>
  <c r="B367" i="2"/>
  <c r="H41" i="2"/>
  <c r="L114" i="2"/>
  <c r="F115" i="2"/>
  <c r="G115" i="2"/>
  <c r="F114" i="2"/>
  <c r="G114" i="2"/>
  <c r="L115" i="2"/>
  <c r="AL115" i="2" s="1"/>
  <c r="H42" i="2"/>
  <c r="F42" i="2"/>
  <c r="G42" i="2"/>
  <c r="F41" i="2"/>
  <c r="G41" i="2"/>
  <c r="H40" i="2"/>
  <c r="F40" i="2"/>
  <c r="G40" i="2"/>
  <c r="B379" i="2"/>
  <c r="B304" i="2"/>
  <c r="B305" i="2"/>
  <c r="B306" i="2"/>
  <c r="B378" i="2"/>
  <c r="E39" i="2"/>
  <c r="F39" i="2"/>
  <c r="B303" i="2"/>
  <c r="B311" i="2"/>
  <c r="B312" i="2"/>
  <c r="B313" i="2"/>
  <c r="B314" i="2"/>
  <c r="B301" i="2"/>
  <c r="B302" i="2"/>
  <c r="B292" i="2"/>
  <c r="B293" i="2"/>
  <c r="B294" i="2"/>
  <c r="B296" i="2"/>
  <c r="B298" i="2"/>
  <c r="B299" i="2"/>
  <c r="B300" i="2"/>
  <c r="B291" i="2"/>
  <c r="B290" i="2"/>
  <c r="B289" i="2"/>
  <c r="B288" i="2"/>
  <c r="AX10" i="4"/>
  <c r="O10" i="4"/>
  <c r="BU40" i="4"/>
  <c r="BR40" i="4"/>
  <c r="BU38" i="4"/>
  <c r="BR38" i="4"/>
  <c r="BU37" i="4"/>
  <c r="BR37" i="4"/>
  <c r="BU33" i="4"/>
  <c r="BR33" i="4"/>
  <c r="BU32" i="4"/>
  <c r="BR32" i="4"/>
  <c r="BU31" i="4"/>
  <c r="BR31" i="4"/>
  <c r="BU25" i="4"/>
  <c r="BR25" i="4"/>
  <c r="BU19" i="4"/>
  <c r="BR19" i="4"/>
  <c r="BU18" i="4"/>
  <c r="BR18" i="4"/>
  <c r="BU10" i="4"/>
  <c r="BR10" i="4"/>
  <c r="BU9" i="4"/>
  <c r="BU8" i="4"/>
  <c r="BU7" i="4"/>
  <c r="BR9" i="4"/>
  <c r="BR8" i="4"/>
  <c r="BR7" i="4"/>
  <c r="BI9" i="4"/>
  <c r="BI8" i="4"/>
  <c r="BI7" i="4"/>
  <c r="AX9" i="4"/>
  <c r="AX8" i="4"/>
  <c r="AX7" i="4"/>
  <c r="AM9" i="4"/>
  <c r="AM8" i="4"/>
  <c r="AM7" i="4"/>
  <c r="AG9" i="4"/>
  <c r="AG8" i="4"/>
  <c r="AG7" i="4"/>
  <c r="AA9" i="4"/>
  <c r="AA58" i="4" s="1"/>
  <c r="AA8" i="4"/>
  <c r="AA57" i="4" s="1"/>
  <c r="AA7" i="4"/>
  <c r="AA56" i="4" s="1"/>
  <c r="U9" i="4"/>
  <c r="U58" i="4" s="1"/>
  <c r="U8" i="4"/>
  <c r="U57" i="4" s="1"/>
  <c r="U7" i="4"/>
  <c r="U56" i="4" s="1"/>
  <c r="F19" i="4"/>
  <c r="G19" i="4" s="1"/>
  <c r="N56" i="4"/>
  <c r="AF56" i="4" s="1"/>
  <c r="O56" i="4"/>
  <c r="N57" i="4"/>
  <c r="AL57" i="4" s="1"/>
  <c r="O57" i="4"/>
  <c r="N58" i="4"/>
  <c r="AF58" i="4" s="1"/>
  <c r="O58" i="4"/>
  <c r="G45" i="4"/>
  <c r="BP45" i="4" s="1"/>
  <c r="Y40" i="4"/>
  <c r="AV40" i="4" s="1"/>
  <c r="S40" i="4"/>
  <c r="M40" i="4"/>
  <c r="K58" i="4"/>
  <c r="J56" i="4"/>
  <c r="J57" i="4"/>
  <c r="J58" i="4"/>
  <c r="H58" i="4"/>
  <c r="BQ7" i="4"/>
  <c r="BS7" i="4"/>
  <c r="BT7" i="4"/>
  <c r="BV7" i="4"/>
  <c r="BQ8" i="4"/>
  <c r="BS8" i="4"/>
  <c r="BT8" i="4"/>
  <c r="BV8" i="4"/>
  <c r="BO9" i="4"/>
  <c r="BP9" i="4"/>
  <c r="BQ9" i="4"/>
  <c r="BS9" i="4"/>
  <c r="BT9" i="4"/>
  <c r="BV9" i="4"/>
  <c r="BV11" i="4"/>
  <c r="BV20" i="4"/>
  <c r="BV26" i="4"/>
  <c r="BS38" i="4"/>
  <c r="BV38" i="4"/>
  <c r="BN40" i="4"/>
  <c r="BN45" i="4"/>
  <c r="BD9" i="4"/>
  <c r="BC8" i="4"/>
  <c r="AC10" i="4"/>
  <c r="AV45" i="4"/>
  <c r="AV46" i="4" s="1"/>
  <c r="AY44" i="4"/>
  <c r="AY43" i="4"/>
  <c r="AY42" i="4"/>
  <c r="AY41" i="4"/>
  <c r="AV36" i="4"/>
  <c r="AV37" i="4"/>
  <c r="AY37" i="4"/>
  <c r="AV38" i="4"/>
  <c r="AY38" i="4"/>
  <c r="AV39" i="4"/>
  <c r="AY39" i="4"/>
  <c r="AY35" i="4"/>
  <c r="AY34" i="4"/>
  <c r="AV31" i="4"/>
  <c r="AV32" i="4"/>
  <c r="AY32" i="4"/>
  <c r="AV33" i="4"/>
  <c r="AY33" i="4"/>
  <c r="AY30" i="4"/>
  <c r="AY29" i="4"/>
  <c r="AY28" i="4"/>
  <c r="AY27" i="4"/>
  <c r="AY26" i="4"/>
  <c r="AV25" i="4"/>
  <c r="AY24" i="4"/>
  <c r="AY23" i="4"/>
  <c r="AY22" i="4"/>
  <c r="AY21" i="4"/>
  <c r="AY20" i="4"/>
  <c r="AV18" i="4"/>
  <c r="AV19" i="4"/>
  <c r="AY19" i="4"/>
  <c r="AY17" i="4"/>
  <c r="AY16" i="4"/>
  <c r="AY15" i="4"/>
  <c r="AY14" i="4"/>
  <c r="AY13" i="4"/>
  <c r="AY12" i="4"/>
  <c r="AY11" i="4"/>
  <c r="AU11" i="4"/>
  <c r="AU12" i="4"/>
  <c r="AU13" i="4"/>
  <c r="AU14" i="4"/>
  <c r="AU15" i="4"/>
  <c r="AU16" i="4"/>
  <c r="AU17" i="4"/>
  <c r="AU19" i="4"/>
  <c r="AU20" i="4"/>
  <c r="AU21" i="4"/>
  <c r="AU22" i="4"/>
  <c r="AU23" i="4"/>
  <c r="AU24" i="4"/>
  <c r="AU26" i="4"/>
  <c r="AU27" i="4"/>
  <c r="AU28" i="4"/>
  <c r="AZ28" i="4" s="1"/>
  <c r="BS28" i="4" s="1"/>
  <c r="AU29" i="4"/>
  <c r="AU30" i="4"/>
  <c r="AU32" i="4"/>
  <c r="AU33" i="4"/>
  <c r="AU34" i="4"/>
  <c r="AU35" i="4"/>
  <c r="AU37" i="4"/>
  <c r="AU38" i="4"/>
  <c r="AU39" i="4"/>
  <c r="AU41" i="4"/>
  <c r="AU42" i="4"/>
  <c r="AU43" i="4"/>
  <c r="AU44" i="4"/>
  <c r="AY10" i="4"/>
  <c r="AV10" i="4"/>
  <c r="AR8" i="4"/>
  <c r="AU10" i="4"/>
  <c r="AS9" i="4"/>
  <c r="AK10" i="4"/>
  <c r="BG10" i="4" s="1"/>
  <c r="AK4" i="4"/>
  <c r="AE4" i="4"/>
  <c r="AK45" i="4"/>
  <c r="AK46" i="4" s="1"/>
  <c r="AN44" i="4"/>
  <c r="BJ44" i="4" s="1"/>
  <c r="AJ44" i="4"/>
  <c r="AN43" i="4"/>
  <c r="BJ43" i="4" s="1"/>
  <c r="AJ43" i="4"/>
  <c r="AN42" i="4"/>
  <c r="BJ42" i="4" s="1"/>
  <c r="AJ42" i="4"/>
  <c r="BF42" i="4" s="1"/>
  <c r="AN41" i="4"/>
  <c r="BJ41" i="4" s="1"/>
  <c r="AJ41" i="4"/>
  <c r="BF41" i="4" s="1"/>
  <c r="AN39" i="4"/>
  <c r="BJ39" i="4" s="1"/>
  <c r="AK39" i="4"/>
  <c r="BG39" i="4" s="1"/>
  <c r="AJ39" i="4"/>
  <c r="AN38" i="4"/>
  <c r="BJ38" i="4" s="1"/>
  <c r="AK38" i="4"/>
  <c r="BG38" i="4" s="1"/>
  <c r="AJ38" i="4"/>
  <c r="BF38" i="4" s="1"/>
  <c r="AN37" i="4"/>
  <c r="BJ37" i="4" s="1"/>
  <c r="AK37" i="4"/>
  <c r="BG37" i="4" s="1"/>
  <c r="AJ37" i="4"/>
  <c r="AO37" i="4" s="1"/>
  <c r="AK36" i="4"/>
  <c r="BG36" i="4" s="1"/>
  <c r="AN35" i="4"/>
  <c r="BJ35" i="4" s="1"/>
  <c r="AJ35" i="4"/>
  <c r="AN34" i="4"/>
  <c r="BJ34" i="4" s="1"/>
  <c r="AJ34" i="4"/>
  <c r="AN33" i="4"/>
  <c r="BJ33" i="4" s="1"/>
  <c r="AK33" i="4"/>
  <c r="BG33" i="4" s="1"/>
  <c r="AJ33" i="4"/>
  <c r="BF33" i="4" s="1"/>
  <c r="AN32" i="4"/>
  <c r="BJ32" i="4" s="1"/>
  <c r="AK32" i="4"/>
  <c r="BG32" i="4" s="1"/>
  <c r="AJ32" i="4"/>
  <c r="BF32" i="4" s="1"/>
  <c r="AK31" i="4"/>
  <c r="BG31" i="4" s="1"/>
  <c r="AN30" i="4"/>
  <c r="BJ30" i="4" s="1"/>
  <c r="AJ30" i="4"/>
  <c r="BF30" i="4" s="1"/>
  <c r="AN29" i="4"/>
  <c r="BJ29" i="4" s="1"/>
  <c r="AJ29" i="4"/>
  <c r="BF29" i="4" s="1"/>
  <c r="AN28" i="4"/>
  <c r="BJ28" i="4" s="1"/>
  <c r="AJ28" i="4"/>
  <c r="AN27" i="4"/>
  <c r="BJ27" i="4" s="1"/>
  <c r="AJ27" i="4"/>
  <c r="BF27" i="4" s="1"/>
  <c r="AN26" i="4"/>
  <c r="BJ26" i="4" s="1"/>
  <c r="AJ26" i="4"/>
  <c r="BF26" i="4" s="1"/>
  <c r="AK25" i="4"/>
  <c r="BG25" i="4" s="1"/>
  <c r="AN24" i="4"/>
  <c r="BJ24" i="4" s="1"/>
  <c r="AJ24" i="4"/>
  <c r="AO24" i="4" s="1"/>
  <c r="AN23" i="4"/>
  <c r="BJ23" i="4" s="1"/>
  <c r="AJ23" i="4"/>
  <c r="BF23" i="4" s="1"/>
  <c r="AN22" i="4"/>
  <c r="BJ22" i="4" s="1"/>
  <c r="AJ22" i="4"/>
  <c r="AN21" i="4"/>
  <c r="BJ21" i="4" s="1"/>
  <c r="AJ21" i="4"/>
  <c r="AN20" i="4"/>
  <c r="BJ20" i="4" s="1"/>
  <c r="AJ20" i="4"/>
  <c r="BF20" i="4" s="1"/>
  <c r="AN19" i="4"/>
  <c r="BJ19" i="4" s="1"/>
  <c r="AK19" i="4"/>
  <c r="BG19" i="4" s="1"/>
  <c r="AJ19" i="4"/>
  <c r="AK18" i="4"/>
  <c r="BG18" i="4" s="1"/>
  <c r="AN17" i="4"/>
  <c r="BJ17" i="4" s="1"/>
  <c r="AJ17" i="4"/>
  <c r="BF17" i="4" s="1"/>
  <c r="AN16" i="4"/>
  <c r="BJ16" i="4" s="1"/>
  <c r="AJ16" i="4"/>
  <c r="AN15" i="4"/>
  <c r="AJ15" i="4"/>
  <c r="BF15" i="4" s="1"/>
  <c r="AN14" i="4"/>
  <c r="BJ14" i="4" s="1"/>
  <c r="AJ14" i="4"/>
  <c r="BF14" i="4" s="1"/>
  <c r="AN13" i="4"/>
  <c r="BJ13" i="4" s="1"/>
  <c r="AJ13" i="4"/>
  <c r="BF13" i="4" s="1"/>
  <c r="AN12" i="4"/>
  <c r="BJ12" i="4" s="1"/>
  <c r="AJ12" i="4"/>
  <c r="AN11" i="4"/>
  <c r="BJ11" i="4" s="1"/>
  <c r="AJ11" i="4"/>
  <c r="BF11" i="4" s="1"/>
  <c r="AN10" i="4"/>
  <c r="BJ10" i="4" s="1"/>
  <c r="AJ10" i="4"/>
  <c r="AO9" i="4"/>
  <c r="AL9" i="4"/>
  <c r="AK9" i="4"/>
  <c r="AJ9" i="4"/>
  <c r="AO8" i="4"/>
  <c r="AL8" i="4"/>
  <c r="AK8" i="4"/>
  <c r="AJ8" i="4"/>
  <c r="AO7" i="4"/>
  <c r="AN7" i="4"/>
  <c r="AL7" i="4"/>
  <c r="AK7" i="4"/>
  <c r="AJ7" i="4"/>
  <c r="AH44" i="4"/>
  <c r="AH43" i="4"/>
  <c r="AH42" i="4"/>
  <c r="AH41" i="4"/>
  <c r="AH39" i="4"/>
  <c r="AH38" i="4"/>
  <c r="AH37" i="4"/>
  <c r="AH35" i="4"/>
  <c r="AH34" i="4"/>
  <c r="AH33" i="4"/>
  <c r="AH32" i="4"/>
  <c r="AH30" i="4"/>
  <c r="AH29" i="4"/>
  <c r="AH28" i="4"/>
  <c r="AH27" i="4"/>
  <c r="AH26" i="4"/>
  <c r="AH24" i="4"/>
  <c r="AH23" i="4"/>
  <c r="AH22" i="4"/>
  <c r="AH21" i="4"/>
  <c r="AH20" i="4"/>
  <c r="AH19" i="4"/>
  <c r="AH17" i="4"/>
  <c r="AH16" i="4"/>
  <c r="AH15" i="4"/>
  <c r="AH14" i="4"/>
  <c r="AH13" i="4"/>
  <c r="AH12" i="4"/>
  <c r="AH11" i="4"/>
  <c r="AH10" i="4"/>
  <c r="AE45" i="4"/>
  <c r="AE39" i="4"/>
  <c r="AE38" i="4"/>
  <c r="AE37" i="4"/>
  <c r="AE36" i="4"/>
  <c r="AE33" i="4"/>
  <c r="AE32" i="4"/>
  <c r="AE31" i="4"/>
  <c r="AE25" i="4"/>
  <c r="AE19" i="4"/>
  <c r="AE18" i="4"/>
  <c r="AE10" i="4"/>
  <c r="AD44" i="4"/>
  <c r="AD43" i="4"/>
  <c r="AD42" i="4"/>
  <c r="AD41" i="4"/>
  <c r="AD39" i="4"/>
  <c r="AD38" i="4"/>
  <c r="AD37" i="4"/>
  <c r="AD35" i="4"/>
  <c r="AD34" i="4"/>
  <c r="AD33" i="4"/>
  <c r="AD32" i="4"/>
  <c r="AD30" i="4"/>
  <c r="AD29" i="4"/>
  <c r="AD28" i="4"/>
  <c r="AD27" i="4"/>
  <c r="AD26" i="4"/>
  <c r="AD24" i="4"/>
  <c r="AD23" i="4"/>
  <c r="AD22" i="4"/>
  <c r="AD21" i="4"/>
  <c r="AD20" i="4"/>
  <c r="AD19" i="4"/>
  <c r="AD17" i="4"/>
  <c r="AD16" i="4"/>
  <c r="AD15" i="4"/>
  <c r="AD14" i="4"/>
  <c r="AD13" i="4"/>
  <c r="AD12" i="4"/>
  <c r="AD11" i="4"/>
  <c r="AD10" i="4"/>
  <c r="Y4" i="4"/>
  <c r="Z45" i="4" s="1"/>
  <c r="X55" i="4"/>
  <c r="Y46" i="4"/>
  <c r="AC44" i="4"/>
  <c r="AC43" i="4"/>
  <c r="AC42" i="4"/>
  <c r="AC41" i="4"/>
  <c r="AC39" i="4"/>
  <c r="AC37" i="4"/>
  <c r="AB36" i="4"/>
  <c r="AB49" i="4" s="1"/>
  <c r="X36" i="4"/>
  <c r="AU36" i="4" s="1"/>
  <c r="AC35" i="4"/>
  <c r="AC34" i="4"/>
  <c r="AC33" i="4"/>
  <c r="AC32" i="4"/>
  <c r="AB31" i="4"/>
  <c r="AY31" i="4" s="1"/>
  <c r="X31" i="4"/>
  <c r="AU31" i="4" s="1"/>
  <c r="AZ31" i="4" s="1"/>
  <c r="BS31" i="4" s="1"/>
  <c r="AC30" i="4"/>
  <c r="AC29" i="4"/>
  <c r="AC28" i="4"/>
  <c r="AC27" i="4"/>
  <c r="AC26" i="4"/>
  <c r="AB25" i="4"/>
  <c r="AY25" i="4" s="1"/>
  <c r="X25" i="4"/>
  <c r="AU25" i="4" s="1"/>
  <c r="AC24" i="4"/>
  <c r="AC23" i="4"/>
  <c r="AC22" i="4"/>
  <c r="AC21" i="4"/>
  <c r="AC20" i="4"/>
  <c r="AC19" i="4"/>
  <c r="AB18" i="4"/>
  <c r="AY18" i="4" s="1"/>
  <c r="X18" i="4"/>
  <c r="AU18" i="4" s="1"/>
  <c r="AC17" i="4"/>
  <c r="AC16" i="4"/>
  <c r="AC15" i="4"/>
  <c r="AC14" i="4"/>
  <c r="AC13" i="4"/>
  <c r="AC12" i="4"/>
  <c r="AC11" i="4"/>
  <c r="AC9" i="4"/>
  <c r="AC58" i="4" s="1"/>
  <c r="Z9" i="4"/>
  <c r="Z58" i="4" s="1"/>
  <c r="Y9" i="4"/>
  <c r="Y58" i="4" s="1"/>
  <c r="X9" i="4"/>
  <c r="X58" i="4" s="1"/>
  <c r="AC8" i="4"/>
  <c r="AC57" i="4" s="1"/>
  <c r="Z8" i="4"/>
  <c r="Z57" i="4" s="1"/>
  <c r="Y8" i="4"/>
  <c r="Y57" i="4" s="1"/>
  <c r="X8" i="4"/>
  <c r="X57" i="4" s="1"/>
  <c r="AC7" i="4"/>
  <c r="AC56" i="4" s="1"/>
  <c r="AB7" i="4"/>
  <c r="AB56" i="4" s="1"/>
  <c r="Z7" i="4"/>
  <c r="Z56" i="4" s="1"/>
  <c r="Y7" i="4"/>
  <c r="Y56" i="4" s="1"/>
  <c r="X7" i="4"/>
  <c r="X56" i="4" s="1"/>
  <c r="F183" i="2"/>
  <c r="E183" i="2"/>
  <c r="J34" i="2"/>
  <c r="B447" i="2"/>
  <c r="L270" i="2"/>
  <c r="M270" i="2"/>
  <c r="N270" i="2"/>
  <c r="O270" i="2"/>
  <c r="L271" i="2"/>
  <c r="M271" i="2"/>
  <c r="N271" i="2"/>
  <c r="M272" i="2"/>
  <c r="N272" i="2"/>
  <c r="K271" i="2"/>
  <c r="K270" i="2"/>
  <c r="B346" i="2"/>
  <c r="E81" i="2"/>
  <c r="F81" i="2"/>
  <c r="G81" i="2"/>
  <c r="B345" i="2"/>
  <c r="G78" i="2"/>
  <c r="F78" i="2"/>
  <c r="E78" i="2"/>
  <c r="G72" i="2"/>
  <c r="F72" i="2"/>
  <c r="E72" i="2"/>
  <c r="B342" i="2"/>
  <c r="F100" i="2"/>
  <c r="E100" i="2"/>
  <c r="B364" i="2"/>
  <c r="H48" i="2"/>
  <c r="I48" i="2"/>
  <c r="J48" i="2"/>
  <c r="H49" i="2"/>
  <c r="I49" i="2"/>
  <c r="J49" i="2"/>
  <c r="J47" i="2"/>
  <c r="I47" i="2"/>
  <c r="H47" i="2"/>
  <c r="H50" i="2"/>
  <c r="G50" i="2"/>
  <c r="B287" i="2"/>
  <c r="B275" i="2"/>
  <c r="B277" i="2"/>
  <c r="B274" i="2"/>
  <c r="A274" i="2"/>
  <c r="A275" i="2" s="1"/>
  <c r="A276" i="2" s="1"/>
  <c r="A277" i="2" s="1"/>
  <c r="A278" i="2" s="1"/>
  <c r="A279" i="2" s="1"/>
  <c r="A280" i="2" s="1"/>
  <c r="A281" i="2" s="1"/>
  <c r="A282" i="2" s="1"/>
  <c r="A283" i="2" s="1"/>
  <c r="A284" i="2" s="1"/>
  <c r="A285" i="2" s="1"/>
  <c r="A286" i="2" s="1"/>
  <c r="A287" i="2" s="1"/>
  <c r="A288" i="2" s="1"/>
  <c r="A289" i="2" s="1"/>
  <c r="A290" i="2" s="1"/>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BC45" i="4"/>
  <c r="AR45" i="4"/>
  <c r="BE6" i="4"/>
  <c r="BP6" i="4" s="1"/>
  <c r="BC40" i="4"/>
  <c r="M4" i="4"/>
  <c r="AR40" i="4"/>
  <c r="BE9" i="4"/>
  <c r="AT9" i="4"/>
  <c r="G58" i="4"/>
  <c r="G38" i="4"/>
  <c r="BE38" i="4" s="1"/>
  <c r="G37" i="4"/>
  <c r="AT37" i="4" s="1"/>
  <c r="G10" i="4"/>
  <c r="AT10" i="4" s="1"/>
  <c r="G8" i="4"/>
  <c r="G57" i="4" s="1"/>
  <c r="G7" i="4"/>
  <c r="G56" i="4" s="1"/>
  <c r="BH9" i="4"/>
  <c r="BH8" i="4"/>
  <c r="BH7" i="4"/>
  <c r="AW9" i="4"/>
  <c r="AW8" i="4"/>
  <c r="AW7" i="4"/>
  <c r="S4" i="4"/>
  <c r="T18" i="4" s="1"/>
  <c r="AF9" i="4"/>
  <c r="AF8" i="4"/>
  <c r="AF7" i="4"/>
  <c r="T9" i="4"/>
  <c r="T58" i="4" s="1"/>
  <c r="T8" i="4"/>
  <c r="T57" i="4" s="1"/>
  <c r="T7" i="4"/>
  <c r="T56" i="4" s="1"/>
  <c r="E9" i="4"/>
  <c r="F33" i="4"/>
  <c r="G33" i="4" s="1"/>
  <c r="AT33" i="4" s="1"/>
  <c r="F32" i="4"/>
  <c r="G32" i="4" s="1"/>
  <c r="AT32" i="4" s="1"/>
  <c r="H50" i="4"/>
  <c r="F50" i="4"/>
  <c r="F18" i="4"/>
  <c r="F25" i="4" s="1"/>
  <c r="G25" i="4" s="1"/>
  <c r="AT25" i="4" s="1"/>
  <c r="F56" i="4"/>
  <c r="H56" i="4"/>
  <c r="I56" i="4"/>
  <c r="F57" i="4"/>
  <c r="H57" i="4"/>
  <c r="I57" i="4"/>
  <c r="F58" i="4"/>
  <c r="I58" i="4"/>
  <c r="BK9" i="4"/>
  <c r="BG9" i="4"/>
  <c r="BF9" i="4"/>
  <c r="BK8" i="4"/>
  <c r="BG8" i="4"/>
  <c r="BF8" i="4"/>
  <c r="BK7" i="4"/>
  <c r="BJ7" i="4"/>
  <c r="BG7" i="4"/>
  <c r="BF7" i="4"/>
  <c r="H11" i="5"/>
  <c r="H10" i="5"/>
  <c r="G11" i="5"/>
  <c r="G10" i="5"/>
  <c r="E11" i="5"/>
  <c r="D11" i="5"/>
  <c r="E10" i="5"/>
  <c r="D10" i="5"/>
  <c r="L9" i="10" l="1"/>
  <c r="A137" i="2"/>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L114" i="2"/>
  <c r="AN114" i="2" s="1"/>
  <c r="F12" i="7"/>
  <c r="A291" i="2"/>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I234" i="2"/>
  <c r="I12" i="9"/>
  <c r="J12" i="9" s="1"/>
  <c r="AL194" i="2"/>
  <c r="AN194" i="2" s="1"/>
  <c r="G56" i="7"/>
  <c r="F10" i="5"/>
  <c r="F11" i="5"/>
  <c r="AN105" i="2"/>
  <c r="AM106" i="2"/>
  <c r="AM73" i="2"/>
  <c r="AN73" i="2"/>
  <c r="AM115" i="2"/>
  <c r="AN115" i="2"/>
  <c r="AM221" i="2"/>
  <c r="AN221" i="2"/>
  <c r="J45" i="4"/>
  <c r="BO45" i="4" s="1"/>
  <c r="AN245" i="2"/>
  <c r="AN227" i="2"/>
  <c r="AM227" i="2"/>
  <c r="AG235" i="2"/>
  <c r="AM230" i="2"/>
  <c r="AN230" i="2"/>
  <c r="AN228" i="2"/>
  <c r="AM228" i="2"/>
  <c r="AM239" i="2"/>
  <c r="AN240" i="2"/>
  <c r="AN238" i="2"/>
  <c r="AM229" i="2"/>
  <c r="AN229" i="2"/>
  <c r="AN244" i="2"/>
  <c r="AN226" i="2"/>
  <c r="AN232" i="2"/>
  <c r="AM232" i="2"/>
  <c r="AM233" i="2"/>
  <c r="AN233" i="2"/>
  <c r="AM231" i="2"/>
  <c r="AN231" i="2"/>
  <c r="AN242" i="2"/>
  <c r="AN249" i="2"/>
  <c r="AN241" i="2"/>
  <c r="AM166" i="2"/>
  <c r="AM167" i="2"/>
  <c r="AN96" i="2"/>
  <c r="AN223" i="2"/>
  <c r="AN217" i="2"/>
  <c r="AN216" i="2"/>
  <c r="AN54" i="2"/>
  <c r="AN55" i="2"/>
  <c r="AM53" i="2"/>
  <c r="AM105" i="2"/>
  <c r="AN106" i="2"/>
  <c r="AM251" i="2"/>
  <c r="AN252" i="2"/>
  <c r="AM237" i="2"/>
  <c r="AN135" i="2"/>
  <c r="AN171" i="2"/>
  <c r="AM168" i="2"/>
  <c r="AN136" i="2"/>
  <c r="AM133" i="2"/>
  <c r="AM236" i="2"/>
  <c r="AM235" i="2"/>
  <c r="AL79" i="2"/>
  <c r="AN79" i="2" s="1"/>
  <c r="AN134" i="2"/>
  <c r="AM132" i="2"/>
  <c r="H234" i="2"/>
  <c r="AN211" i="2"/>
  <c r="AM72" i="2"/>
  <c r="AM78" i="2"/>
  <c r="F197" i="2"/>
  <c r="AO12" i="4"/>
  <c r="AO44" i="4"/>
  <c r="BK17" i="4"/>
  <c r="BV17" i="4" s="1"/>
  <c r="AO35" i="4"/>
  <c r="AZ23" i="4"/>
  <c r="BS23" i="4" s="1"/>
  <c r="AZ24" i="4"/>
  <c r="BS24" i="4" s="1"/>
  <c r="AO39" i="4"/>
  <c r="AZ29" i="4"/>
  <c r="BS29" i="4" s="1"/>
  <c r="AY36" i="4"/>
  <c r="AZ43" i="4"/>
  <c r="BS43" i="4" s="1"/>
  <c r="AZ15" i="4"/>
  <c r="BS15" i="4" s="1"/>
  <c r="AO19" i="4"/>
  <c r="AL56" i="4"/>
  <c r="AZ37" i="4"/>
  <c r="BS37" i="4" s="1"/>
  <c r="AI44" i="4"/>
  <c r="AZ36" i="4"/>
  <c r="BS36" i="4" s="1"/>
  <c r="AL58" i="4"/>
  <c r="AF57" i="4"/>
  <c r="AL10" i="4"/>
  <c r="AZ27" i="4"/>
  <c r="BS27" i="4" s="1"/>
  <c r="AZ11" i="4"/>
  <c r="BS11" i="4" s="1"/>
  <c r="AZ41" i="4"/>
  <c r="BS41" i="4" s="1"/>
  <c r="AZ25" i="4"/>
  <c r="BS25" i="4" s="1"/>
  <c r="AZ32" i="4"/>
  <c r="BS32" i="4" s="1"/>
  <c r="AZ22" i="4"/>
  <c r="BS22" i="4" s="1"/>
  <c r="AZ33" i="4"/>
  <c r="BS33" i="4" s="1"/>
  <c r="BF35" i="4"/>
  <c r="AO10" i="4"/>
  <c r="BF37" i="4"/>
  <c r="BK37" i="4" s="1"/>
  <c r="BV37" i="4" s="1"/>
  <c r="AZ30" i="4"/>
  <c r="BS30" i="4" s="1"/>
  <c r="AZ26" i="4"/>
  <c r="BS26" i="4" s="1"/>
  <c r="BF39" i="4"/>
  <c r="BG45" i="4"/>
  <c r="BG46" i="4" s="1"/>
  <c r="N40" i="4"/>
  <c r="AZ18" i="4"/>
  <c r="BS18" i="4" s="1"/>
  <c r="T40" i="4"/>
  <c r="AZ44" i="4"/>
  <c r="BS44" i="4" s="1"/>
  <c r="BP32" i="4"/>
  <c r="AZ19" i="4"/>
  <c r="BS19" i="4" s="1"/>
  <c r="BP33" i="4"/>
  <c r="AO21" i="4"/>
  <c r="AV4" i="4"/>
  <c r="AW40" i="4" s="1"/>
  <c r="BQ40" i="4" s="1"/>
  <c r="AO22" i="4"/>
  <c r="AZ34" i="4"/>
  <c r="BS34" i="4" s="1"/>
  <c r="AZ20" i="4"/>
  <c r="BS20" i="4" s="1"/>
  <c r="AZ42" i="4"/>
  <c r="BS42" i="4" s="1"/>
  <c r="AO43" i="4"/>
  <c r="AO28" i="4"/>
  <c r="AZ21" i="4"/>
  <c r="BS21" i="4" s="1"/>
  <c r="AO13" i="4"/>
  <c r="AZ17" i="4"/>
  <c r="BS17" i="4" s="1"/>
  <c r="BF10" i="4"/>
  <c r="BK10" i="4" s="1"/>
  <c r="BV10" i="4" s="1"/>
  <c r="AZ16" i="4"/>
  <c r="BS16" i="4" s="1"/>
  <c r="AE40" i="4"/>
  <c r="AF40" i="4" s="1"/>
  <c r="AK40" i="4"/>
  <c r="AL40" i="4" s="1"/>
  <c r="AZ35" i="4"/>
  <c r="BS35" i="4" s="1"/>
  <c r="X40" i="4"/>
  <c r="AU40" i="4" s="1"/>
  <c r="AO15" i="4"/>
  <c r="AZ10" i="4"/>
  <c r="BS10" i="4" s="1"/>
  <c r="AZ13" i="4"/>
  <c r="BS13" i="4" s="1"/>
  <c r="AZ14" i="4"/>
  <c r="BS14" i="4" s="1"/>
  <c r="AB40" i="4"/>
  <c r="AY40" i="4" s="1"/>
  <c r="AZ40" i="4" s="1"/>
  <c r="AO16" i="4"/>
  <c r="AZ12" i="4"/>
  <c r="BS12" i="4" s="1"/>
  <c r="AZ39" i="4"/>
  <c r="BS39" i="4" s="1"/>
  <c r="BF24" i="4"/>
  <c r="AO34" i="4"/>
  <c r="BF34" i="4"/>
  <c r="BK34" i="4" s="1"/>
  <c r="BV34" i="4" s="1"/>
  <c r="BF44" i="4"/>
  <c r="Z40" i="4"/>
  <c r="BF43" i="4"/>
  <c r="BF12" i="4"/>
  <c r="BK12" i="4" s="1"/>
  <c r="BV12" i="4" s="1"/>
  <c r="BF16" i="4"/>
  <c r="BP38" i="4"/>
  <c r="AO27" i="4"/>
  <c r="BF19" i="4"/>
  <c r="BP8" i="4"/>
  <c r="BP10" i="4"/>
  <c r="BP7" i="4"/>
  <c r="AO32" i="4"/>
  <c r="BF28" i="4"/>
  <c r="BG4" i="4"/>
  <c r="BH39" i="4" s="1"/>
  <c r="BT39" i="4" s="1"/>
  <c r="BJ15" i="4"/>
  <c r="BF21" i="4"/>
  <c r="BF22" i="4"/>
  <c r="BP37" i="4"/>
  <c r="AO17" i="4"/>
  <c r="BP25" i="4"/>
  <c r="AT45" i="4"/>
  <c r="BE45" i="4"/>
  <c r="BE19" i="4"/>
  <c r="BP19" i="4"/>
  <c r="AT19" i="4"/>
  <c r="AO33" i="4"/>
  <c r="AO23" i="4"/>
  <c r="AO30" i="4"/>
  <c r="AF10" i="4"/>
  <c r="AO14" i="4"/>
  <c r="AO41" i="4"/>
  <c r="AO29" i="4"/>
  <c r="AO42" i="4"/>
  <c r="AL39" i="4"/>
  <c r="AL19" i="4"/>
  <c r="AL36" i="4"/>
  <c r="AL25" i="4"/>
  <c r="AL31" i="4"/>
  <c r="AL33" i="4"/>
  <c r="AL38" i="4"/>
  <c r="AL18" i="4"/>
  <c r="AL37" i="4"/>
  <c r="AL32" i="4"/>
  <c r="AL46" i="4"/>
  <c r="AL45" i="4"/>
  <c r="AC36" i="4"/>
  <c r="AC25" i="4"/>
  <c r="X49" i="4"/>
  <c r="AC49" i="4" s="1"/>
  <c r="AC31" i="4"/>
  <c r="AC18" i="4"/>
  <c r="N32" i="4"/>
  <c r="AT38" i="4"/>
  <c r="BE7" i="4"/>
  <c r="BE8" i="4"/>
  <c r="BE10" i="4"/>
  <c r="BE25" i="4"/>
  <c r="BE32" i="4"/>
  <c r="BE33" i="4"/>
  <c r="BE37" i="4"/>
  <c r="AT7" i="4"/>
  <c r="AT8" i="4"/>
  <c r="G18" i="4"/>
  <c r="BP18" i="4" s="1"/>
  <c r="N36" i="4"/>
  <c r="N37" i="4"/>
  <c r="T45" i="4"/>
  <c r="N45" i="4"/>
  <c r="N10" i="4"/>
  <c r="N38" i="4"/>
  <c r="T31" i="4"/>
  <c r="T33" i="4"/>
  <c r="T32" i="4"/>
  <c r="T36" i="4"/>
  <c r="T38" i="4"/>
  <c r="T37" i="4"/>
  <c r="N39" i="4"/>
  <c r="N18" i="4"/>
  <c r="N19" i="4"/>
  <c r="N25" i="4"/>
  <c r="N31" i="4"/>
  <c r="N33" i="4"/>
  <c r="T19" i="4"/>
  <c r="T25" i="4"/>
  <c r="T39" i="4"/>
  <c r="T10" i="4"/>
  <c r="AZ9" i="4"/>
  <c r="AV9" i="4"/>
  <c r="AU9" i="4"/>
  <c r="AZ8" i="4"/>
  <c r="AV8" i="4"/>
  <c r="AU8" i="4"/>
  <c r="AZ7" i="4"/>
  <c r="AY7" i="4"/>
  <c r="AV7" i="4"/>
  <c r="AU7"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Q58" i="4"/>
  <c r="M58" i="4"/>
  <c r="L58" i="4"/>
  <c r="E58" i="4"/>
  <c r="D58" i="4"/>
  <c r="Q57" i="4"/>
  <c r="M57" i="4"/>
  <c r="L57" i="4"/>
  <c r="K57" i="4"/>
  <c r="E57" i="4"/>
  <c r="D57" i="4"/>
  <c r="Q56" i="4"/>
  <c r="P56" i="4"/>
  <c r="M56" i="4"/>
  <c r="L56" i="4"/>
  <c r="K56" i="4"/>
  <c r="E56" i="4"/>
  <c r="D56" i="4"/>
  <c r="R55" i="4"/>
  <c r="L55" i="4"/>
  <c r="S46" i="4"/>
  <c r="T46" i="4" s="1"/>
  <c r="M46" i="4"/>
  <c r="N46" i="4" s="1"/>
  <c r="W44" i="4"/>
  <c r="Q44" i="4"/>
  <c r="W43" i="4"/>
  <c r="Q43" i="4"/>
  <c r="BK42" i="4"/>
  <c r="BV42" i="4" s="1"/>
  <c r="W42" i="4"/>
  <c r="Q42" i="4"/>
  <c r="W41" i="4"/>
  <c r="Q41" i="4"/>
  <c r="W39" i="4"/>
  <c r="Q39" i="4"/>
  <c r="E38" i="4"/>
  <c r="J38" i="4" s="1"/>
  <c r="W37" i="4"/>
  <c r="Q37" i="4"/>
  <c r="E37" i="4"/>
  <c r="J37" i="4" s="1"/>
  <c r="AM37" i="4" s="1"/>
  <c r="V36" i="4"/>
  <c r="R36" i="4"/>
  <c r="P36" i="4"/>
  <c r="P49" i="4" s="1"/>
  <c r="L36" i="4"/>
  <c r="L49" i="4" s="1"/>
  <c r="W35" i="4"/>
  <c r="Q35" i="4"/>
  <c r="W34" i="4"/>
  <c r="Q34" i="4"/>
  <c r="W33" i="4"/>
  <c r="Q33" i="4"/>
  <c r="E33" i="4"/>
  <c r="J33" i="4" s="1"/>
  <c r="AM33" i="4" s="1"/>
  <c r="W32" i="4"/>
  <c r="Q32" i="4"/>
  <c r="E32" i="4"/>
  <c r="J32" i="4" s="1"/>
  <c r="AM32" i="4" s="1"/>
  <c r="V31" i="4"/>
  <c r="R31" i="4"/>
  <c r="P31" i="4"/>
  <c r="AN31" i="4" s="1"/>
  <c r="BJ31" i="4" s="1"/>
  <c r="L31" i="4"/>
  <c r="AJ31" i="4" s="1"/>
  <c r="BF31" i="4" s="1"/>
  <c r="E31" i="4"/>
  <c r="W30" i="4"/>
  <c r="Q30" i="4"/>
  <c r="W29" i="4"/>
  <c r="Q29" i="4"/>
  <c r="W28" i="4"/>
  <c r="Q28" i="4"/>
  <c r="W27" i="4"/>
  <c r="Q27" i="4"/>
  <c r="W26" i="4"/>
  <c r="Q26" i="4"/>
  <c r="V25" i="4"/>
  <c r="R25" i="4"/>
  <c r="P25" i="4"/>
  <c r="AN25" i="4" s="1"/>
  <c r="BJ25" i="4" s="1"/>
  <c r="L25" i="4"/>
  <c r="AJ25" i="4" s="1"/>
  <c r="BF25" i="4" s="1"/>
  <c r="E25" i="4"/>
  <c r="J25" i="4" s="1"/>
  <c r="AM25" i="4" s="1"/>
  <c r="W24" i="4"/>
  <c r="Q24" i="4"/>
  <c r="W23" i="4"/>
  <c r="Q23" i="4"/>
  <c r="W22" i="4"/>
  <c r="Q22" i="4"/>
  <c r="W21" i="4"/>
  <c r="Q21" i="4"/>
  <c r="W20" i="4"/>
  <c r="Q20" i="4"/>
  <c r="W19" i="4"/>
  <c r="Q19" i="4"/>
  <c r="V18" i="4"/>
  <c r="R18" i="4"/>
  <c r="P18" i="4"/>
  <c r="L18" i="4"/>
  <c r="E18" i="4"/>
  <c r="J18" i="4" s="1"/>
  <c r="W17" i="4"/>
  <c r="Q17" i="4"/>
  <c r="W16" i="4"/>
  <c r="Q16" i="4"/>
  <c r="W15" i="4"/>
  <c r="Q15" i="4"/>
  <c r="W14" i="4"/>
  <c r="Q14" i="4"/>
  <c r="W13" i="4"/>
  <c r="Q13" i="4"/>
  <c r="W12" i="4"/>
  <c r="Q12" i="4"/>
  <c r="W11" i="4"/>
  <c r="Q11" i="4"/>
  <c r="W10" i="4"/>
  <c r="Q10" i="4"/>
  <c r="E10" i="4"/>
  <c r="J10" i="4" s="1"/>
  <c r="AM10" i="4" s="1"/>
  <c r="AI9" i="4"/>
  <c r="AE9" i="4"/>
  <c r="AD9" i="4"/>
  <c r="W9" i="4"/>
  <c r="W58" i="4" s="1"/>
  <c r="S9" i="4"/>
  <c r="R9" i="4"/>
  <c r="R58" i="4" s="1"/>
  <c r="P9" i="4"/>
  <c r="AN9" i="4" s="1"/>
  <c r="AI8" i="4"/>
  <c r="AE8" i="4"/>
  <c r="AD8" i="4"/>
  <c r="W8" i="4"/>
  <c r="W57" i="4" s="1"/>
  <c r="S8" i="4"/>
  <c r="S57" i="4" s="1"/>
  <c r="R8" i="4"/>
  <c r="R57" i="4" s="1"/>
  <c r="P8" i="4"/>
  <c r="AI7" i="4"/>
  <c r="AH7" i="4"/>
  <c r="AE7" i="4"/>
  <c r="AD7" i="4"/>
  <c r="W7" i="4"/>
  <c r="W56" i="4" s="1"/>
  <c r="V7" i="4"/>
  <c r="V56" i="4" s="1"/>
  <c r="S7" i="4"/>
  <c r="S56" i="4" s="1"/>
  <c r="R7" i="4"/>
  <c r="R56" i="4" s="1"/>
  <c r="H26" i="3"/>
  <c r="H27" i="3" s="1"/>
  <c r="H25" i="3"/>
  <c r="Q38" i="3"/>
  <c r="P38" i="3"/>
  <c r="P10" i="3"/>
  <c r="G25" i="3"/>
  <c r="G26" i="3"/>
  <c r="G27" i="3" s="1"/>
  <c r="C25" i="3"/>
  <c r="G67" i="2"/>
  <c r="F13" i="2"/>
  <c r="F10" i="2"/>
  <c r="G28" i="2"/>
  <c r="F28" i="2"/>
  <c r="G27" i="2"/>
  <c r="H26" i="2"/>
  <c r="I26" i="2"/>
  <c r="H27" i="2"/>
  <c r="I27" i="2"/>
  <c r="H66" i="2"/>
  <c r="I66" i="2"/>
  <c r="J66" i="2"/>
  <c r="F30" i="2"/>
  <c r="F29" i="2"/>
  <c r="I65" i="2"/>
  <c r="F38" i="2"/>
  <c r="G38" i="2"/>
  <c r="G37" i="2"/>
  <c r="F37" i="2"/>
  <c r="E38" i="2"/>
  <c r="E37" i="2"/>
  <c r="H35" i="2"/>
  <c r="H36" i="2"/>
  <c r="H34" i="2"/>
  <c r="H24" i="2"/>
  <c r="H25" i="2"/>
  <c r="H23" i="2"/>
  <c r="D32" i="2"/>
  <c r="E32" i="2" s="1"/>
  <c r="E30" i="2"/>
  <c r="E29" i="2"/>
  <c r="E13" i="2"/>
  <c r="E10" i="2"/>
  <c r="I36" i="2"/>
  <c r="J36" i="2"/>
  <c r="I34" i="2"/>
  <c r="I35" i="2"/>
  <c r="J35" i="2"/>
  <c r="I25" i="2"/>
  <c r="J25" i="2"/>
  <c r="J24" i="2"/>
  <c r="J23" i="2"/>
  <c r="I24" i="2"/>
  <c r="I23" i="2"/>
  <c r="Q29" i="3"/>
  <c r="Q30" i="3" s="1"/>
  <c r="Q28" i="3"/>
  <c r="Q33" i="3"/>
  <c r="Q34" i="3"/>
  <c r="Q36" i="3"/>
  <c r="Q41" i="3"/>
  <c r="P32" i="3"/>
  <c r="Q32" i="3"/>
  <c r="O37" i="3"/>
  <c r="Q37" i="3" s="1"/>
  <c r="Q11" i="3"/>
  <c r="Q12" i="3"/>
  <c r="Q14" i="3"/>
  <c r="Q15" i="3"/>
  <c r="Q16" i="3"/>
  <c r="Q17" i="3"/>
  <c r="Q18" i="3"/>
  <c r="Q13" i="3"/>
  <c r="Q19" i="3"/>
  <c r="Q20" i="3"/>
  <c r="Q21" i="3"/>
  <c r="Q22" i="3"/>
  <c r="Q23" i="3"/>
  <c r="Q24" i="3"/>
  <c r="Q10" i="3"/>
  <c r="G4" i="3"/>
  <c r="E9" i="3" s="1"/>
  <c r="P9" i="3" s="1"/>
  <c r="S5" i="3"/>
  <c r="D9" i="3"/>
  <c r="T6" i="3"/>
  <c r="P33" i="3"/>
  <c r="P34" i="3"/>
  <c r="P36" i="3"/>
  <c r="P37" i="3"/>
  <c r="P41" i="3"/>
  <c r="P22" i="3"/>
  <c r="P20" i="3"/>
  <c r="P19" i="3"/>
  <c r="P15" i="3"/>
  <c r="P11" i="3"/>
  <c r="P12" i="3"/>
  <c r="P14" i="3"/>
  <c r="P16" i="3"/>
  <c r="P17" i="3"/>
  <c r="P18" i="3"/>
  <c r="P13" i="3"/>
  <c r="P21" i="3"/>
  <c r="P23" i="3"/>
  <c r="P24" i="3"/>
  <c r="P29" i="3"/>
  <c r="P30" i="3" s="1"/>
  <c r="P31" i="3" s="1"/>
  <c r="T25" i="3"/>
  <c r="U25" i="3"/>
  <c r="V25" i="3"/>
  <c r="T26" i="3"/>
  <c r="U26" i="3"/>
  <c r="V26" i="3"/>
  <c r="T27" i="3"/>
  <c r="U27" i="3"/>
  <c r="V27" i="3"/>
  <c r="C27" i="3"/>
  <c r="C26" i="3"/>
  <c r="D10" i="3"/>
  <c r="D12" i="3"/>
  <c r="D14" i="3"/>
  <c r="D15" i="3"/>
  <c r="D16" i="3"/>
  <c r="D17" i="3"/>
  <c r="D18" i="3"/>
  <c r="D13" i="3"/>
  <c r="D19" i="3"/>
  <c r="D20" i="3"/>
  <c r="D21" i="3"/>
  <c r="D22" i="3"/>
  <c r="D23" i="3"/>
  <c r="D24" i="3"/>
  <c r="D11" i="3"/>
  <c r="J27" i="1"/>
  <c r="F27" i="1"/>
  <c r="E27" i="1"/>
  <c r="C27" i="1"/>
  <c r="H28" i="1"/>
  <c r="I28" i="1" s="1"/>
  <c r="K28" i="1" s="1"/>
  <c r="H29" i="1"/>
  <c r="I29" i="1" s="1"/>
  <c r="K29" i="1" s="1"/>
  <c r="C9" i="1"/>
  <c r="C10" i="1" s="1"/>
  <c r="C12" i="1" s="1"/>
  <c r="C30" i="1" s="1"/>
  <c r="J9" i="1"/>
  <c r="F9" i="1"/>
  <c r="G18" i="1"/>
  <c r="G19" i="1"/>
  <c r="G20" i="1"/>
  <c r="G21" i="1"/>
  <c r="G22" i="1"/>
  <c r="G23" i="1"/>
  <c r="G24" i="1"/>
  <c r="G25" i="1"/>
  <c r="G26" i="1"/>
  <c r="G17" i="1"/>
  <c r="G16" i="1"/>
  <c r="G15" i="1"/>
  <c r="G14" i="1"/>
  <c r="E9" i="1"/>
  <c r="E10" i="1" s="1"/>
  <c r="E12" i="1" s="1"/>
  <c r="G13" i="1"/>
  <c r="G11" i="1"/>
  <c r="G8" i="1"/>
  <c r="H4" i="1"/>
  <c r="D13" i="1" s="1"/>
  <c r="A192" i="2" l="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372" i="2"/>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M114" i="2"/>
  <c r="AM194" i="2"/>
  <c r="L12" i="9"/>
  <c r="K12" i="9"/>
  <c r="AA45" i="4"/>
  <c r="H45" i="4"/>
  <c r="O45" i="4" s="1"/>
  <c r="AS45" i="4"/>
  <c r="AM45" i="4"/>
  <c r="I45" i="4"/>
  <c r="U45" i="4" s="1"/>
  <c r="BD45" i="4"/>
  <c r="E127" i="2"/>
  <c r="BU45" i="4"/>
  <c r="BR45" i="4"/>
  <c r="AM79" i="2"/>
  <c r="BH46" i="4"/>
  <c r="BT46" i="4" s="1"/>
  <c r="BG40" i="4"/>
  <c r="BH40" i="4" s="1"/>
  <c r="BT40" i="4" s="1"/>
  <c r="AM38" i="4"/>
  <c r="AM18" i="4"/>
  <c r="BH19" i="4"/>
  <c r="BT19" i="4" s="1"/>
  <c r="BH10" i="4"/>
  <c r="BT10" i="4" s="1"/>
  <c r="BH37" i="4"/>
  <c r="BT37" i="4" s="1"/>
  <c r="J19" i="4"/>
  <c r="AR7" i="4"/>
  <c r="AW38" i="4"/>
  <c r="BQ38" i="4" s="1"/>
  <c r="AW19" i="4"/>
  <c r="BQ19" i="4" s="1"/>
  <c r="AW18" i="4"/>
  <c r="BQ18" i="4" s="1"/>
  <c r="AW46" i="4"/>
  <c r="BQ46" i="4" s="1"/>
  <c r="AW33" i="4"/>
  <c r="BQ33" i="4" s="1"/>
  <c r="AW37" i="4"/>
  <c r="BQ37" i="4" s="1"/>
  <c r="AW25" i="4"/>
  <c r="BQ25" i="4" s="1"/>
  <c r="AW36" i="4"/>
  <c r="BQ36" i="4" s="1"/>
  <c r="AW32" i="4"/>
  <c r="BQ32" i="4" s="1"/>
  <c r="AW31" i="4"/>
  <c r="BQ31" i="4" s="1"/>
  <c r="AW45" i="4"/>
  <c r="BQ45" i="4" s="1"/>
  <c r="AW10" i="4"/>
  <c r="BQ10" i="4" s="1"/>
  <c r="AW39" i="4"/>
  <c r="BQ39" i="4" s="1"/>
  <c r="R40" i="4"/>
  <c r="BH25" i="4"/>
  <c r="BT25" i="4" s="1"/>
  <c r="V40" i="4"/>
  <c r="BH18" i="4"/>
  <c r="BT18" i="4" s="1"/>
  <c r="BH36" i="4"/>
  <c r="BT36" i="4" s="1"/>
  <c r="BH33" i="4"/>
  <c r="BT33" i="4" s="1"/>
  <c r="AC40" i="4"/>
  <c r="AB45" i="4" s="1"/>
  <c r="AC45" i="4" s="1"/>
  <c r="AY45" i="4"/>
  <c r="AY46" i="4" s="1"/>
  <c r="BS40" i="4"/>
  <c r="BD33" i="4"/>
  <c r="BO33" i="4"/>
  <c r="AS33" i="4"/>
  <c r="AJ18" i="4"/>
  <c r="L40" i="4"/>
  <c r="Q49" i="4"/>
  <c r="BO37" i="4"/>
  <c r="AS37" i="4"/>
  <c r="BD37" i="4"/>
  <c r="BH32" i="4"/>
  <c r="BT32" i="4" s="1"/>
  <c r="AS32" i="4"/>
  <c r="BO32" i="4"/>
  <c r="BD32" i="4"/>
  <c r="BI32" i="4" s="1"/>
  <c r="BC7" i="4"/>
  <c r="BH45" i="4"/>
  <c r="BT45" i="4" s="1"/>
  <c r="AS18" i="4"/>
  <c r="AX18" i="4" s="1"/>
  <c r="BO18" i="4"/>
  <c r="BD18" i="4"/>
  <c r="AN18" i="4"/>
  <c r="P40" i="4"/>
  <c r="BO25" i="4"/>
  <c r="BD25" i="4"/>
  <c r="AS25" i="4"/>
  <c r="AX25" i="4" s="1"/>
  <c r="AS38" i="4"/>
  <c r="AX38" i="4" s="1"/>
  <c r="BO38" i="4"/>
  <c r="BD38" i="4"/>
  <c r="BH38" i="4"/>
  <c r="BT38" i="4" s="1"/>
  <c r="AS10" i="4"/>
  <c r="BO10" i="4"/>
  <c r="BD10" i="4"/>
  <c r="BI10" i="4" s="1"/>
  <c r="BH31" i="4"/>
  <c r="BT31" i="4" s="1"/>
  <c r="AD25" i="4"/>
  <c r="AH25" i="4"/>
  <c r="V49" i="4"/>
  <c r="V51" i="4" s="1"/>
  <c r="AH36" i="4"/>
  <c r="R49" i="4"/>
  <c r="R52" i="4" s="1"/>
  <c r="AD36" i="4"/>
  <c r="AD49" i="4" s="1"/>
  <c r="AH56" i="4"/>
  <c r="AN56" i="4"/>
  <c r="AI57" i="4"/>
  <c r="AO57" i="4"/>
  <c r="AD31" i="4"/>
  <c r="AH31" i="4"/>
  <c r="AD57" i="4"/>
  <c r="AJ57" i="4"/>
  <c r="AE57" i="4"/>
  <c r="AK57" i="4"/>
  <c r="AD58" i="4"/>
  <c r="AJ58" i="4"/>
  <c r="AE56" i="4"/>
  <c r="AK56" i="4"/>
  <c r="AI56" i="4"/>
  <c r="AO56" i="4"/>
  <c r="AE58" i="4"/>
  <c r="AK58" i="4"/>
  <c r="AD56" i="4"/>
  <c r="AJ56" i="4"/>
  <c r="AI58" i="4"/>
  <c r="AO58" i="4"/>
  <c r="AN36" i="4"/>
  <c r="AD18" i="4"/>
  <c r="AH18" i="4"/>
  <c r="AB8" i="4"/>
  <c r="AB57" i="4" s="1"/>
  <c r="AN8" i="4"/>
  <c r="AJ36" i="4"/>
  <c r="BF36" i="4" s="1"/>
  <c r="AO25" i="4"/>
  <c r="AO31" i="4"/>
  <c r="BK22" i="4"/>
  <c r="BV22" i="4" s="1"/>
  <c r="I10" i="4"/>
  <c r="AG10" i="4" s="1"/>
  <c r="BK14" i="4"/>
  <c r="BV14" i="4" s="1"/>
  <c r="BK21" i="4"/>
  <c r="BV21" i="4" s="1"/>
  <c r="X51" i="4"/>
  <c r="AB9" i="4"/>
  <c r="AB58" i="4" s="1"/>
  <c r="BK39" i="4"/>
  <c r="BV39" i="4" s="1"/>
  <c r="F127" i="2"/>
  <c r="AT18" i="4"/>
  <c r="BE18" i="4"/>
  <c r="AY8" i="4"/>
  <c r="Q36" i="4"/>
  <c r="AY9" i="4"/>
  <c r="S58" i="4"/>
  <c r="AF45" i="4"/>
  <c r="Q31" i="4"/>
  <c r="AF36" i="4"/>
  <c r="AF32" i="4"/>
  <c r="AF25" i="4"/>
  <c r="AF38" i="4"/>
  <c r="AF18" i="4"/>
  <c r="AF39" i="4"/>
  <c r="AF19" i="4"/>
  <c r="AF33" i="4"/>
  <c r="AF37" i="4"/>
  <c r="AF31" i="4"/>
  <c r="W25" i="4"/>
  <c r="I18" i="4"/>
  <c r="H18" i="4"/>
  <c r="O18" i="4" s="1"/>
  <c r="I37" i="4"/>
  <c r="H37" i="4"/>
  <c r="O37" i="4" s="1"/>
  <c r="H10" i="4"/>
  <c r="I38" i="4"/>
  <c r="H38" i="4"/>
  <c r="O38" i="4" s="1"/>
  <c r="H33" i="4"/>
  <c r="O33" i="4" s="1"/>
  <c r="I33" i="4"/>
  <c r="F31" i="4"/>
  <c r="J31" i="4" s="1"/>
  <c r="AM31" i="4" s="1"/>
  <c r="I32" i="4"/>
  <c r="H32" i="4"/>
  <c r="O32" i="4" s="1"/>
  <c r="I25" i="4"/>
  <c r="H25" i="4"/>
  <c r="O25" i="4" s="1"/>
  <c r="Q25" i="4"/>
  <c r="W18" i="4"/>
  <c r="AI15" i="4"/>
  <c r="BK15" i="4"/>
  <c r="BV15" i="4" s="1"/>
  <c r="AI17" i="4"/>
  <c r="AI33" i="4"/>
  <c r="BK33" i="4"/>
  <c r="BV33" i="4" s="1"/>
  <c r="AI43" i="4"/>
  <c r="BK43" i="4"/>
  <c r="BV43" i="4" s="1"/>
  <c r="AI30" i="4"/>
  <c r="BK30" i="4"/>
  <c r="BV30" i="4" s="1"/>
  <c r="V9" i="4"/>
  <c r="V58" i="4" s="1"/>
  <c r="BJ9" i="4"/>
  <c r="AI16" i="4"/>
  <c r="BK16" i="4"/>
  <c r="BV16" i="4" s="1"/>
  <c r="AI29" i="4"/>
  <c r="BK29" i="4"/>
  <c r="BV29" i="4" s="1"/>
  <c r="BK44" i="4"/>
  <c r="BV44" i="4" s="1"/>
  <c r="AI23" i="4"/>
  <c r="BK23" i="4"/>
  <c r="BV23" i="4" s="1"/>
  <c r="AI24" i="4"/>
  <c r="BK24" i="4"/>
  <c r="BV24" i="4" s="1"/>
  <c r="AI32" i="4"/>
  <c r="BK32" i="4"/>
  <c r="BV32" i="4" s="1"/>
  <c r="AI10" i="4"/>
  <c r="AI19" i="4"/>
  <c r="BK19" i="4"/>
  <c r="BV19" i="4" s="1"/>
  <c r="AI12" i="4"/>
  <c r="AI27" i="4"/>
  <c r="BK27" i="4"/>
  <c r="BV27" i="4" s="1"/>
  <c r="AI41" i="4"/>
  <c r="BK41" i="4"/>
  <c r="BV41" i="4" s="1"/>
  <c r="AI13" i="4"/>
  <c r="BK13" i="4"/>
  <c r="BV13" i="4" s="1"/>
  <c r="AH8" i="4"/>
  <c r="BJ8" i="4"/>
  <c r="AI28" i="4"/>
  <c r="BK28" i="4"/>
  <c r="BV28" i="4" s="1"/>
  <c r="AI35" i="4"/>
  <c r="BK35" i="4"/>
  <c r="BV35" i="4" s="1"/>
  <c r="AI34" i="4"/>
  <c r="P58" i="4"/>
  <c r="AI14" i="4"/>
  <c r="AI21" i="4"/>
  <c r="AI22" i="4"/>
  <c r="AI42" i="4"/>
  <c r="AI37" i="4"/>
  <c r="AI39" i="4"/>
  <c r="V8" i="4"/>
  <c r="V57" i="4" s="1"/>
  <c r="AE46" i="4"/>
  <c r="P57" i="4"/>
  <c r="Q18" i="4"/>
  <c r="W31" i="4"/>
  <c r="W36" i="4"/>
  <c r="AH9" i="4"/>
  <c r="Q25" i="3"/>
  <c r="P25" i="3"/>
  <c r="N25" i="3" s="1"/>
  <c r="D25" i="3"/>
  <c r="Q9" i="3"/>
  <c r="J65" i="2"/>
  <c r="H65" i="2"/>
  <c r="F32" i="2"/>
  <c r="F17" i="3"/>
  <c r="K17" i="3" s="1"/>
  <c r="J9" i="3"/>
  <c r="F16" i="3"/>
  <c r="K16" i="3" s="1"/>
  <c r="F11" i="3"/>
  <c r="F24" i="3"/>
  <c r="K24" i="3" s="1"/>
  <c r="F22" i="3"/>
  <c r="K22" i="3" s="1"/>
  <c r="F9" i="3"/>
  <c r="F23" i="3"/>
  <c r="K23" i="3" s="1"/>
  <c r="F20" i="3"/>
  <c r="K20" i="3" s="1"/>
  <c r="F10" i="3"/>
  <c r="K10" i="3" s="1"/>
  <c r="F13" i="3"/>
  <c r="K13" i="3" s="1"/>
  <c r="F14" i="3"/>
  <c r="K14" i="3" s="1"/>
  <c r="F18" i="3"/>
  <c r="K18" i="3" s="1"/>
  <c r="F19" i="3"/>
  <c r="K19" i="3" s="1"/>
  <c r="F12" i="3"/>
  <c r="K12" i="3" s="1"/>
  <c r="F21" i="3"/>
  <c r="K21" i="3" s="1"/>
  <c r="F15" i="3"/>
  <c r="K15" i="3" s="1"/>
  <c r="P26" i="3"/>
  <c r="N26" i="3" s="1"/>
  <c r="P27" i="3"/>
  <c r="N27" i="3" s="1"/>
  <c r="D26" i="3"/>
  <c r="D27" i="3"/>
  <c r="E12" i="3"/>
  <c r="J12" i="3" s="1"/>
  <c r="E23" i="3"/>
  <c r="J23" i="3" s="1"/>
  <c r="E18" i="3"/>
  <c r="J18" i="3" s="1"/>
  <c r="E11" i="3"/>
  <c r="E24" i="3"/>
  <c r="J24" i="3" s="1"/>
  <c r="E13" i="3"/>
  <c r="J13" i="3" s="1"/>
  <c r="E19" i="3"/>
  <c r="J19" i="3" s="1"/>
  <c r="E14" i="3"/>
  <c r="J14" i="3" s="1"/>
  <c r="E20" i="3"/>
  <c r="J20" i="3" s="1"/>
  <c r="E15" i="3"/>
  <c r="J15" i="3" s="1"/>
  <c r="E21" i="3"/>
  <c r="J21" i="3" s="1"/>
  <c r="E10" i="3"/>
  <c r="E16" i="3"/>
  <c r="J16" i="3" s="1"/>
  <c r="E22" i="3"/>
  <c r="J22" i="3" s="1"/>
  <c r="E17" i="3"/>
  <c r="J17" i="3" s="1"/>
  <c r="D18" i="1"/>
  <c r="H30" i="1"/>
  <c r="I30" i="1" s="1"/>
  <c r="D22" i="1"/>
  <c r="D21" i="1"/>
  <c r="D20" i="1"/>
  <c r="D26" i="1"/>
  <c r="D25" i="1"/>
  <c r="D24" i="1"/>
  <c r="D23" i="1"/>
  <c r="D19" i="1"/>
  <c r="D27" i="1"/>
  <c r="G27" i="1"/>
  <c r="H27" i="1" s="1"/>
  <c r="I27" i="1" s="1"/>
  <c r="K27" i="1" s="1"/>
  <c r="D16" i="1"/>
  <c r="D11" i="1"/>
  <c r="D15" i="1"/>
  <c r="D30" i="1"/>
  <c r="D17" i="1"/>
  <c r="D12" i="1"/>
  <c r="D10" i="1"/>
  <c r="D9" i="1"/>
  <c r="D14" i="1"/>
  <c r="H11" i="1"/>
  <c r="I11" i="1" s="1"/>
  <c r="K11" i="1" s="1"/>
  <c r="H18" i="1"/>
  <c r="I18" i="1" s="1"/>
  <c r="K18" i="1" s="1"/>
  <c r="H20" i="1"/>
  <c r="I20" i="1" s="1"/>
  <c r="K20" i="1" s="1"/>
  <c r="H19" i="1"/>
  <c r="I19" i="1" s="1"/>
  <c r="K19" i="1" s="1"/>
  <c r="H13" i="1"/>
  <c r="I13" i="1" s="1"/>
  <c r="K13" i="1" s="1"/>
  <c r="H14" i="1"/>
  <c r="I14" i="1" s="1"/>
  <c r="K14" i="1" s="1"/>
  <c r="H16" i="1"/>
  <c r="I16" i="1" s="1"/>
  <c r="K16" i="1" s="1"/>
  <c r="H17" i="1"/>
  <c r="I17" i="1" s="1"/>
  <c r="K17" i="1" s="1"/>
  <c r="H15" i="1"/>
  <c r="I15" i="1" s="1"/>
  <c r="K15" i="1" s="1"/>
  <c r="H8" i="1"/>
  <c r="I8" i="1" s="1"/>
  <c r="K8" i="1" s="1"/>
  <c r="H25" i="1"/>
  <c r="I25" i="1" s="1"/>
  <c r="K25" i="1" s="1"/>
  <c r="H23" i="1"/>
  <c r="I23" i="1" s="1"/>
  <c r="K23" i="1" s="1"/>
  <c r="H21" i="1"/>
  <c r="I21" i="1" s="1"/>
  <c r="K21" i="1" s="1"/>
  <c r="H24" i="1"/>
  <c r="I24" i="1" s="1"/>
  <c r="K24" i="1" s="1"/>
  <c r="G9" i="1"/>
  <c r="H9" i="1" s="1"/>
  <c r="I9" i="1" s="1"/>
  <c r="K9" i="1" s="1"/>
  <c r="H26" i="1"/>
  <c r="I26" i="1" s="1"/>
  <c r="K26" i="1" s="1"/>
  <c r="H22" i="1"/>
  <c r="I22" i="1" s="1"/>
  <c r="K22" i="1" s="1"/>
  <c r="J10" i="1"/>
  <c r="F10" i="1"/>
  <c r="A403" i="2" l="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01" i="2"/>
  <c r="A402" i="2" s="1"/>
  <c r="AG45" i="4"/>
  <c r="H31" i="1"/>
  <c r="I31" i="1" s="1"/>
  <c r="I32" i="1" s="1"/>
  <c r="BI33" i="4"/>
  <c r="AX45" i="4"/>
  <c r="BI45" i="4"/>
  <c r="BI25" i="4"/>
  <c r="BI37" i="4"/>
  <c r="BI38" i="4"/>
  <c r="BI18" i="4"/>
  <c r="AM19" i="4"/>
  <c r="BO19" i="4"/>
  <c r="BD19" i="4"/>
  <c r="BI19" i="4" s="1"/>
  <c r="AS19" i="4"/>
  <c r="AX19" i="4" s="1"/>
  <c r="AX37" i="4"/>
  <c r="AX33" i="4"/>
  <c r="AX32" i="4"/>
  <c r="U25" i="4"/>
  <c r="AG25" i="4"/>
  <c r="U18" i="4"/>
  <c r="AG18" i="4"/>
  <c r="U33" i="4"/>
  <c r="AG33" i="4"/>
  <c r="U32" i="4"/>
  <c r="AG32" i="4"/>
  <c r="U38" i="4"/>
  <c r="AG38" i="4"/>
  <c r="U37" i="4"/>
  <c r="AG37" i="4"/>
  <c r="I19" i="4"/>
  <c r="U10" i="4"/>
  <c r="AO18" i="4"/>
  <c r="W49" i="4"/>
  <c r="R51" i="4"/>
  <c r="X52" i="4"/>
  <c r="H19" i="4"/>
  <c r="O19" i="4" s="1"/>
  <c r="V52" i="4"/>
  <c r="W52" i="4" s="1"/>
  <c r="W40" i="4"/>
  <c r="AS31" i="4"/>
  <c r="AX31" i="4" s="1"/>
  <c r="BD31" i="4"/>
  <c r="BI31" i="4" s="1"/>
  <c r="BO31" i="4"/>
  <c r="J40" i="4"/>
  <c r="AN40" i="4"/>
  <c r="BJ40" i="4" s="1"/>
  <c r="BJ18" i="4"/>
  <c r="Q40" i="4"/>
  <c r="P45" i="4" s="1"/>
  <c r="BF18" i="4"/>
  <c r="BK18" i="4" s="1"/>
  <c r="BV18" i="4" s="1"/>
  <c r="AJ40" i="4"/>
  <c r="AD40" i="4"/>
  <c r="AH40" i="4"/>
  <c r="AN49" i="4"/>
  <c r="BJ36" i="4"/>
  <c r="AH58" i="4"/>
  <c r="AN58" i="4"/>
  <c r="AH57" i="4"/>
  <c r="AN57" i="4"/>
  <c r="AJ49" i="4"/>
  <c r="AO49" i="4" s="1"/>
  <c r="AO36" i="4"/>
  <c r="AB51" i="4"/>
  <c r="AB52" i="4"/>
  <c r="Z39" i="4"/>
  <c r="Z25" i="4"/>
  <c r="AA25" i="4" s="1"/>
  <c r="Z37" i="4"/>
  <c r="AA37" i="4" s="1"/>
  <c r="Z18" i="4"/>
  <c r="AA18" i="4" s="1"/>
  <c r="Z36" i="4"/>
  <c r="Z32" i="4"/>
  <c r="AA32" i="4" s="1"/>
  <c r="Z31" i="4"/>
  <c r="AA31" i="4" s="1"/>
  <c r="Z46" i="4"/>
  <c r="Z19" i="4"/>
  <c r="AA19" i="4" s="1"/>
  <c r="Z33" i="4"/>
  <c r="AA33" i="4" s="1"/>
  <c r="Z10" i="4"/>
  <c r="AA10" i="4" s="1"/>
  <c r="Z38" i="4"/>
  <c r="AA38" i="4" s="1"/>
  <c r="AB46" i="4"/>
  <c r="AC46" i="4" s="1"/>
  <c r="BK31" i="4"/>
  <c r="BV31" i="4" s="1"/>
  <c r="AH49" i="4"/>
  <c r="AI49" i="4" s="1"/>
  <c r="H31" i="4"/>
  <c r="G31" i="4"/>
  <c r="AF46" i="4"/>
  <c r="I31" i="4"/>
  <c r="AG31" i="4" s="1"/>
  <c r="AI25" i="4"/>
  <c r="BK25" i="4"/>
  <c r="BV25" i="4" s="1"/>
  <c r="AI36" i="4"/>
  <c r="AI31" i="4"/>
  <c r="AI18" i="4"/>
  <c r="J10" i="3"/>
  <c r="E26" i="3"/>
  <c r="O25" i="3"/>
  <c r="Q26" i="3"/>
  <c r="O26" i="3" s="1"/>
  <c r="Q27" i="3"/>
  <c r="O27" i="3" s="1"/>
  <c r="J11" i="3"/>
  <c r="E25" i="3"/>
  <c r="J25" i="3" s="1"/>
  <c r="K11" i="3"/>
  <c r="F25" i="3"/>
  <c r="K25" i="3" s="1"/>
  <c r="E27" i="3"/>
  <c r="J12" i="1"/>
  <c r="G10" i="1"/>
  <c r="F12" i="1"/>
  <c r="A456" i="2" l="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A40" i="4"/>
  <c r="AM40" i="4"/>
  <c r="U19" i="4"/>
  <c r="AG19" i="4"/>
  <c r="AC52" i="4"/>
  <c r="I40" i="4"/>
  <c r="U31" i="4"/>
  <c r="AI40" i="4"/>
  <c r="H40" i="4"/>
  <c r="O40" i="4" s="1"/>
  <c r="O31" i="4"/>
  <c r="BP31" i="4"/>
  <c r="G40" i="4"/>
  <c r="AO40" i="4"/>
  <c r="AN45" i="4" s="1"/>
  <c r="AN46" i="4" s="1"/>
  <c r="AO46" i="4" s="1"/>
  <c r="BF40" i="4"/>
  <c r="BK40" i="4" s="1"/>
  <c r="BO40" i="4"/>
  <c r="BD40" i="4"/>
  <c r="BI40" i="4" s="1"/>
  <c r="AS40" i="4"/>
  <c r="AX40" i="4" s="1"/>
  <c r="BK36" i="4"/>
  <c r="BV36" i="4" s="1"/>
  <c r="AT31" i="4"/>
  <c r="BE31" i="4"/>
  <c r="V45" i="4"/>
  <c r="V46" i="4" s="1"/>
  <c r="W46" i="4" s="1"/>
  <c r="AZ45" i="4"/>
  <c r="BS45" i="4" s="1"/>
  <c r="P46" i="4"/>
  <c r="Q46" i="4" s="1"/>
  <c r="Q45" i="4"/>
  <c r="J26" i="3"/>
  <c r="Q31" i="3"/>
  <c r="J27" i="3"/>
  <c r="K9" i="3"/>
  <c r="F26" i="3"/>
  <c r="K26" i="3" s="1"/>
  <c r="F27" i="3"/>
  <c r="K27" i="3" s="1"/>
  <c r="H10" i="1"/>
  <c r="I10" i="1" s="1"/>
  <c r="K10" i="1" s="1"/>
  <c r="G12" i="1"/>
  <c r="H12" i="1" s="1"/>
  <c r="I12" i="1" s="1"/>
  <c r="K12" i="1" s="1"/>
  <c r="U40" i="4" l="1"/>
  <c r="AG40" i="4"/>
  <c r="AO45" i="4"/>
  <c r="AT40" i="4"/>
  <c r="BE40" i="4"/>
  <c r="BP40" i="4"/>
  <c r="BJ45" i="4"/>
  <c r="BK45" i="4" s="1"/>
  <c r="BV45" i="4" s="1"/>
  <c r="BV40" i="4"/>
  <c r="W45" i="4"/>
  <c r="AZ46" i="4"/>
  <c r="BS46" i="4" s="1"/>
  <c r="AH45" i="4"/>
  <c r="BJ46" i="4" l="1"/>
  <c r="BK46" i="4" s="1"/>
  <c r="BV46" i="4" s="1"/>
  <c r="AH46" i="4"/>
  <c r="AI45" i="4"/>
  <c r="AI46" i="4" l="1"/>
  <c r="M11" i="2" l="1"/>
  <c r="H63" i="8" l="1"/>
  <c r="I70" i="10" s="1"/>
  <c r="P9" i="7"/>
  <c r="S9" i="7"/>
</calcChain>
</file>

<file path=xl/sharedStrings.xml><?xml version="1.0" encoding="utf-8"?>
<sst xmlns="http://schemas.openxmlformats.org/spreadsheetml/2006/main" count="12499" uniqueCount="2949">
  <si>
    <t>European Union</t>
  </si>
  <si>
    <t>Germany</t>
  </si>
  <si>
    <t>UK</t>
  </si>
  <si>
    <t>Poland</t>
  </si>
  <si>
    <t>Norway</t>
  </si>
  <si>
    <t>Denmark</t>
  </si>
  <si>
    <t>Sweden</t>
  </si>
  <si>
    <t>USA</t>
  </si>
  <si>
    <t>Annualized</t>
  </si>
  <si>
    <t>Bilateral aid not including US</t>
  </si>
  <si>
    <t>Total non US aid</t>
  </si>
  <si>
    <t>Japan</t>
  </si>
  <si>
    <t>Canada</t>
  </si>
  <si>
    <t>Switzerland</t>
  </si>
  <si>
    <t>France</t>
  </si>
  <si>
    <t>Military, financial &amp; humanitary aid</t>
  </si>
  <si>
    <t>Finland</t>
  </si>
  <si>
    <t>Czech Republic</t>
  </si>
  <si>
    <t>Italy</t>
  </si>
  <si>
    <t>Netherlands</t>
  </si>
  <si>
    <t>including refugees</t>
  </si>
  <si>
    <t>Sources</t>
  </si>
  <si>
    <t>Jan. 24, 2022 to Oct.31 2023</t>
  </si>
  <si>
    <t>Latest annual</t>
  </si>
  <si>
    <t>Calc</t>
  </si>
  <si>
    <t>https://www.ifw-kiel.de/topics/war-against-ukraine/ukraine-support-tracker/</t>
  </si>
  <si>
    <t xml:space="preserve">#ofYears </t>
  </si>
  <si>
    <t>Exchange rate</t>
  </si>
  <si>
    <t>1 USD =</t>
  </si>
  <si>
    <t>Euro</t>
  </si>
  <si>
    <t>Source</t>
  </si>
  <si>
    <t>https://www.xe.com/currencyconverter/convert/?Amount=1&amp;From=USD&amp;To=EUR</t>
  </si>
  <si>
    <t>Date 13 february 2024</t>
  </si>
  <si>
    <t>in % GDP</t>
  </si>
  <si>
    <t>-</t>
  </si>
  <si>
    <t>calc</t>
  </si>
  <si>
    <t>https://tradingeconomics.com/united-states/gdp</t>
  </si>
  <si>
    <t>https://tradingeconomics.com/germany/gdp</t>
  </si>
  <si>
    <t>https://tradingeconomics.com/united-kingdom/gdp</t>
  </si>
  <si>
    <t>https://tradingeconomics.com/norway/gdp</t>
  </si>
  <si>
    <t>https://tradingeconomics.com/japan/gdp</t>
  </si>
  <si>
    <t xml:space="preserve">European Union </t>
  </si>
  <si>
    <t>https://tradingeconomics.com/canada/gdp</t>
  </si>
  <si>
    <t>https://tradingeconomics.com/poland/gdp</t>
  </si>
  <si>
    <t>https://tradingeconomics.com/netherlands/gdp</t>
  </si>
  <si>
    <t>https://tradingeconomics.com/denmark/gdp</t>
  </si>
  <si>
    <t>Russia military spending</t>
  </si>
  <si>
    <t>https://tradingeconomics.com/sweden/gdp</t>
  </si>
  <si>
    <t>https://tradingeconomics.com/switzerland/gdp</t>
  </si>
  <si>
    <t>https://tradingeconomics.com/france/gdp</t>
  </si>
  <si>
    <t>https://tradingeconomics.com/finland/gdp</t>
  </si>
  <si>
    <t>https://tradingeconomics.com/czech-republic/gdp</t>
  </si>
  <si>
    <t>https://tradingeconomics.com/italy/gdp</t>
  </si>
  <si>
    <t>https://en.wikipedia.org/wiki/Military_budget_of_Russia</t>
  </si>
  <si>
    <t>https://tradingeconomics.com/russia/gdp</t>
  </si>
  <si>
    <t>GDP in B. USD</t>
  </si>
  <si>
    <t>Donor countries minus US</t>
  </si>
  <si>
    <t>Ukraine military spending</t>
  </si>
  <si>
    <t>Foreign military aid for Ukraine</t>
  </si>
  <si>
    <t>Military expence for Ukraine</t>
  </si>
  <si>
    <t>https://tradingeconomics.com/ukraine/military-expenditure</t>
  </si>
  <si>
    <t>linked</t>
  </si>
  <si>
    <t>https://www.wilsoncenter.org/blog-post/russias-unprecedented-war-budget-explained</t>
  </si>
  <si>
    <t>Only military aid, B. EUR</t>
  </si>
  <si>
    <t>Jan. 24, 2022 to Oct.31 2023, B. EUR</t>
  </si>
  <si>
    <t>Cost of UKR refugees, B. EUR</t>
  </si>
  <si>
    <t>B. EUR cost of aid</t>
  </si>
  <si>
    <t>Total B. EUR</t>
  </si>
  <si>
    <t>https://tradingeconomics.com/ukraine/gdp</t>
  </si>
  <si>
    <t xml:space="preserve">Ann. aid </t>
  </si>
  <si>
    <t>https://en.wikipedia.org/wiki/Economy_of_the_European_Union</t>
  </si>
  <si>
    <t>Donor countries minus US + EU</t>
  </si>
  <si>
    <t>Total B. USD</t>
  </si>
  <si>
    <t>All aid countries incl US &amp; EU</t>
  </si>
  <si>
    <t>mil. B. USD</t>
  </si>
  <si>
    <t>Top 15 countries and EU supporting Ukraine in billion EUR or USD</t>
  </si>
  <si>
    <t>Sum of blue aid countries+EU</t>
  </si>
  <si>
    <r>
      <t>USA</t>
    </r>
    <r>
      <rPr>
        <sz val="11"/>
        <color theme="1"/>
        <rFont val="Calibri"/>
        <family val="2"/>
        <scheme val="minor"/>
      </rPr>
      <t xml:space="preserve"> (has nuclear weapons)</t>
    </r>
  </si>
  <si>
    <r>
      <t>UK</t>
    </r>
    <r>
      <rPr>
        <sz val="11"/>
        <color theme="1"/>
        <rFont val="Calibri"/>
        <family val="2"/>
        <scheme val="minor"/>
      </rPr>
      <t xml:space="preserve"> (has nuclear weapons)</t>
    </r>
  </si>
  <si>
    <r>
      <t>France</t>
    </r>
    <r>
      <rPr>
        <sz val="11"/>
        <color theme="1"/>
        <rFont val="Calibri"/>
        <family val="2"/>
        <scheme val="minor"/>
      </rPr>
      <t xml:space="preserve"> (has nuclear weapons)</t>
    </r>
  </si>
  <si>
    <t>Military expence for Ukraine - US</t>
  </si>
  <si>
    <t>Jan. 24, 2022 to Jan. 15, 2024, B. EUR</t>
  </si>
  <si>
    <t>Financial</t>
  </si>
  <si>
    <t>Humanitarian</t>
  </si>
  <si>
    <t>Cost of refugees</t>
  </si>
  <si>
    <t>All blue aid countries incl EU</t>
  </si>
  <si>
    <t>All aid countries incl EU - US</t>
  </si>
  <si>
    <t>All aid countries incl EU &amp; US</t>
  </si>
  <si>
    <t>follow link</t>
  </si>
  <si>
    <t>https://tradingeconomics.com/japan/military-expenditure-percent-of-gdp-wb-data.html#:~:text=Military%20expenditure%20%28%25%20of%20GDP%29%20in%20Japan%20was,of%20development%20indicators%2C%20compiled%20from%20officially%20recognized%20sources.</t>
  </si>
  <si>
    <t>https://www.statista.com/chart/14636/defense-expenditures-of-nato-countries/</t>
  </si>
  <si>
    <t>Military spending in % of GDP</t>
  </si>
  <si>
    <t>https://tradingeconomics.com/sweden/military-expenditure-percent-of-gdp-wb-data.html</t>
  </si>
  <si>
    <t>https://tradingeconomics.com/united-states/military-expenditure-percent-of-gdp-wb-data.html</t>
  </si>
  <si>
    <t>https://tradingeconomics.com/germany/military-expenditure-percent-of-gdp-wb-data.html</t>
  </si>
  <si>
    <t>https://tradingeconomics.com/ukraine/military-expenditure-percent-of-gdp-wb-data.html</t>
  </si>
  <si>
    <t>https://tradingeconomics.com/russia/military-expenditure-percent-of-gdp-wb-data.html</t>
  </si>
  <si>
    <t>https://www.reuters.com/world/europe/ukraine-approves-increase-2023-defence-spending-2023-10-06/</t>
  </si>
  <si>
    <t>https://tradingeconomics.com/united-kingdom/military-expenditure-percent-of-gdp-wb-data.html</t>
  </si>
  <si>
    <t>https://tradingeconomics.com/norway/military-expenditure-percent-of-gdp-wb-data.html</t>
  </si>
  <si>
    <t>https://tradingeconomics.com/canada/military-expenditure-percent-of-gdp-wb-data.html</t>
  </si>
  <si>
    <t>https://tradingeconomics.com/poland/military-expenditure-percent-of-gdp-wb-data.html</t>
  </si>
  <si>
    <t>https://tradingeconomics.com/netherlands/military-expenditure-percent-of-gdp-wb-data.html</t>
  </si>
  <si>
    <t>https://tradingeconomics.com/denmark/military-expenditure-percent-of-gdp-wb-data.html</t>
  </si>
  <si>
    <r>
      <t>UK</t>
    </r>
    <r>
      <rPr>
        <sz val="11"/>
        <color theme="1"/>
        <rFont val="Calibri"/>
        <family val="2"/>
        <scheme val="minor"/>
      </rPr>
      <t xml:space="preserve"> (nuclear weapons) NATO</t>
    </r>
  </si>
  <si>
    <r>
      <t>France</t>
    </r>
    <r>
      <rPr>
        <sz val="11"/>
        <color theme="1"/>
        <rFont val="Calibri"/>
        <family val="2"/>
        <scheme val="minor"/>
      </rPr>
      <t xml:space="preserve"> (nuclear weapons) NATO</t>
    </r>
  </si>
  <si>
    <r>
      <t>Russia</t>
    </r>
    <r>
      <rPr>
        <sz val="11"/>
        <color theme="1"/>
        <rFont val="Calibri"/>
        <family val="2"/>
        <scheme val="minor"/>
      </rPr>
      <t xml:space="preserve"> (nuclear weapons)</t>
    </r>
  </si>
  <si>
    <t xml:space="preserve">Ukraine </t>
  </si>
  <si>
    <r>
      <t xml:space="preserve">Israel </t>
    </r>
    <r>
      <rPr>
        <sz val="11"/>
        <color theme="1"/>
        <rFont val="Calibri"/>
        <family val="2"/>
        <scheme val="minor"/>
      </rPr>
      <t>(nuclear weapons)</t>
    </r>
  </si>
  <si>
    <r>
      <t>North Korea</t>
    </r>
    <r>
      <rPr>
        <sz val="11"/>
        <color theme="1"/>
        <rFont val="Calibri"/>
        <family val="2"/>
        <scheme val="minor"/>
      </rPr>
      <t xml:space="preserve"> (nuclear weapons)</t>
    </r>
  </si>
  <si>
    <r>
      <t>India</t>
    </r>
    <r>
      <rPr>
        <sz val="11"/>
        <color theme="1"/>
        <rFont val="Calibri"/>
        <family val="2"/>
        <scheme val="minor"/>
      </rPr>
      <t xml:space="preserve"> (nuclear weapons)</t>
    </r>
  </si>
  <si>
    <r>
      <t>China</t>
    </r>
    <r>
      <rPr>
        <sz val="11"/>
        <color theme="1"/>
        <rFont val="Calibri"/>
        <family val="2"/>
        <scheme val="minor"/>
      </rPr>
      <t xml:space="preserve"> (nuclear weapons)</t>
    </r>
  </si>
  <si>
    <r>
      <t xml:space="preserve">Pakistan </t>
    </r>
    <r>
      <rPr>
        <sz val="11"/>
        <color theme="1"/>
        <rFont val="Calibri"/>
        <family val="2"/>
        <scheme val="minor"/>
      </rPr>
      <t>(nuclear weapons)</t>
    </r>
  </si>
  <si>
    <r>
      <t xml:space="preserve">Iran </t>
    </r>
    <r>
      <rPr>
        <sz val="11"/>
        <color theme="1"/>
        <rFont val="Calibri"/>
        <family val="2"/>
        <scheme val="minor"/>
      </rPr>
      <t>(nuclear weapons in 2 years)</t>
    </r>
  </si>
  <si>
    <r>
      <t>USA</t>
    </r>
    <r>
      <rPr>
        <sz val="11"/>
        <color theme="1"/>
        <rFont val="Calibri"/>
        <family val="2"/>
        <scheme val="minor"/>
      </rPr>
      <t xml:space="preserve"> (nuclear weapons) NATO</t>
    </r>
  </si>
  <si>
    <r>
      <t xml:space="preserve">Czech Republic </t>
    </r>
    <r>
      <rPr>
        <sz val="11"/>
        <color theme="1"/>
        <rFont val="Calibri"/>
        <family val="2"/>
        <scheme val="minor"/>
      </rPr>
      <t>NATO</t>
    </r>
  </si>
  <si>
    <r>
      <t xml:space="preserve">Italy </t>
    </r>
    <r>
      <rPr>
        <sz val="11"/>
        <color theme="1"/>
        <rFont val="Calibri"/>
        <family val="2"/>
        <scheme val="minor"/>
      </rPr>
      <t>NATO</t>
    </r>
  </si>
  <si>
    <r>
      <t xml:space="preserve">Finland </t>
    </r>
    <r>
      <rPr>
        <sz val="11"/>
        <color theme="1"/>
        <rFont val="Calibri"/>
        <family val="2"/>
        <scheme val="minor"/>
      </rPr>
      <t>NATO</t>
    </r>
  </si>
  <si>
    <r>
      <t xml:space="preserve">Sweden </t>
    </r>
    <r>
      <rPr>
        <sz val="11"/>
        <color theme="1"/>
        <rFont val="Calibri"/>
        <family val="2"/>
        <scheme val="minor"/>
      </rPr>
      <t>NATO</t>
    </r>
  </si>
  <si>
    <r>
      <t xml:space="preserve">Denmark </t>
    </r>
    <r>
      <rPr>
        <sz val="11"/>
        <color theme="1"/>
        <rFont val="Calibri"/>
        <family val="2"/>
        <scheme val="minor"/>
      </rPr>
      <t>NATO</t>
    </r>
  </si>
  <si>
    <r>
      <t xml:space="preserve">Netherlands </t>
    </r>
    <r>
      <rPr>
        <sz val="11"/>
        <color theme="1"/>
        <rFont val="Calibri"/>
        <family val="2"/>
        <scheme val="minor"/>
      </rPr>
      <t>NATO</t>
    </r>
  </si>
  <si>
    <r>
      <t xml:space="preserve">Norway </t>
    </r>
    <r>
      <rPr>
        <sz val="11"/>
        <color theme="1"/>
        <rFont val="Calibri"/>
        <family val="2"/>
        <scheme val="minor"/>
      </rPr>
      <t>NATO</t>
    </r>
  </si>
  <si>
    <r>
      <t>Canada</t>
    </r>
    <r>
      <rPr>
        <sz val="11"/>
        <color theme="1"/>
        <rFont val="Calibri"/>
        <family val="2"/>
        <scheme val="minor"/>
      </rPr>
      <t xml:space="preserve"> NATO</t>
    </r>
  </si>
  <si>
    <r>
      <t>Germany</t>
    </r>
    <r>
      <rPr>
        <sz val="11"/>
        <color theme="1"/>
        <rFont val="Calibri"/>
        <family val="2"/>
        <scheme val="minor"/>
      </rPr>
      <t xml:space="preserve"> NATO</t>
    </r>
  </si>
  <si>
    <r>
      <t>Poland</t>
    </r>
    <r>
      <rPr>
        <sz val="11"/>
        <color theme="1"/>
        <rFont val="Calibri"/>
        <family val="2"/>
        <scheme val="minor"/>
      </rPr>
      <t xml:space="preserve"> NATO</t>
    </r>
  </si>
  <si>
    <t>https://tradingeconomics.com/switzerland/military-expenditure-percent-of-gdp-wb-data.html</t>
  </si>
  <si>
    <t>https://tradingeconomics.com/france/military-expenditure-percent-of-gdp-wb-data.html</t>
  </si>
  <si>
    <t>https://tradingeconomics.com/finland/military-expenditure-percent-of-gdp-wb-data.html</t>
  </si>
  <si>
    <t>https://tradingeconomics.com/czech-republic/military-expenditure-percent-of-gdp-wb-data.html</t>
  </si>
  <si>
    <t>https://tradingeconomics.com/italy/military-expenditure-percent-of-gdp-wb-data.html</t>
  </si>
  <si>
    <t>https://tradingeconomics.com/china/gdp</t>
  </si>
  <si>
    <t>https://tradingeconomics.com/india/gdp</t>
  </si>
  <si>
    <t>https://tradingeconomics.com/pakistan/gdp</t>
  </si>
  <si>
    <t>https://tradingeconomics.com/north-korea/gdp</t>
  </si>
  <si>
    <t>https://tradingeconomics.com/iran/gdp</t>
  </si>
  <si>
    <t>https://tradingeconomics.com/israel/gdp</t>
  </si>
  <si>
    <t>https://tradingeconomics.com/israel/military-expenditure-percent-of-gdp-wb-data.html</t>
  </si>
  <si>
    <t>Taiwan</t>
  </si>
  <si>
    <t>https://tradingeconomics.com/china/military-expenditure-percent-of-gdp-wb-data.html</t>
  </si>
  <si>
    <t>https://tradingeconomics.com/taiwan/gdp</t>
  </si>
  <si>
    <t>https://en.wikipedia.org/wiki/List_of_countries_with_highest_military_expenditures</t>
  </si>
  <si>
    <t>https://knoema.com/atlas/Taiwan-Province-of-China/Military-expenditure-as-a-share-of-GDP</t>
  </si>
  <si>
    <t>https://www.statista.com/statistics/747387/north-korea-share-of-military-spending-in-budget/</t>
  </si>
  <si>
    <t>https://tradingeconomics.com/iran/military-expenditure-percent-of-gdp-wb-data.html</t>
  </si>
  <si>
    <t>https://tradingeconomics.com/pakistan/military-expenditure-percent-of-gdp-wb-data.html</t>
  </si>
  <si>
    <t>Military aid</t>
  </si>
  <si>
    <t>billion USD</t>
  </si>
  <si>
    <t>Refugees</t>
  </si>
  <si>
    <t>Mil.,fin.,hum.</t>
  </si>
  <si>
    <t xml:space="preserve">GDP in </t>
  </si>
  <si>
    <t>Annual</t>
  </si>
  <si>
    <t>Military, financial &amp;</t>
  </si>
  <si>
    <t>humanitarian aid</t>
  </si>
  <si>
    <t>Jan. 24, 2022 to Jan. 15 2024 in billion EUR</t>
  </si>
  <si>
    <t>total aid</t>
  </si>
  <si>
    <t>military aid</t>
  </si>
  <si>
    <t>My guess</t>
  </si>
  <si>
    <t>Ukraine versus Russia’s spending on war – How much aid is needed for Ukraine to win? #40/64</t>
  </si>
  <si>
    <t>in billion USD</t>
  </si>
  <si>
    <t>Top 15 donar countries plus EU supporting Ukraine</t>
  </si>
  <si>
    <t>Unit cost in USD</t>
  </si>
  <si>
    <t>Navy weapons</t>
  </si>
  <si>
    <t>Cost to make</t>
  </si>
  <si>
    <t>Army weapons</t>
  </si>
  <si>
    <t>https://en.wikipedia.org/wiki/MAGURA_V5</t>
  </si>
  <si>
    <t>in million USD</t>
  </si>
  <si>
    <t>https://en.wikipedia.org/wiki/M15_mine</t>
  </si>
  <si>
    <t>M15 anti-tank mine</t>
  </si>
  <si>
    <t xml:space="preserve">Cost to make </t>
  </si>
  <si>
    <t>https://en.wikipedia.org/wiki/R-360_Neptune</t>
  </si>
  <si>
    <t>https://en.wikipedia.org/wiki/Harpoon_(missile)</t>
  </si>
  <si>
    <t>https://en.wikipedia.org/wiki/Anti-personnel_mine</t>
  </si>
  <si>
    <t>https://en.defence-ua.com/analysis/how_much_155mm_ammunition_costs_now_an_example_of_the_rheinmetall_contract_for_10000_shells-5178.html</t>
  </si>
  <si>
    <t xml:space="preserve">Range </t>
  </si>
  <si>
    <t>in km</t>
  </si>
  <si>
    <t>https://www.pmulcahy.com/ammunition/mortar_rounds.html</t>
  </si>
  <si>
    <t>https://en.wikipedia.org/wiki/Archer_Artillery_System</t>
  </si>
  <si>
    <t>https://en.wikipedia.org/wiki/Panzerhaubitze_2000</t>
  </si>
  <si>
    <t>https://weaponsystems.net/system/171-60mm%2BM224</t>
  </si>
  <si>
    <t>https://en.wikipedia.org/wiki/Soltam_K6</t>
  </si>
  <si>
    <t>my guess</t>
  </si>
  <si>
    <t>https://www.nextbigfuture.com/2024/01/ukraines-one-million-fpv-drones-will-be-outnumbered-by-5-million-russian-drones.html</t>
  </si>
  <si>
    <t>https://www.newsweek.com/ukraine-fpv-drones-mykhailo-fedorov-russia-avdiivka-1853646</t>
  </si>
  <si>
    <t>Warhead</t>
  </si>
  <si>
    <t>kilograms</t>
  </si>
  <si>
    <t>https://ruavia.su/fpv-drones-hortensia-with-increased-payload-are-preparing-to-be-sent-to-the-frontline/</t>
  </si>
  <si>
    <t>60mm M224 mortar launcher</t>
  </si>
  <si>
    <t>Artillery shells 155mm, M107</t>
  </si>
  <si>
    <t>https://en.wikipedia.org/wiki/M107_projectile</t>
  </si>
  <si>
    <t>0.1/0.03</t>
  </si>
  <si>
    <t>Notes</t>
  </si>
  <si>
    <t>https://en.wikipedia.org/wiki/CAESAR_self-propelled_howitzer</t>
  </si>
  <si>
    <t>1.7</t>
  </si>
  <si>
    <t>4.6</t>
  </si>
  <si>
    <t>14.3</t>
  </si>
  <si>
    <t>https://news.err.ee/1609171468/estonia-issues-historic-munitions-procurement-to-kick-start-eu-defense-industry</t>
  </si>
  <si>
    <t>4000 USD per shell is current war time price. Before Ukraine war the price was 2000 USD per shell</t>
  </si>
  <si>
    <t>https://en.wikipedia.org/wiki/M982_Excalibur</t>
  </si>
  <si>
    <t>8000 USD per shell is likely current war time price. Before Ukraine war the price was 4000 USD per shell</t>
  </si>
  <si>
    <t>48/5.4</t>
  </si>
  <si>
    <t>43.6/7</t>
  </si>
  <si>
    <t>https://en.wikipedia.org/wiki/M549</t>
  </si>
  <si>
    <t>My best guess</t>
  </si>
  <si>
    <t>43.2/6.9</t>
  </si>
  <si>
    <t>Military spending</t>
  </si>
  <si>
    <t>All blue aid countries</t>
  </si>
  <si>
    <t>Ukraine spending in % of RUS</t>
  </si>
  <si>
    <t>Ukraine + foreign aid &amp; loans</t>
  </si>
  <si>
    <t>https://tradingeconomics.com/turkey/gdp</t>
  </si>
  <si>
    <t>https://tradingeconomics.com/turkey/military-expenditure-percent-of-gdp-wb-data.html</t>
  </si>
  <si>
    <r>
      <t xml:space="preserve">Turkey </t>
    </r>
    <r>
      <rPr>
        <sz val="11"/>
        <color theme="1"/>
        <rFont val="Calibri"/>
        <family val="2"/>
        <scheme val="minor"/>
      </rPr>
      <t>NATO</t>
    </r>
  </si>
  <si>
    <t>Population</t>
  </si>
  <si>
    <t>millions</t>
  </si>
  <si>
    <r>
      <t xml:space="preserve">Iran </t>
    </r>
    <r>
      <rPr>
        <sz val="11"/>
        <color theme="1"/>
        <rFont val="Calibri"/>
        <family val="2"/>
        <scheme val="minor"/>
      </rPr>
      <t>(nuclear weapons, 2 years?)</t>
    </r>
  </si>
  <si>
    <t>https://tradingeconomics.com/united-states/population</t>
  </si>
  <si>
    <t>https://en.wikipedia.org/wiki/Demographics_of_the_European_Union</t>
  </si>
  <si>
    <t>https://tradingeconomics.com/germany/population</t>
  </si>
  <si>
    <t>https://tradingeconomics.com/united-kingdom/population</t>
  </si>
  <si>
    <t>in 2023 in</t>
  </si>
  <si>
    <t>https://tradingeconomics.com/denmark/population</t>
  </si>
  <si>
    <t>https://tradingeconomics.com/norway/population</t>
  </si>
  <si>
    <t>https://tradingeconomics.com/japan/population</t>
  </si>
  <si>
    <t>https://tradingeconomics.com/canada/population</t>
  </si>
  <si>
    <t>https://tradingeconomics.com/poland/population</t>
  </si>
  <si>
    <t>https://tradingeconomics.com/netherlands/population</t>
  </si>
  <si>
    <t>https://tradingeconomics.com/sweden/population</t>
  </si>
  <si>
    <t>https://tradingeconomics.com/switzerland/population</t>
  </si>
  <si>
    <t>https://tradingeconomics.com/france/population</t>
  </si>
  <si>
    <t>https://tradingeconomics.com/finland/population</t>
  </si>
  <si>
    <t>https://tradingeconomics.com/czech-republic/population</t>
  </si>
  <si>
    <t>https://tradingeconomics.com/italy/population</t>
  </si>
  <si>
    <t>https://tradingeconomics.com/russia/population</t>
  </si>
  <si>
    <t>https://tradingeconomics.com/ukraine/population</t>
  </si>
  <si>
    <t>#</t>
  </si>
  <si>
    <t>Type of loss</t>
  </si>
  <si>
    <t>Losses from Feb. 24, 2022 to Jun. 15, 2023</t>
  </si>
  <si>
    <t>Losses from Feb. 24, 2022 to Mar. 16, 2024</t>
  </si>
  <si>
    <t>Losses from Jun. 15, 2023 to Mar. 16, 2024</t>
  </si>
  <si>
    <t>Russian active</t>
  </si>
  <si>
    <t>Russian active &amp;</t>
  </si>
  <si>
    <t>Ukraine active &amp;</t>
  </si>
  <si>
    <t>Russian</t>
  </si>
  <si>
    <t>Ukraine</t>
  </si>
  <si>
    <t>Kill ratios</t>
  </si>
  <si>
    <t xml:space="preserve">stock on </t>
  </si>
  <si>
    <t xml:space="preserve">passive stock on </t>
  </si>
  <si>
    <t xml:space="preserve">losses </t>
  </si>
  <si>
    <t>losses</t>
  </si>
  <si>
    <t>RUS/UKR</t>
  </si>
  <si>
    <t>confirmed</t>
  </si>
  <si>
    <t>Tanks</t>
  </si>
  <si>
    <t>of which captured</t>
  </si>
  <si>
    <t>Armored fighting vehicles</t>
  </si>
  <si>
    <t>Infantry fighting vehicles</t>
  </si>
  <si>
    <t>Armored personnel carriers</t>
  </si>
  <si>
    <t>Other APCs (MRAPs)</t>
  </si>
  <si>
    <t>Infantry mobility vehicles</t>
  </si>
  <si>
    <t>Command and com vehicles</t>
  </si>
  <si>
    <t>Total armored vehicles (2 to 7)</t>
  </si>
  <si>
    <t>Engineering vehicles special equipm.</t>
  </si>
  <si>
    <t>Anti-tank vehicles</t>
  </si>
  <si>
    <t>Artillery support vehicles</t>
  </si>
  <si>
    <t>Towed artillery</t>
  </si>
  <si>
    <t>Self propelled artillery</t>
  </si>
  <si>
    <t>Multiple rocket launchers</t>
  </si>
  <si>
    <t>Total artillery (10 to 14)</t>
  </si>
  <si>
    <t>Anti-aircraft guns</t>
  </si>
  <si>
    <t>Self propelled anti-aircraft guns</t>
  </si>
  <si>
    <t>Surface-To-Air Missile Systems</t>
  </si>
  <si>
    <t>Radars</t>
  </si>
  <si>
    <t>Jammers and deception systems</t>
  </si>
  <si>
    <t>Total anti-aircraft (16 to 20)</t>
  </si>
  <si>
    <t>Aircraft</t>
  </si>
  <si>
    <t>Helicopters</t>
  </si>
  <si>
    <t>Combat Unmanned Aerial Vehicles</t>
  </si>
  <si>
    <t>Reconnaissance UAVs</t>
  </si>
  <si>
    <t>Total UAVs (24 to 25)</t>
  </si>
  <si>
    <t>Naval ships, Black Sea only</t>
  </si>
  <si>
    <t>519 entire Rus</t>
  </si>
  <si>
    <t>Submarines, Black Sea only</t>
  </si>
  <si>
    <t>Trucks, Vehicles and Jeeps</t>
  </si>
  <si>
    <t>of which destroyed</t>
  </si>
  <si>
    <t>of which damaged</t>
  </si>
  <si>
    <t xml:space="preserve">of which abandoned </t>
  </si>
  <si>
    <t>Wounded personnel 3*killed</t>
  </si>
  <si>
    <r>
      <t xml:space="preserve">Sources: </t>
    </r>
    <r>
      <rPr>
        <sz val="11"/>
        <color theme="1"/>
        <rFont val="Calibri"/>
        <family val="2"/>
        <scheme val="minor"/>
      </rPr>
      <t>Follow link below video to download spreadsheet containing clickable sources</t>
    </r>
  </si>
  <si>
    <t>control</t>
  </si>
  <si>
    <t>note</t>
  </si>
  <si>
    <t>small error</t>
  </si>
  <si>
    <t>https://www.minusrus.com/en</t>
  </si>
  <si>
    <t>https://twitter.com/HMexperienceDK/status/1768915880694391294</t>
  </si>
  <si>
    <t>https://militarywatchmagazine.com/article/850-obsolete-tanks-can-t-stop-russia-ukraine-chose-sheer-numbers-over-modernisation-and-suffered</t>
  </si>
  <si>
    <t>https://www.oryxspioenkop.com/2022/02/attack-on-europe-documenting-equipment.html</t>
  </si>
  <si>
    <t>https://www.mil.gov.ua/en/news/2023/06/15/the-total-combat-losses-of-the-enemy-from-24-02-2022-to-15-06-2023/</t>
  </si>
  <si>
    <t>https://www.oryxspioenkop.com/2022/02/attack-on-europe-documenting-ukrainian.html</t>
  </si>
  <si>
    <t>Military losses and stocks Ukraine &amp; Russia</t>
  </si>
  <si>
    <t>Country</t>
  </si>
  <si>
    <t>Russia</t>
  </si>
  <si>
    <t>Ratio R/U</t>
  </si>
  <si>
    <t>EU</t>
  </si>
  <si>
    <t>Population mill.</t>
  </si>
  <si>
    <t xml:space="preserve">GDP billion USD </t>
  </si>
  <si>
    <t>Follow link</t>
  </si>
  <si>
    <t>Population and GDP in 2023</t>
  </si>
  <si>
    <t>Russian new</t>
  </si>
  <si>
    <t>production</t>
  </si>
  <si>
    <t>annually 2023</t>
  </si>
  <si>
    <t>https://youtu.be/0B_4M5dTHIU?si=rFgRbCdII3G6OytB&amp;t=656</t>
  </si>
  <si>
    <t>My guess. Artillery systems cost 10 to 15 million USD a piece same as for infantry fighting vehicles so I assume the production level is similar</t>
  </si>
  <si>
    <t>Assuming Russia made 2X the 27 aircraft the build in 2022 see https://wavellroom.com/2023/02/17/russian-combat-aircraft-sanctions/</t>
  </si>
  <si>
    <t>Following source ( https://www.forbes.com/sites/davidaxe/2024/01/09/the-russians-could-run-out-of-infantry-fighting-vehicles-in-two-or-three-years/?sh=174d967c63f6 ) say Russia make 400 BMP-3 annually. I have added 200 of other vehicles in this categoty that I guess Russia can make</t>
  </si>
  <si>
    <t>https://youtu.be/geSvbR9io3c?si=4v1rMojcgpSvUhp8&amp;t=592</t>
  </si>
  <si>
    <t>I could not find any reliable sources so I guess that Russia can make 10% of its prewar stock of helicopters</t>
  </si>
  <si>
    <t>I could not find any reliable sources so I guess that Russia can make 10% of its prewar stock of anti-aircraft systems</t>
  </si>
  <si>
    <t>losses unco.</t>
  </si>
  <si>
    <t>per day</t>
  </si>
  <si>
    <t>Russian avg.</t>
  </si>
  <si>
    <t>Remaining</t>
  </si>
  <si>
    <t>Number of days / months considered</t>
  </si>
  <si>
    <t>D</t>
  </si>
  <si>
    <t>M</t>
  </si>
  <si>
    <t>Table 1: Kill ratios calculated for entire length of war</t>
  </si>
  <si>
    <r>
      <t xml:space="preserve">Sources: </t>
    </r>
    <r>
      <rPr>
        <sz val="9"/>
        <color theme="1"/>
        <rFont val="Calibri"/>
        <family val="2"/>
        <scheme val="minor"/>
      </rPr>
      <t>Follow link below video to download spreadsheet containing clickable sources</t>
    </r>
  </si>
  <si>
    <t>daily in 2023</t>
  </si>
  <si>
    <t>unconfi.</t>
  </si>
  <si>
    <t>Likely</t>
  </si>
  <si>
    <t>Killed personnel unconfirmed</t>
  </si>
  <si>
    <t>Speed</t>
  </si>
  <si>
    <t>Time</t>
  </si>
  <si>
    <t>in km/h</t>
  </si>
  <si>
    <t>Minutes</t>
  </si>
  <si>
    <t>RPG-7 launcher</t>
  </si>
  <si>
    <t>2.6</t>
  </si>
  <si>
    <t>1.6</t>
  </si>
  <si>
    <t>https://en.wikipedia.org/wiki/RPG-7</t>
  </si>
  <si>
    <t>1.0</t>
  </si>
  <si>
    <t>https://en.wikipedia.org/wiki/Storm_Shadow</t>
  </si>
  <si>
    <t>450</t>
  </si>
  <si>
    <t>https://www.rferl.org/a/lancet-drones-russia-invasion-counteroffensive-kamikaze/32493513.html</t>
  </si>
  <si>
    <t>https://en.wikipedia.org/wiki/ZALA_Lancet</t>
  </si>
  <si>
    <t>https://en.wikipedia.org/wiki/HESA_Shahed_136</t>
  </si>
  <si>
    <t>https://en.wikipedia.org/wiki/HESA_Shahed_133</t>
  </si>
  <si>
    <t>https://en.wikipedia.org/wiki/HESA_Shahed_134</t>
  </si>
  <si>
    <t>https://www.reuters.com/world/europe/inside-ukraines-scramble-game-changer-drone-fleet-2023-03-24/</t>
  </si>
  <si>
    <t>https://en.defence-ua.com/news/liutyi_uav_is_responsible_for_attacks_on_taganrog_russians_assume_drone_with_1000_km_range_finally_in_action-9779.html</t>
  </si>
  <si>
    <t># build</t>
  </si>
  <si>
    <t>&gt;100</t>
  </si>
  <si>
    <t>&lt;100</t>
  </si>
  <si>
    <t>60H</t>
  </si>
  <si>
    <t>20M</t>
  </si>
  <si>
    <t>10M</t>
  </si>
  <si>
    <t>&gt;10M</t>
  </si>
  <si>
    <t>&lt;1M</t>
  </si>
  <si>
    <t>&lt;100.000</t>
  </si>
  <si>
    <t>&lt;20,000</t>
  </si>
  <si>
    <t>ChatGPT4</t>
  </si>
  <si>
    <t>48</t>
  </si>
  <si>
    <t>minutes</t>
  </si>
  <si>
    <t>&gt;500</t>
  </si>
  <si>
    <t>&gt;501</t>
  </si>
  <si>
    <t>seconds</t>
  </si>
  <si>
    <t>https://en.wikipedia.org/wiki/Mikoyan_MiG-29</t>
  </si>
  <si>
    <t>&gt;1,600</t>
  </si>
  <si>
    <t>&gt;5,000</t>
  </si>
  <si>
    <t>&gt;10,000</t>
  </si>
  <si>
    <t>https://www.angelfire.com/falcon/fighterplanes/texts/articles/MiG-29.html</t>
  </si>
  <si>
    <t>4M</t>
  </si>
  <si>
    <t>10H</t>
  </si>
  <si>
    <t>Losses from Feb. 24, 2022 to Apr. 11, 2024</t>
  </si>
  <si>
    <t>https://twitter.com/EuromaidanPress/status/1778299697494462846</t>
  </si>
  <si>
    <t>Losses from Jun. 15, 2023 to Apr. 12, 2024</t>
  </si>
  <si>
    <t>Losses from Jun. 15, 2023 to Apr. 11, 2024</t>
  </si>
  <si>
    <t>Feb. 24, 22 to Apr. 11, 24</t>
  </si>
  <si>
    <t>Jun. 15, 23 to Apr. 11, 24</t>
  </si>
  <si>
    <t>https://www.businessinsider.com/russia-recruiting-30000-troops-a-month-ukraine-frontline-losses-analysts-2024-1</t>
  </si>
  <si>
    <t>Total equipment losses (not 26, 29)</t>
  </si>
  <si>
    <t>My estimate. Enginering vehicles are similar to tanks in costs so I multiply number of new tanks per year with fraction of enginering vehicles to tanks that are unconfirmed lost in action.</t>
  </si>
  <si>
    <t>Sources - Military losses and stocks Ukraine &amp; Russia</t>
  </si>
  <si>
    <t>calculated simply Russian population times the percentage of population that could be fit for military service</t>
  </si>
  <si>
    <t>Table 2: Kill ratios calculated for last 10 months of war</t>
  </si>
  <si>
    <t xml:space="preserve">to depletion </t>
  </si>
  <si>
    <t>of all stocks</t>
  </si>
  <si>
    <t>Months left</t>
  </si>
  <si>
    <t>120mm Soltam K6 mortar launcher</t>
  </si>
  <si>
    <t>https://en.wikipedia.org/wiki/M142_HIMARS</t>
  </si>
  <si>
    <t>Rockets include M26, M26A1 ER, AT2 that are either cluster munitions or anti-tank mines</t>
  </si>
  <si>
    <t>&gt;30000</t>
  </si>
  <si>
    <t>https://en.wikipedia.org/wiki/M142_HIMARS#cite_note-Marine_Corps_Gazette-78</t>
  </si>
  <si>
    <t>https://en.wikipedia.org/wiki/Ground_Launched_Small_Diameter_Bomb</t>
  </si>
  <si>
    <t>93/16</t>
  </si>
  <si>
    <t>50000</t>
  </si>
  <si>
    <t>91</t>
  </si>
  <si>
    <t>M30to M31 variants all kinds of warheads</t>
  </si>
  <si>
    <t>https://kyivindependent.com/why-is-russia-so-vulnerable-to-himars-in-ukraine/</t>
  </si>
  <si>
    <t>2M</t>
  </si>
  <si>
    <t>https://en.wikipedia.org/wiki/MGM-140_ATACMS</t>
  </si>
  <si>
    <t>6M</t>
  </si>
  <si>
    <t>200</t>
  </si>
  <si>
    <t>https://en.wikipedia.org/wiki/M142_HIMARS#</t>
  </si>
  <si>
    <t>https://en.wikipedia.org/wiki/Tomahawk_(missile)</t>
  </si>
  <si>
    <t>100M</t>
  </si>
  <si>
    <t>&gt;1000</t>
  </si>
  <si>
    <t>https://www.independent.co.uk/news/world/europe/storm-shadow-missiles-ukraine-uk-weapons-b2339703.html</t>
  </si>
  <si>
    <t>M=million</t>
  </si>
  <si>
    <t>&gt;1M</t>
  </si>
  <si>
    <t>https://www.kyivpost.com/post/29064</t>
  </si>
  <si>
    <t>https://www.washingtonpost.com/investigations/2023/08/17/russia-iran-drone-shahed-alabuga/</t>
  </si>
  <si>
    <t>&gt;10.000</t>
  </si>
  <si>
    <t>My best guess see also https://defence-industry.eu/russia-ramps-up-production-of-lancet-kamikaze-drones/</t>
  </si>
  <si>
    <t>&gt;50</t>
  </si>
  <si>
    <t>&gt;300</t>
  </si>
  <si>
    <t>My best guess only very few confirmed use by video of it attacking Russia</t>
  </si>
  <si>
    <t>4,900</t>
  </si>
  <si>
    <t>3,690</t>
  </si>
  <si>
    <t>https://en.wikipedia.org/wiki/General_Dynamics_F-16_Fighting_Falcon</t>
  </si>
  <si>
    <t>F16 (AM/BM Danish v. for UKR)</t>
  </si>
  <si>
    <t>https://en.wikipedia.org/wiki/General_Dynamics_F-16_Fighting_Falcon_variants#Specifications</t>
  </si>
  <si>
    <t>https://en.wikipedia.org/wiki/General_Dynamics_F-16_Fighting_Falcon_variants#F-16I_Sufa</t>
  </si>
  <si>
    <t>https://www.reuters.com/world/europe/what-is-patriot-missile-defense-system-2022-12-21/</t>
  </si>
  <si>
    <t>Patriot battery w. radar launchers and control</t>
  </si>
  <si>
    <t>https://en.wikipedia.org/wiki/MIM-104_Patriot</t>
  </si>
  <si>
    <t>https://en.wikipedia.org/wiki/MIM-104_Patriot#Variants</t>
  </si>
  <si>
    <t>my best guess</t>
  </si>
  <si>
    <t>https://en.wikipedia.org/wiki/NASAMS</t>
  </si>
  <si>
    <t>30-50</t>
  </si>
  <si>
    <t>https://www.thenationalnews.com/world/europe/2022/10/12/explained-the-iris-t-slm-and-nasams-air-defence-systems-ukraine-needs/</t>
  </si>
  <si>
    <t>https://en.wikipedia.org/wiki/AIM-120_AMRAAM</t>
  </si>
  <si>
    <t>&gt;20,000</t>
  </si>
  <si>
    <t>my best guess same as NASAMS just build by Germany instead of US and Norway</t>
  </si>
  <si>
    <t>1.2M</t>
  </si>
  <si>
    <t>https://en.wikipedia.org/wiki/MIM-23_Hawk</t>
  </si>
  <si>
    <t>Gun trucks with radar, 30mm canon</t>
  </si>
  <si>
    <t>my guess see https://www.nationaldefensemagazine.org/articles/2023/5/22/us-made--counter-drone-trucks-head-for-ukraine</t>
  </si>
  <si>
    <t>https://en.wikipedia.org/wiki/M230_chain_gun</t>
  </si>
  <si>
    <t>&gt;5M</t>
  </si>
  <si>
    <t>35mm timer shells for Gepard</t>
  </si>
  <si>
    <t>Gepard armored vehicle (legacy)</t>
  </si>
  <si>
    <t>https://en.wikipedia.org/wiki/Flakpanzer_Gepard</t>
  </si>
  <si>
    <t>my best guess see https://en.wikipedia.org/wiki/Flakpanzer_Gepard#Guns</t>
  </si>
  <si>
    <t>https://en.wikipedia.org/wiki/Flakpanzer_Gepard#Guns</t>
  </si>
  <si>
    <t>&gt;200</t>
  </si>
  <si>
    <t>https://en.wikipedia.org/wiki/Oerlikon_GDF</t>
  </si>
  <si>
    <t>https://en.wikipedia.org/wiki/Joint_Direct_Attack_Munition</t>
  </si>
  <si>
    <t>230-910</t>
  </si>
  <si>
    <t>Bradley armored fighting vehicle</t>
  </si>
  <si>
    <t>https://en.wikipedia.org/wiki/M2_Bradley#Production_history</t>
  </si>
  <si>
    <t>25mm M242 Bushmaster for Bradley</t>
  </si>
  <si>
    <t>https://en.wikipedia.org/wiki/M242_Bushmaster</t>
  </si>
  <si>
    <t>3-6.8</t>
  </si>
  <si>
    <t>FGM-148 Javelin anti-tank launch unit</t>
  </si>
  <si>
    <t>&gt;9M</t>
  </si>
  <si>
    <t>&gt;50M</t>
  </si>
  <si>
    <t>0.33-0.7</t>
  </si>
  <si>
    <t>https://en.wikipedia.org/wiki/FGM-148_Javelin</t>
  </si>
  <si>
    <t>&gt;12,000</t>
  </si>
  <si>
    <t>8.4</t>
  </si>
  <si>
    <t>3-5.5</t>
  </si>
  <si>
    <t>&gt;2,000</t>
  </si>
  <si>
    <t>https://en.wikipedia.org/wiki/Skif_(anti-tank_guided_missile)</t>
  </si>
  <si>
    <t>my guess see https://en.wikipedia.org/wiki/Skif_(anti-tank_guided_missile)</t>
  </si>
  <si>
    <t>Stugna P launch unit anti-tank</t>
  </si>
  <si>
    <t>Stugna P anti-tank missile</t>
  </si>
  <si>
    <t>NLAW anti-tank missile</t>
  </si>
  <si>
    <t>&gt;24,200</t>
  </si>
  <si>
    <t>1.8</t>
  </si>
  <si>
    <t>https://en.wikipedia.org/wiki/NLAW</t>
  </si>
  <si>
    <t>&gt;14,000</t>
  </si>
  <si>
    <t>20</t>
  </si>
  <si>
    <t>1M</t>
  </si>
  <si>
    <t>The US has developed a ground launched version of Tomahawk  see https://nationalinterest.org/blog/reboot/tomahawk-missile-can-now-be-launched-ground-too-173768</t>
  </si>
  <si>
    <t>https://en.wikipedia.org/wiki/M61_Vulcan</t>
  </si>
  <si>
    <t>https://www.gd-ots.com/armaments/aircraft-guns-gun-systems/f-16/</t>
  </si>
  <si>
    <t>https://en.wikipedia.org/wiki/AIM-9_Sidewinder</t>
  </si>
  <si>
    <t>9.4</t>
  </si>
  <si>
    <t>&gt;110,000</t>
  </si>
  <si>
    <t>https://en.wikipedia.org/wiki/AGM-65_Maverick</t>
  </si>
  <si>
    <t>&gt;550,000</t>
  </si>
  <si>
    <t>&gt;70,000</t>
  </si>
  <si>
    <t>57-136</t>
  </si>
  <si>
    <t>https://www.defensenews.com/pentagon/2023/03/13/pentagon-budget-aims-to-max-munitions-production-make-multiyear-buys/</t>
  </si>
  <si>
    <t>https://en.wikipedia.org/wiki/Joint_Strike_Missile</t>
  </si>
  <si>
    <t>31M</t>
  </si>
  <si>
    <t>120</t>
  </si>
  <si>
    <t>&gt;20</t>
  </si>
  <si>
    <t>https://en.wikipedia.org/wiki/Taurus_KEPD_350</t>
  </si>
  <si>
    <t>https://en.wikipedia.org/wiki/Taurus_KEPD_351</t>
  </si>
  <si>
    <t>https://en.wikipedia.org/wiki/Taurus_KEPD_353</t>
  </si>
  <si>
    <t>https://en.wikipedia.org/wiki/Taurus_KEPD_354</t>
  </si>
  <si>
    <t>https://english.elpais.com/international/2024-03-17/the-taurus-the-german-weapon-that-ukraine-wants-to-use-to-strike-russian-targets-away-from-the-front-lines.html#</t>
  </si>
  <si>
    <t>480</t>
  </si>
  <si>
    <t>28M</t>
  </si>
  <si>
    <t>https://euromaidanpress.com/2024/03/23/meet-liutyi-ukraines-homegrown-drone-behind-strikes-on-russian-oil-refineries/</t>
  </si>
  <si>
    <t>https://en.wikipedia.org/wiki/AGM-88_HARM</t>
  </si>
  <si>
    <t>68</t>
  </si>
  <si>
    <t>5M</t>
  </si>
  <si>
    <t>&gt;3000</t>
  </si>
  <si>
    <t>https://en.wikipedia.org/wiki/Armement_Air-Sol_Modulaire</t>
  </si>
  <si>
    <t>250</t>
  </si>
  <si>
    <t>I think the range claim on wiki is BS. More likely 1200km</t>
  </si>
  <si>
    <t>&gt;8.000</t>
  </si>
  <si>
    <t>See my video https://www.youtube.com/watch?v=bYiTZfBnXsY</t>
  </si>
  <si>
    <t>Not in production</t>
  </si>
  <si>
    <t>Mig-29 (Ukr main fighter)</t>
  </si>
  <si>
    <t xml:space="preserve"> - AGM-65 Maverick land rocket for F16 </t>
  </si>
  <si>
    <t>Su-35 (Rus main fighter jet)</t>
  </si>
  <si>
    <t>&gt;151</t>
  </si>
  <si>
    <t>https://en.wikipedia.org/wiki/Sukhoi_Su-35#Specifications_(Su-35S)</t>
  </si>
  <si>
    <t>https://aerocorner.com/aircraft/sukhoi-su-35/</t>
  </si>
  <si>
    <t>Su-34 (other Rus  main fighter jet)</t>
  </si>
  <si>
    <t>https://en.wikipedia.org/wiki/Sukhoi_Su-34</t>
  </si>
  <si>
    <t>https://www.airplaneupdate.com/2019/04/sukhoi-su-34.html</t>
  </si>
  <si>
    <t>https://en.wikipedia.org/wiki/FAB-500</t>
  </si>
  <si>
    <t>https://www.popularmechanics.com/military/weapons/a43571893/how-dumb-are-russias-winged-smart-bombs/</t>
  </si>
  <si>
    <t>500</t>
  </si>
  <si>
    <t>I assume same as US JDAM</t>
  </si>
  <si>
    <t>my guess Ukraine is hit daily with 20 of these and the number is increasing</t>
  </si>
  <si>
    <t>&gt;1,000</t>
  </si>
  <si>
    <t>https://simpleflying.com/how-much-does-an-f-35-cost/#:~:text=Summary%20The%20F-35%20Lightning%20II%20is%20a%20multirole,currently%20costs%20up%20to%20%24109%20million%20per%20aircraft.</t>
  </si>
  <si>
    <t>https://en.wikipedia.org/wiki/Lockheed_Martin_F-35_Lightning_II#Specifications_(F-35A)</t>
  </si>
  <si>
    <t>https://en.wikipedia.org/wiki/9K720_Iskander</t>
  </si>
  <si>
    <t>F35 NATO fighter jet radar invisible</t>
  </si>
  <si>
    <t>480-700</t>
  </si>
  <si>
    <t>Storm Shadow UK air launched cruise m.</t>
  </si>
  <si>
    <t>Taurus GE KEPD air launched cruise m.</t>
  </si>
  <si>
    <t>450-800</t>
  </si>
  <si>
    <t>https://euromaidanpress.com/2023/01/20/how-many-air-launched-kh-101-missiles-russia-is-able-to-produce-analysis/</t>
  </si>
  <si>
    <t xml:space="preserve">The larger warhead is achieved by reducing its range. </t>
  </si>
  <si>
    <t>https://en.wikipedia.org/wiki/Kh-55</t>
  </si>
  <si>
    <t>https://en.wikipedia.org/wiki/Kh-56</t>
  </si>
  <si>
    <t>https://en.wikipedia.org/wiki/Kh-58</t>
  </si>
  <si>
    <t>https://en.wikipedia.org/wiki/Kh-55#Kh-101/102_(X-101/102)</t>
  </si>
  <si>
    <t>3H</t>
  </si>
  <si>
    <t>310</t>
  </si>
  <si>
    <t>25M</t>
  </si>
  <si>
    <t>https://euromaidanpress.com/2024/04/12/russias-new-kh-69-cruise-missiles-worse-than-kinzhal-used-in-trypilska-power-plant-strike/</t>
  </si>
  <si>
    <t xml:space="preserve"> - Kh-69 small cruise missile</t>
  </si>
  <si>
    <t xml:space="preserve"> - 30mm Gryazev-Shipunov GSh-30-1</t>
  </si>
  <si>
    <t>https://en.wikipedia.org/wiki/Gryazev-Shipunov_GSh-30-1</t>
  </si>
  <si>
    <t>3 sec.</t>
  </si>
  <si>
    <t>2 sec.</t>
  </si>
  <si>
    <t>5 sec.</t>
  </si>
  <si>
    <t>1 sec.</t>
  </si>
  <si>
    <t xml:space="preserve"> - 25mm gun GAU-22/A</t>
  </si>
  <si>
    <t>3.5 sec.</t>
  </si>
  <si>
    <t>https://en.wikipedia.org/wiki/GAU-12_Equalizer#GAU-22/A</t>
  </si>
  <si>
    <t>https://en.wikipedia.org/wiki/Kh-47M2_Kinzhal</t>
  </si>
  <si>
    <t>my best guess can do nuclear or conventional</t>
  </si>
  <si>
    <t>my best estimate see https://twitter.com/oleksiireznikov/status/1594998365170896896</t>
  </si>
  <si>
    <t>&gt;1100</t>
  </si>
  <si>
    <t>https://en.defence-ua.com/weapon_and_tech/how_many_iskander_and_calibr_cruise_missiles_has_russia_left_quantitative_research-2825.html see also https://twitter.com/oleksiireznikov/status/1594998365170896896</t>
  </si>
  <si>
    <t>https://twitter.com/oleksiireznikov/status/1594998365170896896</t>
  </si>
  <si>
    <t>3m-55 Onyx P-800 Oniks Rus ground l.</t>
  </si>
  <si>
    <t>300</t>
  </si>
  <si>
    <t>11M</t>
  </si>
  <si>
    <t>https://en.wikipedia.org/wiki/P-800_Oniks</t>
  </si>
  <si>
    <t>https://en.wikipedia.org/wiki/Kalibr_(missile_family)</t>
  </si>
  <si>
    <t>&gt;800</t>
  </si>
  <si>
    <t>32M</t>
  </si>
  <si>
    <t>https://en.wikipedia.org/wiki/S-200_missile_system</t>
  </si>
  <si>
    <t>S-200 missile used by Ukr (legacy)</t>
  </si>
  <si>
    <t>&gt;2000</t>
  </si>
  <si>
    <t>https://en.wikipedia.org/wiki/S-300_missile_system#Specifications</t>
  </si>
  <si>
    <t>https://en.wikipedia.org/wiki/S-400_missile_system</t>
  </si>
  <si>
    <t>S-400 missile 40N6E many versions</t>
  </si>
  <si>
    <t>best guess has been in production since 2001 and is a replacement for S-300 that nevertheless is still in production</t>
  </si>
  <si>
    <t>145</t>
  </si>
  <si>
    <t>https://en.wikipedia.org/wiki/Kh-35</t>
  </si>
  <si>
    <t>https://en.wikipedia.org/wiki/Kh-36</t>
  </si>
  <si>
    <t>https://en.wikipedia.org/wiki/Kh-37</t>
  </si>
  <si>
    <t>https://en.wikipedia.org/wiki/Kh-38</t>
  </si>
  <si>
    <t>&gt;1200</t>
  </si>
  <si>
    <t xml:space="preserve"> - Kh-35 small cruise missile</t>
  </si>
  <si>
    <t>17M</t>
  </si>
  <si>
    <t>https://en.wikipedia.org/wiki/Tupolev_Tu-22M#Specifications_(Tu-22M3)</t>
  </si>
  <si>
    <t>https://en.wikipedia.org/wiki/Boeing_B-52_Stratofortress#Specifications_(B-52H)</t>
  </si>
  <si>
    <t>B-52 US strategic bomber (legacy)</t>
  </si>
  <si>
    <t>Table 3: Comparing kill ratios - Entire war and last 10 months</t>
  </si>
  <si>
    <t>https://en.wikipedia.org/wiki/Beriev_A-50</t>
  </si>
  <si>
    <t>https://www.ukrainianworldcongress.org/belarus-partisans-blow-up-russias-330-million-beriev-a-50-aircraft/</t>
  </si>
  <si>
    <t>https://en.wikipedia.org/wiki/Beriev_A-51</t>
  </si>
  <si>
    <t>https://en.wikipedia.org/wiki/Boeing_E-3_Sentry</t>
  </si>
  <si>
    <t>https://militarymachine.com/boeing-e-3-sentry/#:~:text=Range%3A%20More%20than%205%2C000%20nautical%20miles%20%289%2C250%20kilometers%29,Cost%3A%20%24270%20million%20%28fiscal%2098%20constant%20dollars%20though%29</t>
  </si>
  <si>
    <t>Beriev A-50 (Russian AWACS, legacy)</t>
  </si>
  <si>
    <t xml:space="preserve"> - LMUR antitank missile</t>
  </si>
  <si>
    <t>https://www.businessinsider.com/russia-ka52m-helicopters-long-range-anti-tank-missile-ukraine-uk-2023-7</t>
  </si>
  <si>
    <t xml:space="preserve"> - Khrizantema-9M123 antitank missile</t>
  </si>
  <si>
    <t>https://en.wikipedia.org/wiki/9M123_Khrizantema</t>
  </si>
  <si>
    <t>8</t>
  </si>
  <si>
    <t>25 sec.</t>
  </si>
  <si>
    <t>https://en.wikipedia.org/wiki/LMUR</t>
  </si>
  <si>
    <t>https://en.wikipedia.org/wiki/LMUR (wiki say &gt;200 but it has been used a lot since summer 2023 so I guess over 1000)</t>
  </si>
  <si>
    <t>25</t>
  </si>
  <si>
    <t>https://en.wikipedia.org/wiki/Kamov_Ka-50#Specifications_(Ka-50)</t>
  </si>
  <si>
    <t>My best guess there are some evidence of orders on https://en.wikipedia.org/wiki/Kamov_Ka-50#Specifications_(Ka-50)</t>
  </si>
  <si>
    <t>&gt;126</t>
  </si>
  <si>
    <t>https://en.wikipedia.org/wiki/Mil_Mi-28#Specifications</t>
  </si>
  <si>
    <t>https://en.wikipedia.org/wiki/Northrop_B-2_Spirit</t>
  </si>
  <si>
    <t>https://en.wikipedia.org/wiki/AGM-158_JASSM</t>
  </si>
  <si>
    <t>&gt;3500</t>
  </si>
  <si>
    <t>https://www.airandspaceforces.com/weapons-platforms/agm-158-jassm/</t>
  </si>
  <si>
    <t>hours</t>
  </si>
  <si>
    <t>1H</t>
  </si>
  <si>
    <t>unknown</t>
  </si>
  <si>
    <t>24H</t>
  </si>
  <si>
    <t>https://www.youtube.com/watch?v=OFsJiZohVrI&amp;t=114s</t>
  </si>
  <si>
    <t>https://en.wikipedia.org/wiki/Northrop_Grumman_RQ-180</t>
  </si>
  <si>
    <t>IAI Heron Israeli armed drone</t>
  </si>
  <si>
    <t>45H</t>
  </si>
  <si>
    <t>https://en.wikipedia.org/wiki/IAI_Heron</t>
  </si>
  <si>
    <t>https://en.wikipedia.org/wiki/Precision_Strike_Missile</t>
  </si>
  <si>
    <t>seek and forget infrared camera</t>
  </si>
  <si>
    <t>https://en.wikipedia.org/wiki/Spike_(missile)#Variants</t>
  </si>
  <si>
    <t>&gt;40,000</t>
  </si>
  <si>
    <t>11 sec.</t>
  </si>
  <si>
    <t>40 sec.</t>
  </si>
  <si>
    <t>https://www.army-technology.com/projects/spike-sr-anti-tank-guided-missile-system/?cf-view</t>
  </si>
  <si>
    <t xml:space="preserve"> is fire and forget infrared seeker 9kg rocket</t>
  </si>
  <si>
    <t xml:space="preserve"> - AGM-114 Hellfire missile, any aircraft</t>
  </si>
  <si>
    <t>https://en.wikipedia.org/wiki/AGM-114_Hellfire</t>
  </si>
  <si>
    <t>9</t>
  </si>
  <si>
    <t>&gt;24,000</t>
  </si>
  <si>
    <t xml:space="preserve"> - AGM-179 JAGM missile any aircraft</t>
  </si>
  <si>
    <t>https://en.wikipedia.org/wiki/AGM-179_JAGM</t>
  </si>
  <si>
    <t>I guess same as Hellfire that it replaces</t>
  </si>
  <si>
    <t>18 sec.</t>
  </si>
  <si>
    <t>Laser or radar guided. No internal radar require external laser or radar/radio to guide to target</t>
  </si>
  <si>
    <t>https://www.airforce-technology.com/projects/heron-uav/?cf-view</t>
  </si>
  <si>
    <t>&gt;1 billion</t>
  </si>
  <si>
    <t>price is my guess https://en.wikipedia.org/wiki/Northrop_Grumman_RQ-180</t>
  </si>
  <si>
    <t>&lt;20</t>
  </si>
  <si>
    <t>https://www.youtube.com/watch?v=1DXpPmpmcak</t>
  </si>
  <si>
    <t>https://www.rheinmetall.com/en/products/air-defence/air-defence-systems/networked-air-defence-skynex</t>
  </si>
  <si>
    <t>My guess. This weapon it brand new from 2024</t>
  </si>
  <si>
    <t>https://www.msn.com/en-us/news/world/german-skynex-air-defense-systems-start-protecting-ukrainian-skies/ar-AA1ofiEM?ocid=BingNewsSerp#</t>
  </si>
  <si>
    <t>3.4 sec.</t>
  </si>
  <si>
    <t>4.7 sec.</t>
  </si>
  <si>
    <t>Radar is 50 km fully automatic can shoot down even artillery shells. System is radar and control unit plus 4 units with the anti-aircraft guns.</t>
  </si>
  <si>
    <t>&gt;3</t>
  </si>
  <si>
    <t>https://en.wikipedia.org/wiki/RCH_155</t>
  </si>
  <si>
    <t>https://en.wikipedia.org/wiki/RCH_156</t>
  </si>
  <si>
    <t>&gt;17000</t>
  </si>
  <si>
    <t>93/17</t>
  </si>
  <si>
    <t xml:space="preserve"> - GBU-39 Small Glider Bomb/GLSDB</t>
  </si>
  <si>
    <t>https://en.wikipedia.org/wiki/GBU-39_Small_Diameter_Bomb#Operators</t>
  </si>
  <si>
    <t>This bomb is also used with a rocket engine and launched by HIMARS called GLSDB</t>
  </si>
  <si>
    <t>Electronic warfare systems</t>
  </si>
  <si>
    <t>Krasukha 4, mobile Russian AWACS jammer</t>
  </si>
  <si>
    <t>https://en.wikipedia.org/wiki/Krasukha</t>
  </si>
  <si>
    <t>Ilyushin Il-78 Russian fuel tanker</t>
  </si>
  <si>
    <t>https://nationalinterest.org/blog/buzz/russian-air-forces-biggest-problem-not-f-22-or-f-35-43882</t>
  </si>
  <si>
    <t>https://en.wikipedia.org/wiki/Ilyushin_Il-78#Current_operators</t>
  </si>
  <si>
    <t>https://en.wikipedia.org/wiki/Ilyushin_Il-78#</t>
  </si>
  <si>
    <t>8.6H</t>
  </si>
  <si>
    <t>https://aerocorner.com/aircraft/ilyushin-il-76/</t>
  </si>
  <si>
    <t>&gt;78</t>
  </si>
  <si>
    <t>https://en.wikipedia.org/wiki/Boeing_KC-46_Pegasus</t>
  </si>
  <si>
    <t>13H</t>
  </si>
  <si>
    <t>Boeing KC-46 Pegasus, fuel tanker, transport</t>
  </si>
  <si>
    <t>Su-25 old Rus fighter no midair refuel</t>
  </si>
  <si>
    <t>https://en.wikipedia.org/wiki/Sukhoi_Su-25</t>
  </si>
  <si>
    <t>https://en.wikipedia.org/wiki/Sukhoi_Su-25#Specifications_(Su-25/Su-25K,_late_production)</t>
  </si>
  <si>
    <t>https://en.wikipedia.org/wiki/Sukhoi_Su-25#</t>
  </si>
  <si>
    <t>30M</t>
  </si>
  <si>
    <t>8H</t>
  </si>
  <si>
    <t>https://www.newsweek.com/russia-only-has-six-50-spy-planes-left-kyiv-1873164</t>
  </si>
  <si>
    <t>https://newsukraine.rbc.ua/news/critical-loss-of-tu-22m3-bombers-russia-s-1723804376.html</t>
  </si>
  <si>
    <t>1975–1994</t>
  </si>
  <si>
    <t>https://en.wikipedia.org/wiki/Mikoyan_MiG-31#</t>
  </si>
  <si>
    <t>https://en.wikipedia.org/wiki/Mikoyan_MiG-31#Specifications_(MiG-31)</t>
  </si>
  <si>
    <t>14M</t>
  </si>
  <si>
    <t>16M</t>
  </si>
  <si>
    <t>Ilyushin Il-76 Russian mil. transport</t>
  </si>
  <si>
    <t>https://en.wikipedia.org/wiki/Ilyushin_Il-76</t>
  </si>
  <si>
    <t>https://en.wikipedia.org/wiki/Ilyushin_Il-77</t>
  </si>
  <si>
    <t>https://en.wikipedia.org/wiki/Ilyushin_Il-78</t>
  </si>
  <si>
    <t>https://en.wikipedia.org/wiki/Ilyushin_Il-79</t>
  </si>
  <si>
    <t>https://en.wikipedia.org/wiki/Ilyushin_Il-80</t>
  </si>
  <si>
    <t>https://en.wikipedia.org/wiki/Ilyushin_Il-81</t>
  </si>
  <si>
    <t>My guess based on Il-76</t>
  </si>
  <si>
    <t>&gt;969</t>
  </si>
  <si>
    <t>5H</t>
  </si>
  <si>
    <t>Russia has exported this airplane and only has 19 in their own air force. Russia has 31 more in order</t>
  </si>
  <si>
    <t>https://en.wikipedia.org/wiki/Ilyushin_Il-76#Operators</t>
  </si>
  <si>
    <t>https://en.wikipedia.org/wiki/Boeing_C-17_Globemaster_III</t>
  </si>
  <si>
    <t>https://en.wikipedia.org/wiki/Lockheed_C-130_Hercules</t>
  </si>
  <si>
    <t>&gt;2,500</t>
  </si>
  <si>
    <t>7H</t>
  </si>
  <si>
    <t>https://aerocorner.com/aircraft/lockheed-martin-c-130j-super-hercules/</t>
  </si>
  <si>
    <t>Boeing C-17 US mil. Transport</t>
  </si>
  <si>
    <t>Lockheed C-130 Hercules US mil. Transport</t>
  </si>
  <si>
    <t>Tu-95 RUS strategic bomber (legacy)</t>
  </si>
  <si>
    <t>1952-1993</t>
  </si>
  <si>
    <t>https://en.wikipedia.org/wiki/Tupolev_Tu-95</t>
  </si>
  <si>
    <t>https://en.wikipedia.org/wiki/Tupolev_Tu-96</t>
  </si>
  <si>
    <t>https://en.wikipedia.org/wiki/Tupolev_Tu-98</t>
  </si>
  <si>
    <t>https://en.wikipedia.org/wiki/Tupolev_Tu-99</t>
  </si>
  <si>
    <t>1967–1993</t>
  </si>
  <si>
    <t>Su-24 (RUS legacy can refuel midair)</t>
  </si>
  <si>
    <t>https://en.wikipedia.org/wiki/Sukhoi_Su-24</t>
  </si>
  <si>
    <t>https://en.wikipedia.org/wiki/Sukhoi_Su-27</t>
  </si>
  <si>
    <t>https://en.wikipedia.org/wiki/Sukhoi_Su-28</t>
  </si>
  <si>
    <t>Mi-28NM Russian combat helicopter, no refuel midair</t>
  </si>
  <si>
    <t>Ka-52M Russian combat helicopter no refuel midair</t>
  </si>
  <si>
    <t>114 in active service and 30 more ordered</t>
  </si>
  <si>
    <t>https://en.wikipedia.org/wiki/List_of_active_Russian_military_aircraft</t>
  </si>
  <si>
    <t># in active</t>
  </si>
  <si>
    <t>service</t>
  </si>
  <si>
    <t>Tu 160 Rus strategic bomber</t>
  </si>
  <si>
    <t>https://en.wikipedia.org/wiki/Tupolev_Tu-160</t>
  </si>
  <si>
    <t>https://en.wikipedia.org/wiki/Tupolev_Tu-161</t>
  </si>
  <si>
    <t>https://en.wikipedia.org/wiki/Tupolev_Tu-163</t>
  </si>
  <si>
    <t>https://en.wikipedia.org/wiki/Tupolev_Tu-164</t>
  </si>
  <si>
    <t>1.6H</t>
  </si>
  <si>
    <t>19 on order. As of 28 May 2024, at least six have been lost in the Russian Invasion of Ukraine.</t>
  </si>
  <si>
    <t>https://en.wikipedia.org/wiki/Saab_340_AEW%26C</t>
  </si>
  <si>
    <t>1994–1999</t>
  </si>
  <si>
    <t>https://en.wikipedia.org/wiki/Boeing_E-7_Wedgetail</t>
  </si>
  <si>
    <t>https://www.thedefensepost.com/2024/07/22/us-boeing-wedgetail-deal/?utm_content=cmp-true</t>
  </si>
  <si>
    <t>AWACS E3 Sentry (radar and command legacy)</t>
  </si>
  <si>
    <t>https://www.af.mil/About-Us/Fact-Sheets/Display/Article/104504/e-3-sentry-awacs/</t>
  </si>
  <si>
    <t>https://www.af.mil/About-Us/Fact-Sheets/Display/Article/104573/gbu-39b-small-diameter-bomb-weapon-system/#:~:text=Unit%20cost%3A%20Approximately%20%2440%2C000%20Initial%20operational%20capability%3A%20October,all-weather%2C%20day%20or%20night%20250-pound%20class%2C%20guided%20munition.</t>
  </si>
  <si>
    <t xml:space="preserve"># made </t>
  </si>
  <si>
    <t>per year</t>
  </si>
  <si>
    <t>Total Rus aircraft</t>
  </si>
  <si>
    <t>Time to target</t>
  </si>
  <si>
    <t>#of L variant that can refuel midair</t>
  </si>
  <si>
    <t># of RUS aircraft not suited for glider bombs</t>
  </si>
  <si>
    <t xml:space="preserve"># of Rus aircraft suited for glider bomb </t>
  </si>
  <si>
    <t>Kalibr RUS sea launched</t>
  </si>
  <si>
    <t>Kh-47M2 Kinzhal RUS air launched</t>
  </si>
  <si>
    <t xml:space="preserve"> million USD</t>
  </si>
  <si>
    <t>million USD</t>
  </si>
  <si>
    <t xml:space="preserve">Cost making </t>
  </si>
  <si>
    <t>in USD</t>
  </si>
  <si>
    <t>Unit cost</t>
  </si>
  <si>
    <t>Main</t>
  </si>
  <si>
    <t>source</t>
  </si>
  <si>
    <t>1987-</t>
  </si>
  <si>
    <t>2012-</t>
  </si>
  <si>
    <t>1994–</t>
  </si>
  <si>
    <t>1978–2017</t>
  </si>
  <si>
    <t>2007-</t>
  </si>
  <si>
    <t>2006-</t>
  </si>
  <si>
    <t>Links to all sources are available in sources table below</t>
  </si>
  <si>
    <t>US plans to make another 26</t>
  </si>
  <si>
    <t>1952–1962</t>
  </si>
  <si>
    <t>1987–2000</t>
  </si>
  <si>
    <t>1954-</t>
  </si>
  <si>
    <t>https://en.wikipedia.org/wiki/Kh-69</t>
  </si>
  <si>
    <t>1980-</t>
  </si>
  <si>
    <t>2003-</t>
  </si>
  <si>
    <t>Cost of bullets not machine gun</t>
  </si>
  <si>
    <t>1991–2015</t>
  </si>
  <si>
    <t>1984-</t>
  </si>
  <si>
    <t>1977–1992</t>
  </si>
  <si>
    <t>2023-</t>
  </si>
  <si>
    <t>2013-</t>
  </si>
  <si>
    <t>Years made</t>
  </si>
  <si>
    <t>1971-</t>
  </si>
  <si>
    <t>1978–1992</t>
  </si>
  <si>
    <t>1990-</t>
  </si>
  <si>
    <t>2005-</t>
  </si>
  <si>
    <t>2016-</t>
  </si>
  <si>
    <t>1982–</t>
  </si>
  <si>
    <t>Mi-26 Russian heavy transport helicopter</t>
  </si>
  <si>
    <t>https://en.wikipedia.org/wiki/Mil_Mi-26</t>
  </si>
  <si>
    <t>50M</t>
  </si>
  <si>
    <t>https://www.helicopterspecs.com/2019/09/mil-mi-26.html#:~:text=The%20price%20of%20the%20latest%20Mil%20Mi-26,helicopter%20is%20around%20US%20%24%2025%20Million.</t>
  </si>
  <si>
    <t>https://en.wikipedia.org/wiki/Mil_Mi-26#Specifications_(Mi-26)</t>
  </si>
  <si>
    <t>1961–</t>
  </si>
  <si>
    <t>&gt;17,000</t>
  </si>
  <si>
    <t>world's most-produced helicopter</t>
  </si>
  <si>
    <t>https://www.aircraft24.com/helicopter/mil/mi-8--xm1183.htm</t>
  </si>
  <si>
    <t>https://en.wikipedia.org/wiki/Mil_Mi-8</t>
  </si>
  <si>
    <t>https://en.wikipedia.org/wiki/Mil_Mi-9</t>
  </si>
  <si>
    <t>https://en.wikipedia.org/wiki/Mil_Mi-11</t>
  </si>
  <si>
    <t>https://en.wikipedia.org/wiki/Mil_Mi-12</t>
  </si>
  <si>
    <t>Mil Mi-8 RUS transport and medical helicopter</t>
  </si>
  <si>
    <t># of RUS attack helicopters</t>
  </si>
  <si>
    <t># of transport and medical helicopters</t>
  </si>
  <si>
    <t>Total Rus helicopters</t>
  </si>
  <si>
    <t>1977-</t>
  </si>
  <si>
    <t>2021-</t>
  </si>
  <si>
    <t>MAGURA V5 UKR navy drone</t>
  </si>
  <si>
    <t>not done</t>
  </si>
  <si>
    <t>2020-</t>
  </si>
  <si>
    <t>2021 -</t>
  </si>
  <si>
    <t>Shahed when mass produced like a car</t>
  </si>
  <si>
    <t>Lancet when mass produced like a car</t>
  </si>
  <si>
    <t>Enterprise by AeroDrone UKR drone</t>
  </si>
  <si>
    <t>2024, Mar.</t>
  </si>
  <si>
    <t>2015-</t>
  </si>
  <si>
    <t>https://youtu.be/kvfDh_lnVLM?si=Gpeuv0Sus7O-de3i&amp;t=275</t>
  </si>
  <si>
    <t>https://youtu.be/kvfDh_lnVLM?si=Gpeuv0Sus7O-de3i&amp;t=276</t>
  </si>
  <si>
    <t>https://youtu.be/kvfDh_lnVLM?si=Gpeuv0Sus7O-de3i&amp;t=279</t>
  </si>
  <si>
    <t>miles</t>
  </si>
  <si>
    <t>https://youtu.be/kvfDh_lnVLM?si=hBhWntQiYpuXUzxa&amp;t=306</t>
  </si>
  <si>
    <t>https://youtu.be/kvfDh_lnVLM?si=2yhtBehlj7Cdb-O8&amp;t=332</t>
  </si>
  <si>
    <t>https://youtu.be/kvfDh_lnVLM?si=IJPN2sNNh1fQWoWk&amp;t=338</t>
  </si>
  <si>
    <t>B-1B US strategic bomber (legacy)</t>
  </si>
  <si>
    <t>https://youtu.be/kvfDh_lnVLM?si=K6P8Z1gXGli-4ABm&amp;t=72</t>
  </si>
  <si>
    <t>https://youtu.be/kvfDh_lnVLM?si=wNY1Wp4uYwDUAj2z&amp;t=105</t>
  </si>
  <si>
    <t>450/120</t>
  </si>
  <si>
    <t>https://youtu.be/kvfDh_lnVLM?si=vnFnFiBeCgkj3fpP&amp;t=254</t>
  </si>
  <si>
    <t>https://youtu.be/kvfDh_lnVLM?si=vnFnFiBeCgkj3fpP&amp;t=255</t>
  </si>
  <si>
    <t>https://youtu.be/kvfDh_lnVLM?si=vnFnFiBeCgkj3fpP&amp;t=256</t>
  </si>
  <si>
    <t>https://youtu.be/kvfDh_lnVLM?si=vnFnFiBeCgkj3fpP&amp;t=257</t>
  </si>
  <si>
    <t>https://youtu.be/EuAQ7jOyGGo?si=4RpfDiSmuxW5BQwD&amp;t=110</t>
  </si>
  <si>
    <t>2024, Jan.-</t>
  </si>
  <si>
    <t>1998-</t>
  </si>
  <si>
    <t>1983-</t>
  </si>
  <si>
    <t>https://www.youtube.com/watch?v=EuAQ7jOyGGo&amp;t=110s</t>
  </si>
  <si>
    <t>1991-2023</t>
  </si>
  <si>
    <t>2023, Dec. -</t>
  </si>
  <si>
    <t>2006-2020</t>
  </si>
  <si>
    <t>?</t>
  </si>
  <si>
    <t>2006–</t>
  </si>
  <si>
    <t>2002–</t>
  </si>
  <si>
    <t>1981-</t>
  </si>
  <si>
    <t>2017–</t>
  </si>
  <si>
    <t>https://en.wikipedia.org/wiki/Rockwell_B-1_Lancer</t>
  </si>
  <si>
    <t>1974-1988</t>
  </si>
  <si>
    <t>3.5H</t>
  </si>
  <si>
    <t>B-2 Spirit US strategic stealth bomber</t>
  </si>
  <si>
    <t>B-21 Raider US strategic stealth bomber</t>
  </si>
  <si>
    <t>maiden 2023</t>
  </si>
  <si>
    <t>development, not expected operational until 2027</t>
  </si>
  <si>
    <t>Tu-22M3 RUS strategic bomber (legacy) likely less than 5 can refuel midair, first with this capability was delivered in 2020</t>
  </si>
  <si>
    <t>https://en.wikipedia.org/wiki/Northrop_Grumman_B-21_Raider</t>
  </si>
  <si>
    <t>&gt;5,500</t>
  </si>
  <si>
    <t>6H</t>
  </si>
  <si>
    <t>37M</t>
  </si>
  <si>
    <t>1967-2002</t>
  </si>
  <si>
    <t>1975-2011</t>
  </si>
  <si>
    <t>S-500 missile system</t>
  </si>
  <si>
    <t>https://en.wikipedia.org/wiki/S-500_missile_system</t>
  </si>
  <si>
    <t>Ukraine claims it is deployed at Kerch Bridge</t>
  </si>
  <si>
    <t>2022-</t>
  </si>
  <si>
    <t>https://en.m.wikipedia.org/wiki/Rapid_Dragon_(missile_system)</t>
  </si>
  <si>
    <t>https://www.youtube.com/watch?v=a0jL1d7MscM&amp;t=256s</t>
  </si>
  <si>
    <t>https://en.wikipedia.org/wiki/AGM-158C_LRASM</t>
  </si>
  <si>
    <t>https://x.com/HMexperienceDK/status/1827672906635116937</t>
  </si>
  <si>
    <t>Proprietary. © H. Mathiesen. This material can be used by others free of charge provided that the author H. Mathiesen is attributed and a clickable link is made visible to the location of used material on www.hmexperience.dk</t>
  </si>
  <si>
    <t>50-100</t>
  </si>
  <si>
    <t>https://www.airandspaceforces.com/usaf-to-start-buying-extreme-range-jassms-in-2021/</t>
  </si>
  <si>
    <t>19 were used in 2018 to destroy chemical weapons plant in Syria, 6 where used to kill ISIS leader in 2019 in Iraq</t>
  </si>
  <si>
    <t>Ukraine had 19 of these in 1991 but sold 8 to Russia and agreed to scrap the rest in return for US and UK security guaranties see https://en.wikipedia.org/wiki/Budapest_Memorandum</t>
  </si>
  <si>
    <t>https://www.pravda.com.ua/eng/news/2024/08/27/7472208/</t>
  </si>
  <si>
    <t>&gt;1</t>
  </si>
  <si>
    <t>https://en.wikipedia.org/wiki/Hrim-2</t>
  </si>
  <si>
    <t>https://en.wikipedia.org/wiki/Hrim-5</t>
  </si>
  <si>
    <t>https://x.com/HMexperienceDK/status/1828426791733592153</t>
  </si>
  <si>
    <t>https://en.wikipedia.org/wiki/Boeing_AH-64_Apache</t>
  </si>
  <si>
    <t>1975-</t>
  </si>
  <si>
    <t xml:space="preserve"> - M230, 30mm machine gun 1200 rounds</t>
  </si>
  <si>
    <t>5S</t>
  </si>
  <si>
    <t>65S</t>
  </si>
  <si>
    <t>25S</t>
  </si>
  <si>
    <t>Hour, Sec</t>
  </si>
  <si>
    <t>see F16</t>
  </si>
  <si>
    <t xml:space="preserve"> - 20mm gun M61 Vulcan for F16s, 325 rounds</t>
  </si>
  <si>
    <t>1959-</t>
  </si>
  <si>
    <t>1978-</t>
  </si>
  <si>
    <t>https://aerocorner.com/aircraft/boeing-ah-64d-apache-longbow/</t>
  </si>
  <si>
    <t>https://thegunzone.com/how-much-does-30-mm-ammo-cost/</t>
  </si>
  <si>
    <t>2011-</t>
  </si>
  <si>
    <t>2014-</t>
  </si>
  <si>
    <t>1953-</t>
  </si>
  <si>
    <t>https://en.wikipedia.org/wiki/VS-50_mine</t>
  </si>
  <si>
    <t>1985-</t>
  </si>
  <si>
    <t>https://youtu.be/TSZ3Gl4QqQ0?si=V_GH0N0qpqsz5xFu&amp;t=56</t>
  </si>
  <si>
    <t>https://www.iwavecomms.com/80km-long-range-drone-hdmi-and-sdi-video-transmitter-and-serial-data-downlink-product/</t>
  </si>
  <si>
    <t>calc.</t>
  </si>
  <si>
    <t>follow link to naval weapons</t>
  </si>
  <si>
    <t>2010-</t>
  </si>
  <si>
    <t>1999-</t>
  </si>
  <si>
    <t>1991-</t>
  </si>
  <si>
    <t>1972-</t>
  </si>
  <si>
    <t>1956-</t>
  </si>
  <si>
    <t xml:space="preserve"> - AGM-179 JAGM missile any aircraft, replaces Hellfire</t>
  </si>
  <si>
    <t>https://en.wikipedia.org/wiki/MIM-104_Patriot#</t>
  </si>
  <si>
    <t>2000-</t>
  </si>
  <si>
    <t>1997-</t>
  </si>
  <si>
    <t>Iris-T SLM system, German mid-range</t>
  </si>
  <si>
    <t>https://en.wikipedia.org/wiki/IRIS-T</t>
  </si>
  <si>
    <t>2.4M</t>
  </si>
  <si>
    <t>1960-1994</t>
  </si>
  <si>
    <t>1976-2010</t>
  </si>
  <si>
    <t>1976-</t>
  </si>
  <si>
    <t>https://en.wikipedia.org/wiki/Skyshield</t>
  </si>
  <si>
    <t>2024-</t>
  </si>
  <si>
    <t>1930-</t>
  </si>
  <si>
    <t>https://en.wikipedia.org/wiki/Base_bleed</t>
  </si>
  <si>
    <t>1970-</t>
  </si>
  <si>
    <t>https://en.wikipedia.org/wiki/155_mm_caliber</t>
  </si>
  <si>
    <t>2004-</t>
  </si>
  <si>
    <t>1944-</t>
  </si>
  <si>
    <t>Mortar shells 60mm, M2 &amp; M224</t>
  </si>
  <si>
    <t>https://www.dday-overlord.com/en/material/artillery/m2-60mm-mortar</t>
  </si>
  <si>
    <t>Mortar shells 81mm, M1 &amp; M252</t>
  </si>
  <si>
    <t>https://en.wikipedia.org/wiki/M252_mortar#</t>
  </si>
  <si>
    <t>https://man.fas.org/dod-101/sys/land/m933.htm</t>
  </si>
  <si>
    <t>Mortar shells 120mm, M933, M934</t>
  </si>
  <si>
    <t>https://en.wikipedia.org/wiki/M142_HIMARS#MLRS</t>
  </si>
  <si>
    <t>https://en.wikipedia.org/wiki/M270_Multiple_Launch_Rocket_System#MLRS</t>
  </si>
  <si>
    <t>https://en.wikipedia.org/wiki/M270_Multiple_Launch_Rocket_System#GMLRS</t>
  </si>
  <si>
    <t>1958-</t>
  </si>
  <si>
    <t>https://en.wikipedia.org/wiki/RPG-8</t>
  </si>
  <si>
    <t>https://en.wikipedia.org/wiki/RPG-9</t>
  </si>
  <si>
    <t>https://en.wikipedia.org/wiki/RPG-10</t>
  </si>
  <si>
    <t>https://en.wikipedia.org/wiki/RPG-11</t>
  </si>
  <si>
    <t>1996-</t>
  </si>
  <si>
    <t>&gt;50,000</t>
  </si>
  <si>
    <t>my guess missile is 30kg which is a lot</t>
  </si>
  <si>
    <t>&gt;6</t>
  </si>
  <si>
    <t>2008-</t>
  </si>
  <si>
    <t>takeoff weight of 12kg</t>
  </si>
  <si>
    <t>Mid-range drone 25&lt;x&lt;100km</t>
  </si>
  <si>
    <t>Short-range drone &lt;25km</t>
  </si>
  <si>
    <t>Long-range drone &gt;100kilometers</t>
  </si>
  <si>
    <t>Max FPV radio range 80km</t>
  </si>
  <si>
    <t>https://www.jetcat.de/en/productdetails/produkte/jetcat/produkte/Professionell/p400%20pro</t>
  </si>
  <si>
    <t>70M</t>
  </si>
  <si>
    <t>FPV with RPG-7 cheap battery, 4.5kg=2+2+.05</t>
  </si>
  <si>
    <t>FPV with RPG-7 expensive battery, 4.5kg total</t>
  </si>
  <si>
    <t>https://www.armyrecognition.com/news/army-news/army-news-2024/first-battle-proven-fpv-drone-made-in-nato-presented-by-german-industry</t>
  </si>
  <si>
    <t>1.8M</t>
  </si>
  <si>
    <t>9M</t>
  </si>
  <si>
    <t>&gt;13.5H</t>
  </si>
  <si>
    <t>https://www.reuters.com/graphics/UKRAINE-CRISIS/DRONES/dwpkeyjwkpm/</t>
  </si>
  <si>
    <t>https://www.dji.com/dk/mavic-3-pro/specs</t>
  </si>
  <si>
    <t>https://store.dji.com/dk/product/dji-mavic-3-pro?site=brandsite&amp;from=buy_now_bar&amp;vid=137691</t>
  </si>
  <si>
    <t>&gt;100,000</t>
  </si>
  <si>
    <t>https://en.wikipedia.org/wiki/Shark_(drone)</t>
  </si>
  <si>
    <t>2.1H</t>
  </si>
  <si>
    <t>thermal vid</t>
  </si>
  <si>
    <t>https://www.technology.org/2023/10/16/baba-yaga-drones-delivering-fear-to-russian-occupiers/</t>
  </si>
  <si>
    <t>https://en.wikipedia.org/wiki/Baba_Yaga_(aircraft)</t>
  </si>
  <si>
    <t>Baba Yaga FPV bomber, 35kg=15+15+5</t>
  </si>
  <si>
    <t>Lancet FPV attack drone, radio range 40km, 12 kg takeoff weight</t>
  </si>
  <si>
    <t>https://en.wikipedia.org/wiki/Sypaq_Corvo_Precision_Payload_Delivery_System</t>
  </si>
  <si>
    <t>https://www.youtube.com/watch?app=desktop&amp;si=Vs2Fdzh0GZ0OZoR6&amp;v=5ckYz616rEc&amp;feature=youtu.be</t>
  </si>
  <si>
    <t>1.7H</t>
  </si>
  <si>
    <t>15H</t>
  </si>
  <si>
    <t>https://en.wikipedia.org/wiki/Bober_(drone)</t>
  </si>
  <si>
    <t>https://www.kyivpost.com/post/20129</t>
  </si>
  <si>
    <t>5.3H</t>
  </si>
  <si>
    <t>dec, 2023</t>
  </si>
  <si>
    <t>Beaver Bober attack</t>
  </si>
  <si>
    <t>https://x.com/EuromaidanPress/status/1736559427866464628</t>
  </si>
  <si>
    <t>https://www.forbes.com/sites/davidhambling/2023/12/17/scythe-attack-drone-is-ukraines-answer-to-russias-shaheds/</t>
  </si>
  <si>
    <t>5.4H</t>
  </si>
  <si>
    <t>https://en.wikipedia.org/wiki/AQ-400_Scythe</t>
  </si>
  <si>
    <t>RCH155 Remote Controlled Howitzer155 mm German</t>
  </si>
  <si>
    <t xml:space="preserve"> - HAMMER rocket assisted bomb, France</t>
  </si>
  <si>
    <t xml:space="preserve"> - 30mm timer shells for M230 cannon </t>
  </si>
  <si>
    <t>https://www.nationaldefensemagazine.org/articles/2023/5/22/us-made--counter-drone-trucks-head-for-ukraine</t>
  </si>
  <si>
    <t>Plan is to build 100 B-21</t>
  </si>
  <si>
    <t>https://t.me/astrapress/62407</t>
  </si>
  <si>
    <t>2S22 Bohdana self-propelled howitzer 155mm</t>
  </si>
  <si>
    <t>&gt;30</t>
  </si>
  <si>
    <t>https://en.wikipedia.org/wiki/2S22_Bohdana</t>
  </si>
  <si>
    <t>CAESAR self-propelled howitzer, French</t>
  </si>
  <si>
    <t>Archer self-propelled howitzer, Swedish</t>
  </si>
  <si>
    <t>Panzerhaubitze 2000, German</t>
  </si>
  <si>
    <t>Sokil-300/Falcon-300 attack drone that fire missiles</t>
  </si>
  <si>
    <t>https://uk.wikipedia.org/wiki/%D0%A1%D0%BE%D0%BA%D1%96%D0%BB-300</t>
  </si>
  <si>
    <t>https://uk.wikipedia.org/wiki/%D0%A1%D0%BE%D0%BA%D1%96%D0%BB-301</t>
  </si>
  <si>
    <t>https://uk.wikipedia.org/wiki/%D0%A1%D0%BE%D0%BA%D1%96%D0%BB-303</t>
  </si>
  <si>
    <t>https://uk.wikipedia.org/wiki/%D0%A1%D0%BE%D0%BA%D1%96%D0%BB-304</t>
  </si>
  <si>
    <t>https://uk.wikipedia.org/wiki/%D0%A1%D0%BE%D0%BA%D1%96%D0%BB-305</t>
  </si>
  <si>
    <t>https://uk.wikipedia.org/wiki/%D0%A1%D0%BE%D0%BA%D1%96%D0%BB-306</t>
  </si>
  <si>
    <t>Bayraktar TB2, Turkish attack drone that fire missiles</t>
  </si>
  <si>
    <t>22H</t>
  </si>
  <si>
    <t>https://en.wikipedia.org/wiki/Bayraktar_TB2#Specifications_(TB2)</t>
  </si>
  <si>
    <t>MQ-1 Predator US attack drone that fire missiles</t>
  </si>
  <si>
    <t>1995-2018</t>
  </si>
  <si>
    <t>https://en.wikipedia.org/wiki/General_Atomics_MQ-1_Predator</t>
  </si>
  <si>
    <t>https://en.wikipedia.org/wiki/General_Atomics_MQ-1C_Gray_Eagle</t>
  </si>
  <si>
    <t>MQ-1C Gray Eagle replacement for Predator</t>
  </si>
  <si>
    <t>&gt;204</t>
  </si>
  <si>
    <t>25H</t>
  </si>
  <si>
    <t>https://warriorlodge.com/pages/general-atomics-mq-1c-gray-eagle#:~:text=Unit%20cost%20US%2421.5m%20%28FY13%29%20US%2431.2m%20%28inc%20R%26D%29%20Developed,a%20Thielert%20Centurion%201.7%20Heavy%20Fuel%20Engine%20%28HFE%29.</t>
  </si>
  <si>
    <t>https://www.newarab.com/analysis/bayraktar-tb2-rise-turkeys-drone-industry#:~:text=%22A%20TB2%20drone%20costs%20an%20estimated%20%241-2%20million%2C,the%20United%20Kingdom%20paid%20for%20US-built%20Protector%20drones%22</t>
  </si>
  <si>
    <t>https://en.wikipedia.org/wiki/Bayraktar_TB2</t>
  </si>
  <si>
    <t>https://en.wikipedia.org/wiki/Bayraktar_TB3</t>
  </si>
  <si>
    <t>https://en.wikipedia.org/wiki/Bayraktar_TB5</t>
  </si>
  <si>
    <t>https://en.wikipedia.org/wiki/Bayraktar_TB6</t>
  </si>
  <si>
    <t>my guess based on price from similar IAI Heron and Turkish Bayraktar</t>
  </si>
  <si>
    <t>27H</t>
  </si>
  <si>
    <t>&gt;600</t>
  </si>
  <si>
    <t>https://uk.wikipedia.org/wiki/UJ-22_Airborne</t>
  </si>
  <si>
    <t xml:space="preserve">not used </t>
  </si>
  <si>
    <t>6.7H</t>
  </si>
  <si>
    <t>my guess based on price from similar Beaver drone</t>
  </si>
  <si>
    <t>Kh-101 Rus cruise missile air launched, Ukr shoot 85% down</t>
  </si>
  <si>
    <t>https://en.wikipedia.org/wiki/S-300_missile_system#</t>
  </si>
  <si>
    <t>S-300 missile 48N6P RUS many versions, 1800kg also ground attack Ukr cant shoot it down</t>
  </si>
  <si>
    <t>2.2M</t>
  </si>
  <si>
    <t>8.2</t>
  </si>
  <si>
    <t>84</t>
  </si>
  <si>
    <t>2002-</t>
  </si>
  <si>
    <t>https://en.wikipedia.org/wiki/Teledyne_CAE_J402</t>
  </si>
  <si>
    <t>Fuel consumption is 1.2 lb/(lbf·h) and Maximum thrust: 660 lbf. In kg 1.2kg/kgf*h and 300 kgf. So missile use at most 1.2*300=360 kg jet fuel per hour</t>
  </si>
  <si>
    <t>Jet engine J402-CA-400 46kg</t>
  </si>
  <si>
    <t>44M</t>
  </si>
  <si>
    <t>Boeing E-7 Wedgetail AWACS replacement</t>
  </si>
  <si>
    <t>7.6H</t>
  </si>
  <si>
    <t>8.7H</t>
  </si>
  <si>
    <t>https://en.wikipedia.org/wiki/Northrop_Grumman_RQ-4_Global_Hawk#Specifications_(RQ-4B_Block_30/40)</t>
  </si>
  <si>
    <t>40H</t>
  </si>
  <si>
    <t>Service ceiling: 18km</t>
  </si>
  <si>
    <t>120km</t>
  </si>
  <si>
    <t>1998-2027</t>
  </si>
  <si>
    <t>RQ-180 US surveillance stealth drone</t>
  </si>
  <si>
    <t>RQ-4 Global Hawk, US surveillance 14.6ton</t>
  </si>
  <si>
    <t>Iskander Rus ballistic missile ground l. 4ton, Ukr shoot 50% down</t>
  </si>
  <si>
    <t>my guess the missile look identical to RUS Iskandar missile so same specs</t>
  </si>
  <si>
    <t>4.2M</t>
  </si>
  <si>
    <t>https://en.wikipedia.org/wiki/Williams_F107#Specifications_(WR19)</t>
  </si>
  <si>
    <t>Jet engine J402-CA-400 30kg</t>
  </si>
  <si>
    <t>kg/h</t>
  </si>
  <si>
    <t>https://en.wikipedia.org/wiki/MS400_turbofan_engine</t>
  </si>
  <si>
    <t>Fuel consumption is 0.78 lb/(lbf·h) and Maximum thrust: 890 lbf. In kg 0.78kg/kgf*h and 404 kgf. So missile use at most 0.78*404=315 kg jet fuel per hour</t>
  </si>
  <si>
    <t>kg</t>
  </si>
  <si>
    <t>Test</t>
  </si>
  <si>
    <t>12M</t>
  </si>
  <si>
    <t>https://www.youtube.com/watch?v=DZ5xoJfqXA4&amp;t=46s</t>
  </si>
  <si>
    <t>https://www.youtube.com/watch?v=ycP05g-clX8&amp;list=FLZCT9hB-Visphsp0Ne3D-xA</t>
  </si>
  <si>
    <t xml:space="preserve">Jet engine P400-Pro jet-engine costing 11,000 USD at 4010grams see https://www.armyrecognition.com/focus-analysis-conflicts/army/conflicts-in-the-world/ukraine-russia-conflict/ukraine-deploys-new-palianytsia-missile-drone-in-strike-on-russian-military-base </t>
  </si>
  <si>
    <t>Fuel consumption is  1.6 kg/kgf*h and 43 kgf. So missile use at most 1.6*43=68.8 kg jet fuel per hour</t>
  </si>
  <si>
    <t>Jet engine MS400 turbofan engine, 86kg</t>
  </si>
  <si>
    <t>follow links in cells to naval weapons</t>
  </si>
  <si>
    <t xml:space="preserve">Speed estimated by chat prompt: What is the top speed in km/h of cruise missile given the following conditions: 1) It has 404 kgf thrust, 2) Its drag coefficient is Cd = 0.12, 3) The air density at sea level is rho = 1.225 kg/m^3, 4) Its frontal area is A = 0.5 m^2. </t>
  </si>
  <si>
    <t>2025 spring?</t>
  </si>
  <si>
    <t>Palianytsia "biggest"  Cruise m. 1.2 ton by Neptune engineers using imported JASSM-ER jet engine, warhead, navigation, homing and EW systems</t>
  </si>
  <si>
    <t>kg fuel consumption given time to target</t>
  </si>
  <si>
    <t>40M</t>
  </si>
  <si>
    <t>Palianytsia "big" Neptune-MD Cruise m. 980 kg by Neptune engineers using Neptune jet engine</t>
  </si>
  <si>
    <t>29M</t>
  </si>
  <si>
    <t>Adjustment made to public available info: I had to calculate speed as that is not publicly available</t>
  </si>
  <si>
    <t>Adjustment made to public available info: Wiki say warhead is 150kg and range is between 200 and 300km. That is not true given other publicly available info plus physics. I have changed range to 500 km and warhead to 300 kg to make it realistic</t>
  </si>
  <si>
    <t>Adjustment made to public available info: Not much because not much publicly available info and I filled in the blanks with numbers that fit everything else we know. The chat prompt for top speed has been changed with increased drag and frontal area to account for the wings needed relative to Neptune missile to create more uplift because of higher weight of missile that carry more fuel and structural weight to have more range so Cd and A increases</t>
  </si>
  <si>
    <t>Jet engine Williams F107, 30kg</t>
  </si>
  <si>
    <t>If jet engine is Williams F107, 30kg (no public info on which jet engine is used. However, I speculate same as for JASSM-ER will do because very powerful and a larger fuel tank and bigger wings for better uplift to keep it flying will more weight from more fuel</t>
  </si>
  <si>
    <t>Jet engine is Williams F107, 30kg. Missile is identical to JASSM-ER except for the homing and navigation electronics is more advanced as it need to destroy ships that move at speed and water navigation cant be done using maps as water is the same everywhere with no distinct landscape to use for navigation</t>
  </si>
  <si>
    <t>currently</t>
  </si>
  <si>
    <t>Notes in my chat prompt I  increase Cd to 0.2 up from 0.18 for the JASSM-ER. I also increase frontal area to A=0.7 up from 0.6 for the JASSM-ER. The reason is that missile need more fuel to fly the longer range and that will require larger wings to provide more lift for the added weight.</t>
  </si>
  <si>
    <t>111M</t>
  </si>
  <si>
    <t>Chat prompt: What is the top speed in km/h of cruise missile given the following conditions: 1) It has 404 kgf thrust, 2) Its drag coefficient is Cd = 0.17, 3) The air density at sea level is rho = 1.225 kg/m^3, 4) Its frontal area is A = 0.6 m^2. Answer: 908 km/h</t>
  </si>
  <si>
    <t>45M</t>
  </si>
  <si>
    <t>Fuel consumption is 0.683 lb/(lbf·h) and Maximum thrust: 1400 lbf. In kg 0.683kg/kgf*h and 635 kgf. So missile use at most 0.683*635=434 kg jet fuel per hour</t>
  </si>
  <si>
    <t>Weight of missile without fuel 434kg, engine 30 kg and warhead 450kg. This calculation is used to judge the realism of publicly available info (like range, speed and warhead of weapon) that may be deceptive and not fit with other known physics characteristics of weapon</t>
  </si>
  <si>
    <t>See sources for weapon below under "Large long-range missiles</t>
  </si>
  <si>
    <t>2023, Aug.-</t>
  </si>
  <si>
    <t>https://tradingeconomics.com/india/population</t>
  </si>
  <si>
    <t>https://tradingeconomics.com/iran/population</t>
  </si>
  <si>
    <t>South Korea</t>
  </si>
  <si>
    <t>https://en.wikipedia.org/wiki/North_Korea</t>
  </si>
  <si>
    <t>https://tradingeconomics.com/taiwan/population</t>
  </si>
  <si>
    <t>https://tradingeconomics.com/china/population</t>
  </si>
  <si>
    <t>https://tradingeconomics.com/turkey/population</t>
  </si>
  <si>
    <t>https://tradingeconomics.com/israel/population</t>
  </si>
  <si>
    <t>https://tradingeconomics.com/pakistan/population</t>
  </si>
  <si>
    <t>https://tradingeconomics.com/south-korea/population</t>
  </si>
  <si>
    <t>https://tradingeconomics.com/south-korea/gdp</t>
  </si>
  <si>
    <t>https://tradingeconomics.com/india/military-expenditure-percent-of-gdp-wb-data.html</t>
  </si>
  <si>
    <t>https://tradingeconomics.com/south-korea/military-expenditure-percent-of-gdp-wb-data.html</t>
  </si>
  <si>
    <t>Philippines</t>
  </si>
  <si>
    <t>https://tradingeconomics.com/philippines/gdp</t>
  </si>
  <si>
    <t>https://tradingeconomics.com/philippines/population</t>
  </si>
  <si>
    <t>https://tradingeconomics.com/philippines/military-expenditure-percent-of-gdp-wb-data.html</t>
  </si>
  <si>
    <t>in % of</t>
  </si>
  <si>
    <t>GDP</t>
  </si>
  <si>
    <t>Exports</t>
  </si>
  <si>
    <t>https://tradingeconomics.com/united-states/exports-of-goods-and-services-percent-of-gdp-wb-data.html</t>
  </si>
  <si>
    <t>https://tradingeconomics.com/euro-area/exports-of-goods-and-services-percent-of-gdp-wb-data.html</t>
  </si>
  <si>
    <t>https://tradingeconomics.com/china/exports-of-goods-and-services-percent-of-gdp-wb-data.html</t>
  </si>
  <si>
    <t>https://tradingeconomics.com/russia/exports-of-goods-and-services-percent-of-gdp-wb-data.html</t>
  </si>
  <si>
    <t>https://tradingeconomics.com/ukraine/exports-of-goods-and-services-percent-of-gdp-wb-data.html</t>
  </si>
  <si>
    <t>https://tradingeconomics.com/germany/exports-of-goods-and-services-percent-of-gdp-wb-data.html</t>
  </si>
  <si>
    <t>https://tradingeconomics.com/united-kingdom/exports-of-goods-and-services-percent-of-gdp-wb-data.html</t>
  </si>
  <si>
    <t>https://tradingeconomics.com/denmark/exports-of-goods-and-services-percent-of-gdp-wb-data.html</t>
  </si>
  <si>
    <t>https://tradingeconomics.com/norway/exports-of-goods-and-services-percent-of-gdp-wb-data.html</t>
  </si>
  <si>
    <t>https://tradingeconomics.com/japan/exports-of-goods-and-services-percent-of-gdp-wb-data.html</t>
  </si>
  <si>
    <t>https://tradingeconomics.com/canada/exports-of-goods-and-services-percent-of-gdp-wb-data.html</t>
  </si>
  <si>
    <t>https://tradingeconomics.com/poland/exports-of-goods-and-services-percent-of-gdp-wb-data.html</t>
  </si>
  <si>
    <t>https://tradingeconomics.com/netherlands/exports-of-goods-and-services-percent-of-gdp-wb-data.html</t>
  </si>
  <si>
    <t>https://tradingeconomics.com/sweden/exports-of-goods-and-services-percent-of-gdp-wb-data.html</t>
  </si>
  <si>
    <t>https://tradingeconomics.com/switzerland/exports-of-goods-and-services-percent-of-gdp-wb-data.html</t>
  </si>
  <si>
    <t>https://tradingeconomics.com/france/exports-of-goods-and-services-percent-of-gdp-wb-data.html</t>
  </si>
  <si>
    <t>https://tradingeconomics.com/finland/exports-of-goods-and-services-percent-of-gdp-wb-data.html</t>
  </si>
  <si>
    <t>https://tradingeconomics.com/czech-republic/exports-of-goods-and-services-percent-of-gdp-wb-data.html</t>
  </si>
  <si>
    <t>https://tradingeconomics.com/italy/exports-of-goods-and-services-percent-of-gdp-wb-data.html</t>
  </si>
  <si>
    <t>https://tradingeconomics.com/israel/exports-of-goods-and-services-percent-of-gdp-wb-data.html</t>
  </si>
  <si>
    <t>https://tradingeconomics.com/iran/exports-of-goods-and-services-percent-of-gdp-wb-data.html</t>
  </si>
  <si>
    <t>https://tradingeconomics.com/south-korea/exports-of-goods-and-services-percent-of-gdp-wb-data.html</t>
  </si>
  <si>
    <t>https://tradingeconomics.com/pakistan/exports-of-goods-and-services-percent-of-gdp-wb-data.html</t>
  </si>
  <si>
    <t>https://tradingeconomics.com/india/exports-of-goods-and-services-percent-of-gdp-wb-data.html</t>
  </si>
  <si>
    <t>https://tradingeconomics.com/turkey/exports-of-goods-and-services-percent-of-gdp-wb-data.html</t>
  </si>
  <si>
    <t>https://tradingeconomics.com/philippines/exports-of-goods-and-services-percent-of-gdp-wb-data.html</t>
  </si>
  <si>
    <t>https://tradingeconomics.com/taiwan/exports</t>
  </si>
  <si>
    <t>https://en.wikipedia.org/wiki/Typhon_missile_launcher</t>
  </si>
  <si>
    <t>2009-</t>
  </si>
  <si>
    <t>https://en.wikipedia.org/wiki/RIM-174_Standard_ERAM</t>
  </si>
  <si>
    <t>64</t>
  </si>
  <si>
    <t>1800 ordered, blast fragmentation warhead</t>
  </si>
  <si>
    <t>7M</t>
  </si>
  <si>
    <t>Japan has ordered this system as well as US army</t>
  </si>
  <si>
    <t>The US have ordered 380 more will have 450 by 2026. Australia has ordered 200</t>
  </si>
  <si>
    <t>https://www.leonardodrs.com/what-we-do/products-and-services/m1000-heavy-equipment-transport-semi-trailer/</t>
  </si>
  <si>
    <t>70 tons all weather, all-roads</t>
  </si>
  <si>
    <t>https://en.wikipedia.org/wiki/Heavy_Equipment_Transport_System</t>
  </si>
  <si>
    <t>1989-</t>
  </si>
  <si>
    <t>https://www.leonardodrs.com/wp-content/uploads/2023/09/m1000-datasheet.pdf</t>
  </si>
  <si>
    <t>https://en.wikipedia.org/wiki/Mark_41_vertical_launching_system</t>
  </si>
  <si>
    <t xml:space="preserve"> - Joint Strike Missile cruise missile, F35 can carry 2 in its internal weapons bay with 4 more externally </t>
  </si>
  <si>
    <t>https://en.wikipedia.org/wiki/Sikorsky_CH-53E_Super_Stallion#Specifications_(CH-53E)</t>
  </si>
  <si>
    <t>Sikorsky CH-53K-E, heavy lift helicopter, US</t>
  </si>
  <si>
    <t>1978–</t>
  </si>
  <si>
    <t>&gt;172</t>
  </si>
  <si>
    <t>The United States Marine Corps plans to receive 200 helicopters CH-53K at a total cost of $25 billion. By February 2023, nearly 20 CH-53K King Stallions have been produced</t>
  </si>
  <si>
    <t>Range is combat range meaning fully loaded round trip</t>
  </si>
  <si>
    <t>https://en.wikipedia.org/wiki/Williams_F107</t>
  </si>
  <si>
    <t>Jet engine, Williams International F107-WR-402 turbofan</t>
  </si>
  <si>
    <t>https://en.wikipedia.org/wiki/AGM-86_ALCM</t>
  </si>
  <si>
    <t>50,000 per missile launched</t>
  </si>
  <si>
    <t>F107-WR-101</t>
  </si>
  <si>
    <t>540</t>
  </si>
  <si>
    <t>2.7H</t>
  </si>
  <si>
    <t>1982-86</t>
  </si>
  <si>
    <t>0 all has been decommissioned</t>
  </si>
  <si>
    <t>https://en.wikipedia.org/wiki/Virginia-class_submarine</t>
  </si>
  <si>
    <t>&gt;24</t>
  </si>
  <si>
    <t>The US has ordered 66 in all and Australia has ordered 8</t>
  </si>
  <si>
    <t>https://www.lockheedmartin.com/content/dam/lockheed-martin/rms/documents/naval-launchers-and-munitions/Mk70_Product_Card.pdf</t>
  </si>
  <si>
    <t>AGM-86 ALCM-B/C/D US air to ground cruise missile 1430 kg, now replaced by JASSM fired from B52</t>
  </si>
  <si>
    <t>2017-</t>
  </si>
  <si>
    <t>1998-2016</t>
  </si>
  <si>
    <t>https://en.wikipedia.org/wiki/AGM-158_JASSM and end in 2016 see https://www.airandspaceforces.com/weapons-platforms/agm-158-jassm/</t>
  </si>
  <si>
    <r>
      <t xml:space="preserve">Large long-range missiles </t>
    </r>
    <r>
      <rPr>
        <sz val="11"/>
        <color theme="1"/>
        <rFont val="Calibri"/>
        <family val="2"/>
        <scheme val="minor"/>
      </rPr>
      <t>(ground attack)</t>
    </r>
  </si>
  <si>
    <t>1.9S</t>
  </si>
  <si>
    <t>Skynex 35 mm anti-aircraft gun system, 4 guns, 1 radar, 1 control</t>
  </si>
  <si>
    <t>Saab 340 AEW&amp;C radar and control airplane, 2 pledged for Ukraine by Sweden on May 2024</t>
  </si>
  <si>
    <t>&gt;135</t>
  </si>
  <si>
    <t>kg note the AGM-158c frame is 50kg heavier than AGM-158b it is similar too. Reason is AGM-158c is made to also be launched from ships or land (Typhon) using rocket booster and that require missile to have more structural integrity as it possible experience very high G-forces during that launch that the AGM-158b does not experience because it is air launched</t>
  </si>
  <si>
    <t>Types of navigation technologies</t>
  </si>
  <si>
    <t>Description</t>
  </si>
  <si>
    <t>Year first</t>
  </si>
  <si>
    <t>appeared</t>
  </si>
  <si>
    <t>today</t>
  </si>
  <si>
    <t>GPS, GLONASS, Galileo, QZSS, BeiDou og NavIC</t>
  </si>
  <si>
    <t>Inertial navigation</t>
  </si>
  <si>
    <t>Landscape navigation infraread camera</t>
  </si>
  <si>
    <t xml:space="preserve">Landscape navigation </t>
  </si>
  <si>
    <t>main source</t>
  </si>
  <si>
    <t>Accuracy</t>
  </si>
  <si>
    <t>kilometers</t>
  </si>
  <si>
    <t>meters</t>
  </si>
  <si>
    <t>Star</t>
  </si>
  <si>
    <t>Needed</t>
  </si>
  <si>
    <t>infrastructure</t>
  </si>
  <si>
    <t>Jamming</t>
  </si>
  <si>
    <t>methods</t>
  </si>
  <si>
    <t>Technologies in weapons used for target acquisition, navigation and homing</t>
  </si>
  <si>
    <t>Types of homing technologies</t>
  </si>
  <si>
    <t>Types of target acquisition technologies</t>
  </si>
  <si>
    <t>The Hawkeye 2000 version can track over 2,000 targets simultaneously while also detecting 20,000 targets to a range greater than 400 mi (640 km) and simultaneously guide 40–100 air-to-air intercepts or air-to-surface engagements</t>
  </si>
  <si>
    <t>https://en.wikipedia.org/wiki/Grumman_E-2_Hawkeye#</t>
  </si>
  <si>
    <t>https://en.wikipedia.org/wiki/Grumman_E-2_Hawkeye</t>
  </si>
  <si>
    <t>&gt;4</t>
  </si>
  <si>
    <t>&gt;313 total; 88 E-2D</t>
  </si>
  <si>
    <t>https://thediplomat.com/2019/06/japan-takes-delivery-of-first-e-2d-advanced-hawkeye-aircraft/</t>
  </si>
  <si>
    <t>5.6H</t>
  </si>
  <si>
    <t>1964-,2010- (E2D)</t>
  </si>
  <si>
    <t>The E-2D was designed to help defend aircraft carrier strike groups (CSG) against any type of long-range aerial threats, with each CSG deploying four E-2Cs or E-2Ds. According to Northrop Grumman, the E-2D is capable of detecting a ground-to-air cruise missile launch and stealth aircraft. Also The [JASDF] will also base its aircraft on land allowing it to take off with extra fuel, which will allow the service to operate the aircraft for up to 8 hours, instead of a standard 5 hours (without refueling)</t>
  </si>
  <si>
    <t>E-2D Hawkeye Navy version, radar and command aircraft. Every US aircraft carrier has 4 Hawkeye aircraft</t>
  </si>
  <si>
    <t>E-2D Hawkeye Air F. version, radar and command aircraft. Used from land airports has more fuel because less structure is needed when not used on carrier. Increases flight time to 8H up from 6H. Otherwise the same.</t>
  </si>
  <si>
    <t>known</t>
  </si>
  <si>
    <t>https://en.wikipedia.org/wiki/MIM-104_Patriot#SkyCeptor_(PAAC-4)</t>
  </si>
  <si>
    <t>kinetic</t>
  </si>
  <si>
    <t>1.6M</t>
  </si>
  <si>
    <t xml:space="preserve"> - AGM-88G HARM anti-radar missile, US</t>
  </si>
  <si>
    <t>under development</t>
  </si>
  <si>
    <t>https://www.iiss.org/online-analysis/online-analysis/2024/08/the-return-of-long-range-us-missiles-to-europe/</t>
  </si>
  <si>
    <t>Dark Eagle, Long-Range Hypersonic Weapon, 7.4ton</t>
  </si>
  <si>
    <t>https://en.wikipedia.org/wiki/Long-Range_Hypersonic_Weapon</t>
  </si>
  <si>
    <t>https://en.wikipedia.org/wiki/Kh-22</t>
  </si>
  <si>
    <t>https://en.wikipedia.org/wiki/Kh-23</t>
  </si>
  <si>
    <t>https://en.wikipedia.org/wiki/Kh-25</t>
  </si>
  <si>
    <t>https://en.wikipedia.org/wiki/Kh-26</t>
  </si>
  <si>
    <t>1962-</t>
  </si>
  <si>
    <t>It was designed for use against aircraft carriers and carrier battle groups, with either a conventional or nuclear warhead</t>
  </si>
  <si>
    <t>6.4M</t>
  </si>
  <si>
    <t>Virginia-class US submarine, nuclear powered</t>
  </si>
  <si>
    <t>https://youtu.be/pdv5PeqtWfY?si=FZmitvImqwcq2MBX&amp;t=450</t>
  </si>
  <si>
    <t xml:space="preserve">Total </t>
  </si>
  <si>
    <t>weight</t>
  </si>
  <si>
    <t>Launch</t>
  </si>
  <si>
    <t>platforms</t>
  </si>
  <si>
    <t>Navigation</t>
  </si>
  <si>
    <t xml:space="preserve">Terminal </t>
  </si>
  <si>
    <t>homing</t>
  </si>
  <si>
    <t>systems</t>
  </si>
  <si>
    <t>Target</t>
  </si>
  <si>
    <t>acquisition</t>
  </si>
  <si>
    <t>sea</t>
  </si>
  <si>
    <t>GPS</t>
  </si>
  <si>
    <t>Data-</t>
  </si>
  <si>
    <t xml:space="preserve">link </t>
  </si>
  <si>
    <t>FPV IR camera</t>
  </si>
  <si>
    <t>R-360 UKR Neptune anti-ship cruise missile</t>
  </si>
  <si>
    <t>Ground with rocket boost</t>
  </si>
  <si>
    <t>GPS, inertial navigation, data-link</t>
  </si>
  <si>
    <t>Ground radio</t>
  </si>
  <si>
    <t>Airbourne radar</t>
  </si>
  <si>
    <t>&lt;1000</t>
  </si>
  <si>
    <t>Kh-22 anti-ship ballistic missile, can also hit ground targets</t>
  </si>
  <si>
    <t>Active radar</t>
  </si>
  <si>
    <t>Radar</t>
  </si>
  <si>
    <t>Air by strategic bombers, Tu-22M, Тu-22К, Тu-95К22</t>
  </si>
  <si>
    <t>Harpoon US anti-ship missile</t>
  </si>
  <si>
    <t>Navigation: Magnetic Anomaly Detection (MAD) is used by submarines to navigate under or above water to detect minute differences in Earth magnetic field that can fix position with say 5 to 10 kilometers accuracy if you compare to a detailed map of the earth magnetic fields. The technique can also detect other ships or submarines that are nearby like 1 kilometer</t>
  </si>
  <si>
    <t>https://en.wikipedia.org/wiki/Communication_with_submarines</t>
  </si>
  <si>
    <t>2003–</t>
  </si>
  <si>
    <t>Mirage 2000, Rafale, Su-24, Tornado, Typhoon, Gripen</t>
  </si>
  <si>
    <t>GPS, INS, IIR &amp; TERPROM (altimeter)</t>
  </si>
  <si>
    <t>none</t>
  </si>
  <si>
    <t>IR</t>
  </si>
  <si>
    <t>https://www.naval-technology.com/projects/standard-missile-6/</t>
  </si>
  <si>
    <t>RIM-174 US (SM-6) ballistic missile air, sea &amp; land targets, 370km range on air targets and 500km for land targets, mostly used by ships</t>
  </si>
  <si>
    <t xml:space="preserve"> terminal active and Semi-active radar homing</t>
  </si>
  <si>
    <t>Inertial guidance, Data-link to land or airborne radar</t>
  </si>
  <si>
    <t xml:space="preserve">Typhon Mk 70 Mod 1 ground launcher, Mk 41 VLS (surface ship), Typhon Mk 70 Mod 1 ground launcher, Strategic Midrange Fires (ground launcher), Boeing F/A-18E/F Super Hornet </t>
  </si>
  <si>
    <t xml:space="preserve"> - JDAM glider bomb for F16, GBU-31 kit</t>
  </si>
  <si>
    <t>A mass of 1500kg is reported on Wiki and I guess it is 1200 for missile and 300 kg for booster which is standard. The SM 6 has been filmed on F/A 18F fighter jet and I think the max weight is about 1200 kg so that is why I guess as I do https://aviationweek.com/defense/missile-defense-weapons/weekly-debrief-air-launched-sm-6-missile-exposed-new-test-photo</t>
  </si>
  <si>
    <t>GPS, INS, TERCOM Terrain contour matching, DSMAC (this is now AI homing and navigation using IR and radar imaging, active radar homing (RGM/UGM-109B)</t>
  </si>
  <si>
    <t>text</t>
  </si>
  <si>
    <t xml:space="preserve">Main </t>
  </si>
  <si>
    <t>video</t>
  </si>
  <si>
    <t>notes</t>
  </si>
  <si>
    <t>https://www.youtube.com/watch?app=desktop&amp;si=gD0n1t8T9_PivR9Q&amp;v=GqZOaUpORjo&amp;feature=youtu.be</t>
  </si>
  <si>
    <t>https://en.wikipedia.org/wiki/Boeing_MQ-25_Stingray</t>
  </si>
  <si>
    <t>https://www.youtube.com/watch?v=ThNxRoDbuDE</t>
  </si>
  <si>
    <t>https://youtu.be/5JdT1GrplhI?si=CHkg27rnL6Dg1mNQ&amp;t=39</t>
  </si>
  <si>
    <t>&gt;30,000</t>
  </si>
  <si>
    <t>https://www.bbc.com/news/articles/cz5drkr8l1ko</t>
  </si>
  <si>
    <t>5.2M</t>
  </si>
  <si>
    <t>https://en.wikipedia.org/wiki/AN/APG-68</t>
  </si>
  <si>
    <t>https://www.airandspaceforces.com/weapons-platforms/f-16/</t>
  </si>
  <si>
    <t xml:space="preserve"> - AN/APG-83 (newest radar in newest version of F16 not available in Ukraine)</t>
  </si>
  <si>
    <t>https://en.wikipedia.org/wiki/AN/APG-83</t>
  </si>
  <si>
    <t>370km</t>
  </si>
  <si>
    <t>1984- legacy</t>
  </si>
  <si>
    <t>https://www.radartutorial.eu/19.kartei/08.airborne/karte023.en.html</t>
  </si>
  <si>
    <t xml:space="preserve"> - AIM-120C-5/6/7 air-to air missile for NATO aircraft</t>
  </si>
  <si>
    <t xml:space="preserve"> - AIM-120D newest variant longest range NATO air to air missile that is fully tested and operational</t>
  </si>
  <si>
    <t>https://en.wikipedia.org/wiki/AIM-120_AMRAAM#Variants_and_upgrades</t>
  </si>
  <si>
    <t>76S</t>
  </si>
  <si>
    <t>116S</t>
  </si>
  <si>
    <t>https://en.wikipedia.org/wiki/AIM-260_JATM</t>
  </si>
  <si>
    <t>expected operational by 2024 on F35, F22, F18 and F15</t>
  </si>
  <si>
    <t>2.7M</t>
  </si>
  <si>
    <t>no public info I guess same as AIM-120</t>
  </si>
  <si>
    <t>2024- full scale production by 2026</t>
  </si>
  <si>
    <t>Lower warhead to 150kg and increase fuel by 150 kg and redo calculations</t>
  </si>
  <si>
    <t>Palianytsia "big" Neptune-MD Cruise m. 980 kg by Neptune engineers using Neptune jet engine but now with increased fuel tank and decreased warhead</t>
  </si>
  <si>
    <t>300 kg blast fragmentation</t>
  </si>
  <si>
    <t>68.4M</t>
  </si>
  <si>
    <t>https://www.youtube.com/watch?v=ycP05g-clX8&amp;t=22s</t>
  </si>
  <si>
    <t>https://www.youtube.com/watch?v=DZ5xoJfqXA4&amp;t=79s</t>
  </si>
  <si>
    <t>&gt;36 or 3 per month</t>
  </si>
  <si>
    <t>used ASAP so less than 5 on stock</t>
  </si>
  <si>
    <t xml:space="preserve"># Units </t>
  </si>
  <si>
    <t>needed</t>
  </si>
  <si>
    <t>of weapon</t>
  </si>
  <si>
    <t>to win</t>
  </si>
  <si>
    <t>transfer</t>
  </si>
  <si>
    <t xml:space="preserve">Cost of </t>
  </si>
  <si>
    <t xml:space="preserve">Main effect on </t>
  </si>
  <si>
    <t>Russian  war</t>
  </si>
  <si>
    <t>efforts</t>
  </si>
  <si>
    <t>Main use</t>
  </si>
  <si>
    <t>weapons</t>
  </si>
  <si>
    <t>Problem with</t>
  </si>
  <si>
    <t>alternative</t>
  </si>
  <si>
    <t>weapon</t>
  </si>
  <si>
    <t>Other</t>
  </si>
  <si>
    <t>Air force weapons or Navy aircraft</t>
  </si>
  <si>
    <t>https://en.wikipedia.org/wiki/AIM-174B</t>
  </si>
  <si>
    <t>https://en.wikipedia.org/wiki/Boeing_F/A-18E/F_Super_Hornet</t>
  </si>
  <si>
    <t>F/A-18E/F Super Hornet, US Navy fighter</t>
  </si>
  <si>
    <t>cost between 66 and 125 million USD in 2021 depending on variant https://www.aerotime.aero/articles/boeing-super-hornet-origin-purpose-and-performance#:~:text=Price%20of%20the%20Super%20Hornet%20Its%20cost%20in,Growler%2C%20which%20can%20cost%20up%20to%20%24125%20million.</t>
  </si>
  <si>
    <t>https://www.youtube.com/watch?v=3f17uaCaaPA</t>
  </si>
  <si>
    <t>1100 for all variants (see 06:30 https://www.youtube.com/watch?v=3f17uaCaaPA) most likely only c and d that I suspect of being all purpose cruise missiles for land and sea targets including moving targets on land like an airplane shuttling around on airbase</t>
  </si>
  <si>
    <t>https://youtu.be/3f17uaCaaPA?si=sJReTQJNf_Y1wnw8&amp;t=389</t>
  </si>
  <si>
    <t>https://youtu.be/3f17uaCaaPA?si=M9wPwwAS0ePsexsB&amp;t=435</t>
  </si>
  <si>
    <t>https://youtu.be/3f17uaCaaPA?si=M9wPwwAS0ePsexsB&amp;t=434</t>
  </si>
  <si>
    <t>https://en.wikipedia.org/wiki/AGM-154_Joint_Standoff_Weapon</t>
  </si>
  <si>
    <t>https://x.com/NOELreports/status/1839201366318739636</t>
  </si>
  <si>
    <t xml:space="preserve"> - AGM-154A - JSOW, glide bombs</t>
  </si>
  <si>
    <t xml:space="preserve"> - AGM-154B - JSOW, glide bombs</t>
  </si>
  <si>
    <t xml:space="preserve"> - AGM-154C - JSOW, glide bombs</t>
  </si>
  <si>
    <t>https://en.wikipedia.org/wiki/AGM-154_Joint_Standoff_Weapon#AGM-154A_(baseline_JSOW)</t>
  </si>
  <si>
    <t>https://en.wikipedia.org/wiki/AGM-154_Joint_Standoff_Weapon#</t>
  </si>
  <si>
    <t>130 km for high altitude high speed release</t>
  </si>
  <si>
    <t>225 kg cluster munition</t>
  </si>
  <si>
    <t>https://youtu.be/oIpgDR6IgKM?si=wObzHlmIhape9wZY&amp;t=387</t>
  </si>
  <si>
    <t>https://en.wikipedia.org/wiki/Kratos_XQ-58_Valkyrie</t>
  </si>
  <si>
    <t>XQ-58 Valkyrie UAV stealth fighter</t>
  </si>
  <si>
    <t>https://en.wikipedia.org/wiki/Kratos_XQ-58_Valkyrie#Specifications</t>
  </si>
  <si>
    <t xml:space="preserve"> - AIM-174B (aka SM-6), air to air, sea &amp; land missile 860 kg</t>
  </si>
  <si>
    <t>Production in 2023 was 500 per year on 1 assembling line but UKR war and Taiwan tension has US increase production to 1100 per year see https://www.airandspaceforces.com/lockheed-martin-double-lrasm-production/</t>
  </si>
  <si>
    <t>More than 400 AGM-154As have been used in combat.</t>
  </si>
  <si>
    <t>anti-225 kg two stage warhead with first making a hole in a structure and the second warhead go through hole and explode on the other side. It is a very large anti-structure warhead.</t>
  </si>
  <si>
    <t>https://www.navy.mil/Resources/Fact-Files/Display-FactFiles/Article/2166748/agm-154-joint-standoff-weapon-jsow/#:~:text=More%20than%20400%20AGM-154As%20have%20been</t>
  </si>
  <si>
    <t>Economy</t>
  </si>
  <si>
    <t>forces</t>
  </si>
  <si>
    <t xml:space="preserve">military </t>
  </si>
  <si>
    <t># of direct</t>
  </si>
  <si>
    <t xml:space="preserve"># of </t>
  </si>
  <si>
    <t>military</t>
  </si>
  <si>
    <t>contractors</t>
  </si>
  <si>
    <t># of</t>
  </si>
  <si>
    <t>Total</t>
  </si>
  <si>
    <t>staff</t>
  </si>
  <si>
    <t>Military</t>
  </si>
  <si>
    <t>spending</t>
  </si>
  <si>
    <t>in % of GDP</t>
  </si>
  <si>
    <t>aircraft</t>
  </si>
  <si>
    <t>helicopter</t>
  </si>
  <si>
    <t>reserves</t>
  </si>
  <si>
    <t>tanks</t>
  </si>
  <si>
    <t xml:space="preserve">fighting </t>
  </si>
  <si>
    <t>vehicles</t>
  </si>
  <si>
    <t># of heavy</t>
  </si>
  <si>
    <t>artillery</t>
  </si>
  <si>
    <t xml:space="preserve">anti-aircraft </t>
  </si>
  <si>
    <t xml:space="preserve">naval </t>
  </si>
  <si>
    <t>ships</t>
  </si>
  <si>
    <t>submarines</t>
  </si>
  <si>
    <t>million</t>
  </si>
  <si>
    <t>https://en.wikipedia.org/wiki/Lebanon#</t>
  </si>
  <si>
    <t>https://en.wikipedia.org/wiki/Beirut#</t>
  </si>
  <si>
    <t>https://en.wikipedia.org/wiki/Syria#</t>
  </si>
  <si>
    <t>https://en.wikipedia.org/wiki/Australia#</t>
  </si>
  <si>
    <t>https://en.wikipedia.org/wiki/Belarus#</t>
  </si>
  <si>
    <t>https://en.wikipedia.org/wiki/Yemen#</t>
  </si>
  <si>
    <t>https://en.wikipedia.org/wiki/Egypt</t>
  </si>
  <si>
    <t>https://en.wikipedia.org/wiki/Jordan#</t>
  </si>
  <si>
    <t>https://en.wikipedia.org/wiki/Lebanon#Religion</t>
  </si>
  <si>
    <t>Druze</t>
  </si>
  <si>
    <t>Christians</t>
  </si>
  <si>
    <t>Beirut share</t>
  </si>
  <si>
    <t>https://en.wikipedia.org/wiki/Syria#Religion</t>
  </si>
  <si>
    <t>https://en.wikipedia.org/wiki/Damascus</t>
  </si>
  <si>
    <t>Damascus share</t>
  </si>
  <si>
    <t>Turkmens Sunni</t>
  </si>
  <si>
    <t>Kurds, Sunni</t>
  </si>
  <si>
    <t>Aircraft, fixed wing</t>
  </si>
  <si>
    <t>64 entire Rus</t>
  </si>
  <si>
    <t>https://www.nti.org/analysis/articles/russia-submarine-capabilities/</t>
  </si>
  <si>
    <t>&gt;400</t>
  </si>
  <si>
    <t>only minor boats</t>
  </si>
  <si>
    <t>common knowledge</t>
  </si>
  <si>
    <t>https://en.wikipedia.org/wiki/Polish_Armed_Forces#:~:text=The%20Armed%20Forces%20of%20the%20Republic</t>
  </si>
  <si>
    <t>https://en.wikipedia.org/wiki/Armed_Forces_of_Belarus#</t>
  </si>
  <si>
    <t>https://247wallst.com/military/2024/08/28/this-eastern-european-country-has-more-tanks-than-90-of-nato-members/</t>
  </si>
  <si>
    <t>https://kyivindependent.com/does-belarus-military-have-the-capacity-to-attack-ukraine/</t>
  </si>
  <si>
    <t>https://www.axios.com/2023/10/21/israel-military-capabilities-explained</t>
  </si>
  <si>
    <t>https://en.wikipedia.org/wiki/Lebanese_Armed_Forces#</t>
  </si>
  <si>
    <t>https://en.wikipedia.org/wiki/Hezbollah_armed_strength#</t>
  </si>
  <si>
    <t>https://www.cfr.org/backgrounder/what-hezbollah#:~:text=Hezbollah%20is%20considered%20a%20terrorist%20organization%20by%20the,with%20repressive%2C%20anti-Israel%20regimes%20in%20Iran%20and%20Syria.</t>
  </si>
  <si>
    <t>https://en.wikipedia.org/wiki/Israel_Defense_Forces#</t>
  </si>
  <si>
    <t>https://en.wikipedia.org/wiki/Beirut</t>
  </si>
  <si>
    <t>2nd source</t>
  </si>
  <si>
    <t>https://en.wikipedia.org/wiki/Syrian_Armed_Forces#</t>
  </si>
  <si>
    <t>https://en.wikipedia.org/wiki/Israeli_Air_Force#Aircraft</t>
  </si>
  <si>
    <t>https://en.wikipedia.org/wiki/Israel_Defense_Forces</t>
  </si>
  <si>
    <t>https://en.wikipedia.org/wiki/List_of_equipment_of_the_Israel_Defense_Forces#Vehicles</t>
  </si>
  <si>
    <t>https://en.wikipedia.org/wiki/List_of_equipment_of_the_Israel_Defense_Forces#Artillery</t>
  </si>
  <si>
    <t>Iron Dome, battery Israeli</t>
  </si>
  <si>
    <t xml:space="preserve"> - Patriot PAC-3 MSE missile active radar seeker</t>
  </si>
  <si>
    <t xml:space="preserve"> - Patriot SkyCeptor (PAAC-4) US, Israel, two stage rocket, IR seeker; active radar seeker</t>
  </si>
  <si>
    <t xml:space="preserve"> - AMRAAM missile for NASAMS</t>
  </si>
  <si>
    <t xml:space="preserve"> - IRIS-T SL missile</t>
  </si>
  <si>
    <t>https://en.wikipedia.org/wiki/Iron_Dome</t>
  </si>
  <si>
    <t>&gt;10</t>
  </si>
  <si>
    <t>Ground launched</t>
  </si>
  <si>
    <t xml:space="preserve">Type </t>
  </si>
  <si>
    <t>of fuse</t>
  </si>
  <si>
    <t>proximity fuse</t>
  </si>
  <si>
    <t>https://en.wikipedia.org/wiki/Iron_Dome each battery cover a circle area of 150km2. Ask chat GPT what is the radius of circle with 150 km2 area .You get 7km which is correct. That means range is about 10km</t>
  </si>
  <si>
    <t>13S</t>
  </si>
  <si>
    <t>https://en.wikipedia.org/wiki/David%27s_Sling#</t>
  </si>
  <si>
    <t>https://en.wikipedia.org/wiki/Arrow_(missile_family)#Arrow_2</t>
  </si>
  <si>
    <t>AESA millimeter 3D radar + dual electro-optical/(FPA)/imaging infrared (CCD/IIR) seeker + asymmetric 360-degree multi-seeker sensor engagement + 3 way data link with advanced real time automatic and manual retargeting + ECCM &amp; IRCCM</t>
  </si>
  <si>
    <t>Kinetic warhead</t>
  </si>
  <si>
    <t>https://en.wikipedia.org/wiki/David%27s_Sling#Current_operators</t>
  </si>
  <si>
    <t>https://en.wikipedia.org/wiki/Arrow_(missile_family)#Arrow_3</t>
  </si>
  <si>
    <t>https://en.wikipedia.org/wiki/Arrow_(missile_family)#Arrow_5</t>
  </si>
  <si>
    <t>https://en.wikipedia.org/wiki/Arrow_(missile_family)#Arrow_6</t>
  </si>
  <si>
    <t>Six canisters per trailer-mounted erector–launcher</t>
  </si>
  <si>
    <t>Ground launched from Stunner launcher a mobile system with 6 launch tubes vertical launch see https://en.wikipedia.org/wiki/David%27s_Sling#Foreign_interest</t>
  </si>
  <si>
    <t>Dual mode: passive infrared seeker and active radar seeker</t>
  </si>
  <si>
    <t>50S</t>
  </si>
  <si>
    <t>Arrow 2, Israeli ground to air 2-stage missile made only  to intercept Iranian ballistic missiles with ranges over 200 km</t>
  </si>
  <si>
    <t>https://en.wikipedia.org/wiki/Arrow_3</t>
  </si>
  <si>
    <t>Main source</t>
  </si>
  <si>
    <t>https://en.wikipedia.org/wiki/Syrian_Air_Force</t>
  </si>
  <si>
    <t>https://en.wikipedia.org/wiki/Egyptian_Armed_Forces#</t>
  </si>
  <si>
    <t>https://en.wikipedia.org/wiki/Syrian_Armed_Forces</t>
  </si>
  <si>
    <t>https://en.wikipedia.org/wiki/Syrian_Army#Military_equipment</t>
  </si>
  <si>
    <t>https://en.wikipedia.org/wiki/Syrian_Navy</t>
  </si>
  <si>
    <t>https://en.wikipedia.org/wiki/Yemeni_Armed_Forces#</t>
  </si>
  <si>
    <t>same</t>
  </si>
  <si>
    <t>https://en.wikipedia.org/wiki/Australian_Defence_Force#</t>
  </si>
  <si>
    <t>https://en.wikipedia.org/wiki/Australian_Defence_Force</t>
  </si>
  <si>
    <t>https://en.wikipedia.org/wiki/Russian_Armed_Forces#</t>
  </si>
  <si>
    <t>https://en.wikipedia.org/wiki/Armed_Forces_of_Ukraine#</t>
  </si>
  <si>
    <t>https://gulf2000.columbia.edu/images/maps/Syria_Group_Divisions_lg.png</t>
  </si>
  <si>
    <t>https://gulf2000.columbia.edu/maps.shtml#ethno</t>
  </si>
  <si>
    <t>https://gulf2000.columbia.edu/images/maps/Lebanon_Ethnic_summary_lg.png</t>
  </si>
  <si>
    <t>https://en.wikipedia.org/wiki/Islamic_Republic_of_Iran_Armed_Forces</t>
  </si>
  <si>
    <t>https://en.wikipedia.org/wiki/Islamic_Republic_of_Iran_Armed_Forces#</t>
  </si>
  <si>
    <t>https://en.wikipedia.org/wiki/Yemeni_Armed_Forces</t>
  </si>
  <si>
    <t>https://en.wikipedia.org/wiki/Turkish_Armed_Forces#</t>
  </si>
  <si>
    <t>Estimate</t>
  </si>
  <si>
    <t>https://en.wikipedia.org/wiki/Egyptian_Armed_Forces</t>
  </si>
  <si>
    <t>https://en.wikipedia.org/wiki/Jordanian_Armed_Forces</t>
  </si>
  <si>
    <t>https://en.wikipedia.org/wiki/Iraq</t>
  </si>
  <si>
    <t>https://en.wikipedia.org/wiki/Iraqi_Armed_Forces#</t>
  </si>
  <si>
    <t>https://en.wikipedia.org/wiki/Iraqi_Armed_Forces</t>
  </si>
  <si>
    <t>https://en.wikipedia.org/wiki/Republic_of_China_Armed_Forces</t>
  </si>
  <si>
    <t>https://en.wikipedia.org/wiki/People%27s_Liberation_Army#</t>
  </si>
  <si>
    <t>https://en.wikipedia.org/wiki/United_States_Armed_Forces</t>
  </si>
  <si>
    <t>https://en.wikipedia.org/wiki/Japan_Self-Defense_Forces#</t>
  </si>
  <si>
    <t>https://en.wikipedia.org/wiki/Australia</t>
  </si>
  <si>
    <t>https://en.wikipedia.org/wiki/Armed_Forces_of_the_Philippines#</t>
  </si>
  <si>
    <t>https://en.wikipedia.org/wiki/Korean_People%27s_Army#</t>
  </si>
  <si>
    <t>https://en.wikipedia.org/wiki/Republic_of_Korea_Armed_Forces</t>
  </si>
  <si>
    <t>https://en.wikipedia.org/wiki/Korean_People%27s_Army</t>
  </si>
  <si>
    <t>https://www.gao.gov/assets/gao-18-399.pdf</t>
  </si>
  <si>
    <t>In addition to more than 2.2 million active duty and reserve personnel, DOD employs about 760,000 federal civilians and more than 560,000 contractors.</t>
  </si>
  <si>
    <t>fighter</t>
  </si>
  <si>
    <t>helicopters</t>
  </si>
  <si>
    <t>transport</t>
  </si>
  <si>
    <t xml:space="preserve">strategic </t>
  </si>
  <si>
    <t>bombers</t>
  </si>
  <si>
    <t>tankers</t>
  </si>
  <si>
    <t>fuel</t>
  </si>
  <si>
    <t>radar</t>
  </si>
  <si>
    <t>https://en.wikipedia.org/wiki/List_of_active_United_States_Air_Force_aircraft</t>
  </si>
  <si>
    <t>electronic</t>
  </si>
  <si>
    <t>warfare</t>
  </si>
  <si>
    <t>https://www.boeing.com/defense/ah-64-apache#overview</t>
  </si>
  <si>
    <t>calculated</t>
  </si>
  <si>
    <t>F/A-18E/F Super Hornet. Note the AIM-174 or SM-6) can be launched from ships and the Typhon ground launcher</t>
  </si>
  <si>
    <t>https://youtu.be/qdKlPDfrxMo?si=1MIJIseWPLqzWK8A&amp;t=74</t>
  </si>
  <si>
    <t>AGM-158c LRASM stealth navy cruise m. The AGM-158d see below is also able to hit ships as well as land targets. Most likely only AGM-158c and d are now from 2024 and forward produced with ability to hit both sea and land targets as well as being launched from sea, air or land.</t>
  </si>
  <si>
    <t>https://en.wikipedia.org/wiki/Gabriel_(missile)#</t>
  </si>
  <si>
    <t>https://en.wikipedia.org/wiki/Gabriel_(missile)#Gabriel_V</t>
  </si>
  <si>
    <t>Gabriel V, Israeli anti-ship cruise missile a version called Blue Spear is now in production that can also be used to hit land targets.</t>
  </si>
  <si>
    <t>Advanced active multi-spectral seeker designed for cluttered littoral environments meaning both radar and infrared. Also it has 3 guidance modes: Fire and Forget (fixed target), Fire and Update with data link (moving targets), and Fire and command using Radar update (moving targets)</t>
  </si>
  <si>
    <t>Version IV had a 240kg warhead but version V is bigger missile so I adjust up to 300 kg warhead. See https://en.wikipedia.org/wiki/Gabriel_(missile)#Details</t>
  </si>
  <si>
    <t>24M</t>
  </si>
  <si>
    <t>Popeye Turbo Israeli Submarine Launched Cruise Missile</t>
  </si>
  <si>
    <t>500 nuclear</t>
  </si>
  <si>
    <t>https://en.wikipedia.org/wiki/Popeye_(missile)#Popeye_Turbo_Submarine_Launched_Cruise_Missile</t>
  </si>
  <si>
    <t>Costs and specs of weapons used in Ukraine war, Israeli war and other wars</t>
  </si>
  <si>
    <t>This missile is a copy of the submarine launched Tomahawk missile because the Clinton administration refused to sell a US produced version of that weapon at the time in 2000. Perhaps Israel stole the blueprints for that missile and made it themselves</t>
  </si>
  <si>
    <t>My guess. Cruise missiles are normally not that expensive but this is a low volume production of likely less than 100 so higher costs</t>
  </si>
  <si>
    <t>https://en.wikipedia.org/wiki/EXTRA_artillery_rocket_system#</t>
  </si>
  <si>
    <t>https://youtu.be/sXrgfoSlUhI?si=KYJNXZQTrExj7kbQ&amp;t=190</t>
  </si>
  <si>
    <t>https://en.wikipedia.org/wiki/Delilah_(missile)#</t>
  </si>
  <si>
    <t>https://youtu.be/sXrgfoSlUhI?si=LR1_TXgI0n8n54C1&amp;t=242</t>
  </si>
  <si>
    <t>https://en.wikipedia.org/wiki/LORA_(missile)</t>
  </si>
  <si>
    <t>https://youtu.be/sXrgfoSlUhI?si=Qdy3efHJjqhQqiL7&amp;t=290</t>
  </si>
  <si>
    <t>https://en.wikipedia.org/wiki/Jericho_(missile)#</t>
  </si>
  <si>
    <t>https://youtu.be/sXrgfoSlUhI?si=m6I-WCgpSQpEzxHw&amp;t=384</t>
  </si>
  <si>
    <t>https://en.wikipedia.org/wiki/RIM-161_Standard_Missile_3#</t>
  </si>
  <si>
    <t>US and Japan navy has got over 400 delivered and more than 30 have been test fired See https://www.globaldefensecorp.com/2020/03/22/standard-missile-3-shipboard-and-land-based-interceptor/#:~:text=SM-3%20has%20successfully%20achieved%2028%20out</t>
  </si>
  <si>
    <t>Ship launched from Mk-41 see https://en.wikipedia.org/wiki/Aegis_Ballistic_Missile_Defense_System#SM-3,_SM-2_Block_IV,_SM-6_and_GPI_interceptors. A land based launch system based on Navy launched likely land variant of Mk 41 ship launcher called Aegis Ashore  see https://en.wikipedia.org/wiki/Aegis_Ballistic_Missile_Defense_System#Aegis_Ashore</t>
  </si>
  <si>
    <t>570</t>
  </si>
  <si>
    <t>https://www.youtube.com/watch?v=sXrgfoSlUhI&amp;t=290s</t>
  </si>
  <si>
    <t>inertial navigation, GPS and TV terminal</t>
  </si>
  <si>
    <t>LORA Israeli ballistic missile, ship or ground launch from inside standard shipping container. air launched from 2024</t>
  </si>
  <si>
    <t xml:space="preserve"> - THAAD missiles</t>
  </si>
  <si>
    <t>https://en.wikipedia.org/wiki/Terminal_High_Altitude_Area_Defense</t>
  </si>
  <si>
    <t>&gt;1600</t>
  </si>
  <si>
    <t>https://crsreports.congress.gov/product/pdf/IF/IF12645/2</t>
  </si>
  <si>
    <t>https://en.wikipedia.org/wiki/Terminal_High_Altitude_Area_Defense#Deployments</t>
  </si>
  <si>
    <t>The US got 8 systems and Israel, Romania, South Korea, Turkey, United Arab Emirates also got systems.</t>
  </si>
  <si>
    <t>Ground launchers</t>
  </si>
  <si>
    <t>https://www.eurasiareview.com/14062024-lora-quasi-ballistic-missile-adding-more-teeth-to-israeli-aerial-arsenal-analysis/</t>
  </si>
  <si>
    <t>1995-</t>
  </si>
  <si>
    <t xml:space="preserve">Liutyi UAV, attack, </t>
  </si>
  <si>
    <t xml:space="preserve">AQ-400 Scythe attack, </t>
  </si>
  <si>
    <t>UJ-22 Airborne attack</t>
  </si>
  <si>
    <t xml:space="preserve">Palianytsia "mini" </t>
  </si>
  <si>
    <t>Speculate FPV radio link max 80 km 120 kg, 80kg fuel, 20kg warhead</t>
  </si>
  <si>
    <t>Shahed 136, attack</t>
  </si>
  <si>
    <t>Air launched</t>
  </si>
  <si>
    <t>can be remote controlled like an FPV drone from aircraft that fire it or another control station with max distance of 100 km from base</t>
  </si>
  <si>
    <t>Delilah Israeli cruise missile/drone to hit moving targets. Can be remote controlled like an FPV drone</t>
  </si>
  <si>
    <t>30H</t>
  </si>
  <si>
    <t>IAI Eitan or Heron TP stealth drone, internal weapons bay 1 ton</t>
  </si>
  <si>
    <t>https://en.wikipedia.org/wiki/IAI_Eitan</t>
  </si>
  <si>
    <t>https://en.wikipedia.org/wiki/IAI_Eitan#</t>
  </si>
  <si>
    <t>https://www.eurasiantimes.com/israel-deploys-stealth-bombs/</t>
  </si>
  <si>
    <t>my best guess Germany ordered 140</t>
  </si>
  <si>
    <t>https://www.jpost.com/business-and-innovation/all-news/article-805326</t>
  </si>
  <si>
    <t>https://www.globalmilitary.net/aircrafts/eitan/</t>
  </si>
  <si>
    <t>&gt;150 in Israeli service is my best guess Germany has ordered 140 and India has at least 15 and other countries as well</t>
  </si>
  <si>
    <t># of UAV</t>
  </si>
  <si>
    <t>bomber</t>
  </si>
  <si>
    <t>drones</t>
  </si>
  <si>
    <t>https://www.iai.co.il/p/heron-tp</t>
  </si>
  <si>
    <t>Inertial with terminal guidance</t>
  </si>
  <si>
    <t>my guess the range means it is a space missile that will be very fast</t>
  </si>
  <si>
    <t>Silo or Mobile (truck-mounted)</t>
  </si>
  <si>
    <t>Jericho III Israeli ICBM ballistic missile</t>
  </si>
  <si>
    <t>LGM-30G Minuteman III US ICBM nuclear armed</t>
  </si>
  <si>
    <t>https://en.wikipedia.org/wiki/LGM-30_Minuteman#</t>
  </si>
  <si>
    <t>300k ton nuclear W87</t>
  </si>
  <si>
    <t>https://en.wikipedia.org/wiki/Elbit_Hermes_900#</t>
  </si>
  <si>
    <t>https://thedefensepost.com/2022/07/04/thailand-israel-hermes-drones/</t>
  </si>
  <si>
    <t>36h</t>
  </si>
  <si>
    <t>Can fire Spike missiles, see army weapons, exported to 20 countries or so</t>
  </si>
  <si>
    <t>Hermes 650 or Spark cheap alternative to Hermes 900</t>
  </si>
  <si>
    <t>https://interestingengineering.com/military/israels-elbit-hermes-650-drone</t>
  </si>
  <si>
    <t>https://www.youtube.com/watch?v=w4jETByIGVY&amp;t=12s</t>
  </si>
  <si>
    <t>Internal load bay can take 120 kg with full fuel tank and flight time. Otherwise 260 max with reduced fuel and flight time.</t>
  </si>
  <si>
    <t>https://en.wikipedia.org/wiki/List_of_aircraft_of_the_Iranian_Air_Force</t>
  </si>
  <si>
    <t>https://www.rferl.org/a/persian-might-a-look-at-tehran-s-military-capability-amid-the-u-s--iranian-conflict/30368967.html</t>
  </si>
  <si>
    <t>none great</t>
  </si>
  <si>
    <t>many great</t>
  </si>
  <si>
    <t>https://breakingdefense.com/2024/04/iran-says-it-shot-down-israels-attack-heres-what-air-defense-systems-it-might-have-used/</t>
  </si>
  <si>
    <t>https://www.nti.org/analysis/articles/iran-submarine-capabilities/</t>
  </si>
  <si>
    <t>https://en.wikipedia.org/wiki/Islamic_Republic_of_Iran_Navy</t>
  </si>
  <si>
    <t>https://nationalinterest.org/blog/buzz/us-military-has-astounding-4650-m1-abrams-tanks-212509</t>
  </si>
  <si>
    <t>6230 Bradley + many other types</t>
  </si>
  <si>
    <t>https://en.wikipedia.org/wiki/M2_Bradley#Operators</t>
  </si>
  <si>
    <t>https://www.navalnews.com/naval-news/2020/12/u-s-navy-submarine-fleet-to-be-overtaken-by-china-before-2030/</t>
  </si>
  <si>
    <t>Key measures of military strength for top 4 global regions at war or at high risk of war</t>
  </si>
  <si>
    <t>https://en.wikipedia.org/wiki/Republic_of_China_Air_Force#Equipment_and_procurement</t>
  </si>
  <si>
    <t>https://en.wikipedia.org/wiki/Republic_of_China_Air_Force#Aircraft</t>
  </si>
  <si>
    <t xml:space="preserve"># of patrol/ </t>
  </si>
  <si>
    <t>https://en.wikipedia.org/wiki/Republic_of_China_Air_Force#Air_Defense</t>
  </si>
  <si>
    <t>https://gmi.bicc.de/publications/gmi-2022/Backgroundinfo_Taiwan_en.pdf</t>
  </si>
  <si>
    <t>https://www.nti.org/analysis/articles/taiwan-submarine-capabilities/</t>
  </si>
  <si>
    <t>https://en.wikipedia.org/wiki/Korean_People%27s_Army_Air_Force#Current_inventory</t>
  </si>
  <si>
    <t>fixed wing</t>
  </si>
  <si>
    <t>Total # of</t>
  </si>
  <si>
    <t xml:space="preserve">Total # of </t>
  </si>
  <si>
    <t>https://en.wikipedia.org/wiki/List_of_equipment_of_the_Korean_People%27s_Army_Ground_Force#Armour</t>
  </si>
  <si>
    <t>https://www.38north.org/2024/07/developments-of-north-koreas-land-based-air-defense-systems/</t>
  </si>
  <si>
    <t>https://en.wikipedia.org/wiki/List_of_active_ships_of_the_Korean_People's_Navy</t>
  </si>
  <si>
    <t>https://en.wikipedia.org/wiki/People%27s_Liberation_Army_Air_Force#Current_inventory</t>
  </si>
  <si>
    <t>https://en.wikipedia.org/wiki/People%27s_Liberation_Army_Ground_Force#Equipment_summary</t>
  </si>
  <si>
    <t>https://en.wikipedia.org/wiki/List_of_ships_of_the_People%27s_Liberation_Army_Navy#Active_ships</t>
  </si>
  <si>
    <t>https://en.wikipedia.org/wiki/Republic_of_Korea_Air_Force#Equipment</t>
  </si>
  <si>
    <t>https://en.wikipedia.org/wiki/Republic_of_Korea_Air_Force#Air_Defence</t>
  </si>
  <si>
    <t>https://en.wikipedia.org/wiki/List_of_equipment_of_the_Republic_of_Korea_Army#Aircraft</t>
  </si>
  <si>
    <t>https://en.wikipedia.org/wiki/List_of_equipment_of_the_Republic_of_Korea_Army#Tanks</t>
  </si>
  <si>
    <t>https://en.wikipedia.org/wiki/Republic_of_Korea_Navy#Ships</t>
  </si>
  <si>
    <t>https://en.wikipedia.org/wiki/Belarusian_Air_Force#Current_inventory</t>
  </si>
  <si>
    <t>https://en.wikipedia.org/wiki/List_of_equipment_of_the_Armed_Forces_of_Belarus#Vehicles</t>
  </si>
  <si>
    <t>https://en.wikipedia.org/wiki/List_of_equipment_of_the_Armed_Forces_of_Belarus#Vehicles and https://247wallst.com/military/2024/08/28/this-eastern-european-country-has-more-tanks-than-90-of-nato-members/</t>
  </si>
  <si>
    <t>https://en.wikipedia.org/wiki/Polish_Armed_Forces#</t>
  </si>
  <si>
    <t>https://en.wikipedia.org/wiki/Polish_Air_Force</t>
  </si>
  <si>
    <t>https://en.wikipedia.org/wiki/List_of_equipment_of_the_Polish_Land_Forces#Aircraft</t>
  </si>
  <si>
    <t>https://en.wikipedia.org/wiki/List_of_equipment_of_the_Polish_Land_Forces#Air_defence</t>
  </si>
  <si>
    <t>https://en.wikipedia.org/wiki/List_of_ships_of_the_Polish_Navy</t>
  </si>
  <si>
    <t>https://en.wikipedia.org/wiki/Estonia#</t>
  </si>
  <si>
    <t>https://en.wikipedia.org/wiki/Lithuania#</t>
  </si>
  <si>
    <t>https://en.wikipedia.org/wiki/Latvia#</t>
  </si>
  <si>
    <t>https://en.wikipedia.org/wiki/Moldova#</t>
  </si>
  <si>
    <t>https://en.wikipedia.org/wiki/Romania#</t>
  </si>
  <si>
    <t>https://en.wikipedia.org/wiki/Bulgaria#</t>
  </si>
  <si>
    <t>https://en.wikipedia.org/wiki/Finnish_Defence_Forces#</t>
  </si>
  <si>
    <t>https://en.wikipedia.org/wiki/Norwegian_Armed_Forces</t>
  </si>
  <si>
    <t>https://en.wikipedia.org/wiki/Norwegian_Armed_Forces#</t>
  </si>
  <si>
    <t>https://en.wikipedia.org/wiki/Spain#</t>
  </si>
  <si>
    <t>https://en.wikipedia.org/wiki/Czech_Republic#</t>
  </si>
  <si>
    <t>https://en.wikipedia.org/wiki/Swedish_Armed_Forces</t>
  </si>
  <si>
    <t>https://en.wikipedia.org/wiki/Danish_Defence</t>
  </si>
  <si>
    <t>https://en.wikipedia.org/wiki/Estonian_Defence_Forces#</t>
  </si>
  <si>
    <t>https://en.wikipedia.org/wiki/Lithuanian_Armed_Forces#</t>
  </si>
  <si>
    <t>https://en.wikipedia.org/wiki/Latvian_National_Armed_Forces#</t>
  </si>
  <si>
    <t>https://en.wikipedia.org/wiki/Armed_Forces_of_the_Republic_of_Moldova#</t>
  </si>
  <si>
    <t>https://en.wikipedia.org/wiki/Romanian_Armed_Forces</t>
  </si>
  <si>
    <t>https://en.wikipedia.org/wiki/Bulgarian_Armed_Forces</t>
  </si>
  <si>
    <t>https://en.wikipedia.org/wiki/Bundeswehr</t>
  </si>
  <si>
    <t>https://en.wikipedia.org/wiki/Army_of_the_Czech_Republic</t>
  </si>
  <si>
    <t>https://en.wikipedia.org/wiki/British_Armed_Forces</t>
  </si>
  <si>
    <t>https://en.wikipedia.org/wiki/French_Armed_Forces</t>
  </si>
  <si>
    <t>https://en.wikipedia.org/wiki/Spanish_Armed_Forces</t>
  </si>
  <si>
    <t>https://en.wikipedia.org/wiki/Italian_Armed_Forces</t>
  </si>
  <si>
    <t>Slovakia still export arms to Ukraine but new government has halted military aid. They also still provide financial aid to Ukraine. Slovakia has started large scale production in late 2024 of 155mm and 122 mm shells that will mostly be exported to Ukraine. So still an important supporter for Ukraine despite the pro Russian talk by new PM.</t>
  </si>
  <si>
    <t>https://en.wikipedia.org/wiki/Slovakia</t>
  </si>
  <si>
    <t>https://en.wikipedia.org/wiki/Slovak_Armed_Forces#</t>
  </si>
  <si>
    <t xml:space="preserve">The Czech Republic will completely cut off Russian oil imports by the first half of 2025, relying entirely on oil supplied via the western route through the IKL and TAL pipelines. </t>
  </si>
  <si>
    <t>https://ceenergynews.com/oil-gas/czechia-to-be-completely-independent-from-russian-oil-by-mid-2025-confirmed-prime-minister/#:~:text=The%20Czech%20Republic%20will%20completely%20cut%20off%20Russian,western%20route%20through%20the%20IKL%20and%20TAL%20pipelines.</t>
  </si>
  <si>
    <t>https://en.wikipedia.org/wiki/Finnish_Air_Force#</t>
  </si>
  <si>
    <t>https://en.wikipedia.org/wiki/List_of_equipment_of_the_Finnish_Army</t>
  </si>
  <si>
    <t>https://en.wikipedia.org/wiki/List_of_equipment_of_the_Finnish_Navy</t>
  </si>
  <si>
    <t>https://en.wikipedia.org/wiki/Royal_Norwegian_Air_Force#Current_inventory</t>
  </si>
  <si>
    <t>https://en.wikipedia.org/wiki/List_of_equipment_of_the_Norwegian_Army#Armoured_vehicles</t>
  </si>
  <si>
    <t>https://en.wikipedia.org/wiki/Royal_Norwegian_Navy#Fleet_units_and_vessels_(present)</t>
  </si>
  <si>
    <t>https://en.wikipedia.org/wiki/Swedish_Air_Force#Aircraft</t>
  </si>
  <si>
    <t>https://en.wikipedia.org/wiki/List_of_equipment_of_the_Swedish_Armed_Forces#Army</t>
  </si>
  <si>
    <t>https://en.wikipedia.org/wiki/List_of_equipment_of_the_Swedish_Armed_Forces#</t>
  </si>
  <si>
    <t>https://en.wikipedia.org/wiki/List_of_equipment_of_the_Royal_Danish_Army#</t>
  </si>
  <si>
    <t>https://en.wikipedia.org/wiki/Royal_Danish_Air_Force#</t>
  </si>
  <si>
    <t>3rd source</t>
  </si>
  <si>
    <t>https://en.wikipedia.org/wiki/List_of_active_Royal_Danish_Navy_ships</t>
  </si>
  <si>
    <t>A lot of mostly older stuff</t>
  </si>
  <si>
    <t>https://en.wikipedia.org/wiki/Estonian_Air_Force#</t>
  </si>
  <si>
    <t>https://en.wikipedia.org/wiki/List_of_equipment_of_the_Estonian_Defence_Forces#Vehicles</t>
  </si>
  <si>
    <t>https://en.wikipedia.org/wiki/Estonian_Air_Force</t>
  </si>
  <si>
    <t>https://en.wikipedia.org/wiki/Latvian_Air_Force#</t>
  </si>
  <si>
    <t>https://en.wikipedia.org/wiki/List_of_equipment_of_the_Latvian_Land_Forces#Military_vehicles</t>
  </si>
  <si>
    <t>https://en.wikipedia.org/wiki/Latvian_Naval_Forces#Current</t>
  </si>
  <si>
    <t>https://en.wikipedia.org/wiki/Lithuanian_Air_Force#Current_aircraft</t>
  </si>
  <si>
    <t># of which</t>
  </si>
  <si>
    <t>https://en.wikipedia.org/wiki/Lithuanian_Air_Force#</t>
  </si>
  <si>
    <t>https://en.wikipedia.org/wiki/List_of_equipment_of_the_Lithuanian_Armed_Forces#</t>
  </si>
  <si>
    <t>https://en.wikipedia.org/wiki/Lithuanian_Naval_Force</t>
  </si>
  <si>
    <t>https://en.wikipedia.org/wiki/List_of_equipment_of_the_Moldovan_Armed_Forces</t>
  </si>
  <si>
    <t>https://en.wikipedia.org/wiki/List_of_equipment_of_the_Moldovan_Armed_Forces#</t>
  </si>
  <si>
    <t>https://en.wikipedia.org/wiki/Romanian_Air_Force#Equipment</t>
  </si>
  <si>
    <t>https://en.wikipedia.org/wiki/List_of_equipment_of_the_Romanian_Armed_Forces</t>
  </si>
  <si>
    <t>https://en.wikipedia.org/wiki/List_of_equipment_of_the_Romanian_Armed_Forces#</t>
  </si>
  <si>
    <t>https://en.wikipedia.org/wiki/Canadian_Armed_Forces#</t>
  </si>
  <si>
    <t>https://en.wikipedia.org/wiki/New_Zealand#</t>
  </si>
  <si>
    <t>https://en.wikipedia.org/wiki/New_Zealand_Defence_Force</t>
  </si>
  <si>
    <t>https://en.wikipedia.org/wiki/Canadian_Armed_Forces</t>
  </si>
  <si>
    <t>https://en.wikipedia.org/wiki/Bulgarian_Air_Force#Aircraft</t>
  </si>
  <si>
    <t>https://en.wikipedia.org/wiki/List_of_modern_equipment_of_the_Bulgarian_Land_Forces#Tanks</t>
  </si>
  <si>
    <t>https://en.wikipedia.org/wiki/List_of_modern_equipment_of_the_Bulgarian_Land_Forces#Armoured_and_utility_vehicles</t>
  </si>
  <si>
    <t>https://en.wikipedia.org/wiki/Bulgarian_Navy#Ships</t>
  </si>
  <si>
    <t>China A threaten to invade Taiwan D</t>
  </si>
  <si>
    <t>https://en.wikipedia.org/wiki/Hungary#</t>
  </si>
  <si>
    <t>https://en.wikipedia.org/wiki/Hungarian_Defence_Forces</t>
  </si>
  <si>
    <t>https://en.wikipedia.org/wiki/Hungarian_Air_Force#</t>
  </si>
  <si>
    <t>https://en.wikipedia.org/wiki/List_of_equipment_of_the_Hungarian_Ground_Forces#Vehicles</t>
  </si>
  <si>
    <t>A lot. NK apparently has production capacity for 152mm shells by 2 million per year or more than NATO combined</t>
  </si>
  <si>
    <t>&gt;500 NK got about 430 ships plus 250 amphibious ships for land invasion.</t>
  </si>
  <si>
    <t>Israel has 24 to 36 conscription for all young people both male and female and nearly 3 million people have military training and are below 49 years old so that is the maximum reserves that can be mobilized.</t>
  </si>
  <si>
    <t>Ethnic map</t>
  </si>
  <si>
    <t>Militia financed by Iran. Hezbollah is considered a terrorist organization by the United States and many other countries</t>
  </si>
  <si>
    <t>Shia Muslim</t>
  </si>
  <si>
    <t>Sunni Muslim</t>
  </si>
  <si>
    <t>Shia Muslim including Alawites, Ismailis and Twelvers</t>
  </si>
  <si>
    <t>Sunni Muslim not mentioned</t>
  </si>
  <si>
    <t>estimated by multiplying the 35% of population that are Shia Muslim</t>
  </si>
  <si>
    <t>Amazing ethnic maps source</t>
  </si>
  <si>
    <t>https://en.wikipedia.org/wiki/Czech_Air_Force#Current_inventory</t>
  </si>
  <si>
    <t>Notes 2</t>
  </si>
  <si>
    <t>no cost</t>
  </si>
  <si>
    <t>https://en.wikipedia.org/wiki/List_of_military_equipment_of_the_Czech_Army#Vehicles</t>
  </si>
  <si>
    <t>https://en.wikipedia.org/wiki/List_of_military_equipment_of_the_Czech_Army#Air_defence_systems</t>
  </si>
  <si>
    <t>https://en.wikipedia.org/wiki/Georgia_(country)#</t>
  </si>
  <si>
    <t>https://en.wikipedia.org/wiki/Russo-Georgian_War#</t>
  </si>
  <si>
    <t>https://en.wikipedia.org/wiki/Defence_Forces_of_Georgia</t>
  </si>
  <si>
    <t>https://en.wikipedia.org/wiki/Georgian_Air_Force#Aircraft</t>
  </si>
  <si>
    <t>https://en.wikipedia.org/wiki/List_of_equipment_of_the_Defense_Forces_of_Georgia#Vehicles</t>
  </si>
  <si>
    <t>AK=authoritarian kleptocracy</t>
  </si>
  <si>
    <t>https://en.wikipedia.org/wiki/Switzerland</t>
  </si>
  <si>
    <t>https://en.wikipedia.org/wiki/Austria#</t>
  </si>
  <si>
    <t>https://en.wikipedia.org/wiki/Austrian_Armed_Forces</t>
  </si>
  <si>
    <t>https://en.wikipedia.org/wiki/Swiss_Armed_Forces</t>
  </si>
  <si>
    <t>https://en.wikipedia.org/wiki/Austrian_Air_Force</t>
  </si>
  <si>
    <t>https://en.wikipedia.org/wiki/Coast_Guard_of_Georgia</t>
  </si>
  <si>
    <t>https://en.wikipedia.org/wiki/List_of_equipment_of_the_Austrian_Armed_Forces#Armoured_vehicles</t>
  </si>
  <si>
    <t>https://en.wikipedia.org/wiki/Slovak_Air_Force#Aircraft</t>
  </si>
  <si>
    <t>https://en.wikipedia.org/wiki/Slovak_Air_Force#Air_defense</t>
  </si>
  <si>
    <t>https://en.wikipedia.org/wiki/Slovak_Air_Force#Current_inventory</t>
  </si>
  <si>
    <t>https://en.wikipedia.org/wiki/List_of_equipment_of_the_Slovak_Army#Armoured_combat_vehicles</t>
  </si>
  <si>
    <t>https://en.wikipedia.org/wiki/List_of_aircraft_of_the_Swiss_Air_Force</t>
  </si>
  <si>
    <t>https://en.wikipedia.org/wiki/List_of_equipment_of_the_Swiss_Army#Armoured_vehicles</t>
  </si>
  <si>
    <t>https://en.wikipedia.org/wiki/List_of_equipment_of_the_Swiss_Army#Air_defence_systems</t>
  </si>
  <si>
    <t>https://en.wikipedia.org/wiki/List_of_equipment_of_the_Swiss_Army#Indirect_fire</t>
  </si>
  <si>
    <t>https://en.wikipedia.org/wiki/Portugal</t>
  </si>
  <si>
    <t>https://en.wikipedia.org/wiki/Portuguese_Armed_Forces</t>
  </si>
  <si>
    <t>https://en.wikipedia.org/wiki/German_Air_Force#Aircraft</t>
  </si>
  <si>
    <t>https://en.wikipedia.org/wiki/List_of_modern_equipment_of_the_German_Army#Vehicles</t>
  </si>
  <si>
    <t>https://en.wikipedia.org/wiki/List_of_modern_equipment_of_the_German_Army#Indirect_fire</t>
  </si>
  <si>
    <t>https://en.wikipedia.org/wiki/German_Navy</t>
  </si>
  <si>
    <t>https://en.wikipedia.org/wiki/Netherlands</t>
  </si>
  <si>
    <t>https://en.wikipedia.org/wiki/Belgium</t>
  </si>
  <si>
    <t xml:space="preserve">Military </t>
  </si>
  <si>
    <t xml:space="preserve">spending </t>
  </si>
  <si>
    <t>https://en.wikipedia.org/wiki/Netherlands_Armed_Forces</t>
  </si>
  <si>
    <t>https://en.wikipedia.org/wiki/Belgian_Armed_Forces</t>
  </si>
  <si>
    <t>https://en.wikipedia.org/wiki/List_of_military_aid_to_Ukraine_during_the_Russo-Ukrainian_War#S</t>
  </si>
  <si>
    <t>https://en.wikipedia.org/wiki/List_of_military_aid_to_Ukraine_during_the_Russo-Ukrainian_War#C</t>
  </si>
  <si>
    <t>https://en.wikipedia.org/wiki/List_of_military_aid_to_Ukraine_during_the_Russo-Ukrainian_War#A</t>
  </si>
  <si>
    <t>https://en.wikipedia.org/wiki/List_of_military_aid_to_Ukraine_during_the_Russo-Ukrainian_War#M</t>
  </si>
  <si>
    <t>https://en.wikipedia.org/wiki/List_of_military_aid_to_Ukraine_during_the_Russo-Ukrainian_War#N</t>
  </si>
  <si>
    <t>https://en.wikipedia.org/wiki/Ukrainian_Air_Force#Equipment</t>
  </si>
  <si>
    <t>https://en.wikipedia.org/wiki/Ukrainian_Air_Force#Air_Defense</t>
  </si>
  <si>
    <t>systems (only &gt;152mmplus rocket based artillery)</t>
  </si>
  <si>
    <t>https://en.wikipedia.org/wiki/Ukraine</t>
  </si>
  <si>
    <t>https://en.wikipedia.org/wiki/Russia</t>
  </si>
  <si>
    <t>https://carnegieendowment.org/russia-eurasia/politika/2023/09/russias-2024-budget-shows-its-planning-for-a-long-war-in-ukraine?lang=en</t>
  </si>
  <si>
    <t>https://en.wikipedia.org/wiki/Russian_Armed_Forces</t>
  </si>
  <si>
    <t>https://en.wikipedia.org/wiki/Serbia</t>
  </si>
  <si>
    <t>Weapons sold or donated to Ukraine</t>
  </si>
  <si>
    <t>https://en.wikipedia.org/wiki/Greece</t>
  </si>
  <si>
    <t>https://en.wikipedia.org/wiki/Hellenic_Armed_Forces</t>
  </si>
  <si>
    <t>In addition to 70 billion USD of their own money Ukraine receive about 50 billion more of military aid from mostly NATO countries see sheet on Ukr aid. Unlike Russia Ukraine do not have strategic inventory of tanks, fighting vehicles, artillery and ammunition. Advantage is that there are no stockpiles Russia can attack. Disadvantage is that if supply of weapons from NATO stop Ukraine will lose the war quickly as they will run out of equipment and ammunition very fast.</t>
  </si>
  <si>
    <t>4th source</t>
  </si>
  <si>
    <t>https://en.wikipedia.org/wiki/List_of_equipment_of_the_Armed_Forces_of_Ukraine</t>
  </si>
  <si>
    <t>https://en.wikipedia.org/wiki/List_of_equipment_of_the_Armed_Forces_of_Ukraine#Tanks</t>
  </si>
  <si>
    <t>https://en.wikipedia.org/wiki/Serbian_Armed_Forces</t>
  </si>
  <si>
    <t>https://en.wikipedia.org/wiki/Serbian_Air_Force_and_Air_Defence#Aircraft</t>
  </si>
  <si>
    <t>https://en.wikipedia.org/wiki/List_of_equipment_of_the_Serbian_Armed_Forces</t>
  </si>
  <si>
    <t>https://en.wikipedia.org/wiki/Slovenia</t>
  </si>
  <si>
    <t>D=democratic country; N=NATO member</t>
  </si>
  <si>
    <t>https://en.wikipedia.org/wiki/List_of_military_aid_to_Ukraine_during_the_Russo-Ukrainian_War#L</t>
  </si>
  <si>
    <t>A=authoritarian country; E=EU</t>
  </si>
  <si>
    <t>https://en.wikipedia.org/wiki/List_of_military_aid_to_Ukraine_during_the_Russo-Ukrainian_War#I</t>
  </si>
  <si>
    <t>https://en.wikipedia.org/wiki/Iceland</t>
  </si>
  <si>
    <t>https://en.wikipedia.org/wiki/Croatia</t>
  </si>
  <si>
    <t>https://en.wikipedia.org/wiki/Albania</t>
  </si>
  <si>
    <t>https://en.wikipedia.org/wiki/Montenegro</t>
  </si>
  <si>
    <t>https://en.wikipedia.org/wiki/North_Macedonia</t>
  </si>
  <si>
    <t>https://en.wikipedia.org/wiki/Luxembourg</t>
  </si>
  <si>
    <t>Iceland has a cost guard and police but no military. Iceland used to be a member state of Denmark and was protected by Danish military but they went for independence in 1944.</t>
  </si>
  <si>
    <t>https://en.wikipedia.org/wiki/Luxembourg_Armed_Forces</t>
  </si>
  <si>
    <t>https://en.wikipedia.org/wiki/Defence_of_Iceland</t>
  </si>
  <si>
    <t>https://en.wikipedia.org/wiki/Armed_Forces_of_Croatia</t>
  </si>
  <si>
    <t>Iceland only has a cost guard and a police. Likely less than 1500 people. Iceland got a large US military naval base and airport.</t>
  </si>
  <si>
    <t>https://en.wikipedia.org/wiki/List_of_equipment_of_the_Luxembourg_Army</t>
  </si>
  <si>
    <t>https://en.wikipedia.org/wiki/List_of_equipment_of_the_Luxembourg_Army#Vehicles</t>
  </si>
  <si>
    <t>https://en.wikipedia.org/wiki/Luxembourg_Armed_Forces#Equipment</t>
  </si>
  <si>
    <t>https://en.wikipedia.org/wiki/Slovenian_Armed_Forces</t>
  </si>
  <si>
    <t>https://en.wikipedia.org/wiki/Albanian_Armed_Forces</t>
  </si>
  <si>
    <t>https://en.wikipedia.org/wiki/Armed_Forces_of_Montenegro</t>
  </si>
  <si>
    <t>https://en.wikipedia.org/wiki/Army_of_North_Macedonia</t>
  </si>
  <si>
    <t>https://en.wikipedia.org/wiki/Hellenic_Air_Force#Aircraft</t>
  </si>
  <si>
    <t>https://en.wikipedia.org/wiki/List_of_equipment_of_the_Hellenic_Army</t>
  </si>
  <si>
    <t>https://en.wikipedia.org/wiki/Hellenic_Air_Force#Aircraft also see https://en.wikipedia.org/wiki/List_of_equipment_of_the_Hellenic_Army#Air_defence_systems</t>
  </si>
  <si>
    <t>https://en.wikipedia.org/wiki/Hellenic_Navy#Submarines_2</t>
  </si>
  <si>
    <t>https://en.wikipedia.org/wiki/Hellenic_Navy#Ships</t>
  </si>
  <si>
    <t>https://en.wikipedia.org/wiki/Slovenian_Air_Force_and_Air_Defence#Aircraft</t>
  </si>
  <si>
    <t>https://en.wikipedia.org/wiki/Slovenian_Ground_Force#Combat_vehicles</t>
  </si>
  <si>
    <t>https://en.wikipedia.org/wiki/Slovenian_Navy#Equipment</t>
  </si>
  <si>
    <t>https://en.wikipedia.org/wiki/Croatian_Air_Force#Current_inventory</t>
  </si>
  <si>
    <t>https://en.wikipedia.org/wiki/List_of_equipment_of_the_Croatian_Army#Tanks</t>
  </si>
  <si>
    <t>https://en.wikipedia.org/wiki/List_of_active_Croatian_Navy_ships</t>
  </si>
  <si>
    <t>https://en.wikipedia.org/wiki/List_of_active_United_Kingdom_military_aircraft</t>
  </si>
  <si>
    <t>https://en.wikipedia.org/wiki/List_of_equipment_of_the_British_Army</t>
  </si>
  <si>
    <t>https://en.wikipedia.org/wiki/Royal_Navy</t>
  </si>
  <si>
    <r>
      <t>Syria, all AK</t>
    </r>
    <r>
      <rPr>
        <sz val="11"/>
        <color theme="1"/>
        <rFont val="Calibri"/>
        <family val="2"/>
        <scheme val="minor"/>
      </rPr>
      <t xml:space="preserve"> (a failed dysfunctional state)</t>
    </r>
  </si>
  <si>
    <t>https://en.wikipedia.org/wiki/List_of_Albanian_Air_Force_aircraft#Summary</t>
  </si>
  <si>
    <t>https://en.wikipedia.org/wiki/List_of_equipment_of_the_Albanian_Armed_Forces#Vehicles</t>
  </si>
  <si>
    <t>https://en.wikipedia.org/wiki/North_Macedonia_Air_Brigade#Current_inventory</t>
  </si>
  <si>
    <t>https://en.wikipedia.org/wiki/List_of_equipment_of_the_Army_of_North_Macedonia#Military_vehicles</t>
  </si>
  <si>
    <t>https://en.wikipedia.org/wiki/Montenegrin_Air_Force#Current_inventory</t>
  </si>
  <si>
    <t>https://en.wikipedia.org/wiki/List_of_equipment_of_the_Montenegrin_Ground_Army</t>
  </si>
  <si>
    <t>https://en.wikipedia.org/wiki/Royal_Netherlands_Air_Force#Aircraft</t>
  </si>
  <si>
    <t>https://en.wikipedia.org/wiki/List_of_equipment_of_the_Royal_Netherlands_Army#Combat_vehicles</t>
  </si>
  <si>
    <t>https://en.wikipedia.org/wiki/List_of_active_Royal_Netherlands_Navy_ships</t>
  </si>
  <si>
    <t>https://en.wikipedia.org/wiki/Belgian_Air_Component#Current_aircraft</t>
  </si>
  <si>
    <t>https://en.wikipedia.org/wiki/List_of_equipment_of_the_Belgian_Land_Component#Armoured_combat_vehicles</t>
  </si>
  <si>
    <t>https://en.wikipedia.org/wiki/Belgian_Navy#Active_fleet_of_ships</t>
  </si>
  <si>
    <t>https://en.wikipedia.org/wiki/List_of_active_military_aircraft_of_the_French_Armed_Forces</t>
  </si>
  <si>
    <t>https://en.wikipedia.org/wiki/List_of_equipment_of_the_French_Army#Vehicles</t>
  </si>
  <si>
    <t>https://en.wikipedia.org/wiki/French_Air_and_Space_Force#Air_defense</t>
  </si>
  <si>
    <t>https://en.wikipedia.org/wiki/List_of_active_French_Navy_ships</t>
  </si>
  <si>
    <t>https://en.wikipedia.org/wiki/Spanish_Air_and_Space_Force#Current_inventory</t>
  </si>
  <si>
    <t>https://en.wikipedia.org/wiki/Spanish_Army#Personnel</t>
  </si>
  <si>
    <t>https://en.wikipedia.org/wiki/List_of_active_Spanish_Navy_ships</t>
  </si>
  <si>
    <t>https://en.wikipedia.org/wiki/Portuguese_Air_Force#Aircraft</t>
  </si>
  <si>
    <t>https://en.wikipedia.org/wiki/List_of_equipment_of_the_Portuguese_Army</t>
  </si>
  <si>
    <t>https://en.wikipedia.org/wiki/List_of_active_Portuguese_Navy_ships</t>
  </si>
  <si>
    <t>combat &amp; ASW</t>
  </si>
  <si>
    <t>https://en.wikipedia.org/wiki/List_of_active_Italian_military_aircraft#Current_inventory</t>
  </si>
  <si>
    <t>https://en.wikipedia.org/wiki/List_of_equipment_of_the_Italian_Army#Armored_vehicles</t>
  </si>
  <si>
    <t>systems (not including manpads but do include anti-aircraft guns)</t>
  </si>
  <si>
    <t>https://en.wikipedia.org/wiki/List_of_active_Italian_Navy_ships</t>
  </si>
  <si>
    <t>https://en.wikipedia.org/wiki/Royal_Canadian_Air_Force#Aircraft</t>
  </si>
  <si>
    <t>aircraft not including drones</t>
  </si>
  <si>
    <t>https://en.wikipedia.org/wiki/List_of_equipment_of_the_Canadian_Army#Armoured_fighting_vehicles</t>
  </si>
  <si>
    <t>https://en.wikipedia.org/wiki/List_of_current_ships_of_the_Royal_Canadian_Navy#Submarines</t>
  </si>
  <si>
    <t>https://en.wikipedia.org/wiki/Japan_Air_Self-Defense_Force#Aircraft</t>
  </si>
  <si>
    <t>https://en.wikipedia.org/wiki/List_of_equipment_of_the_Japan_Ground_Self-Defense_Force#Vehicles</t>
  </si>
  <si>
    <t>&gt;52</t>
  </si>
  <si>
    <t>https://en.wikipedia.org/wiki/List_of_active_Japan_Maritime_Self-Defense_Force_ships</t>
  </si>
  <si>
    <t>https://en.wikipedia.org/wiki/List_of_equipment_of_the_Philippine_Air_Force#Aircraft</t>
  </si>
  <si>
    <t>https://en.wikipedia.org/wiki/Philippines</t>
  </si>
  <si>
    <t>https://en.wikipedia.org/wiki/List_of_equipment_of_the_Philippine_Air_Force#Air_defense_equipment</t>
  </si>
  <si>
    <t>https://en.wikipedia.org/wiki/List_of_equipment_of_the_Philippine_Army</t>
  </si>
  <si>
    <t>https://en.wikipedia.org/wiki/Philippine_Navy#Vessels</t>
  </si>
  <si>
    <t>https://en.wikipedia.org/wiki/Royal_Australian_Air_Force#Aircraft</t>
  </si>
  <si>
    <t>https://en.wikipedia.org/wiki/Royal_Australian_Navy#Fleet_Air_Arm</t>
  </si>
  <si>
    <t>https://en.wikipedia.org/wiki/List_of_equipment_of_the_Australian_Army#Air_defence</t>
  </si>
  <si>
    <t>https://en.wikipedia.org/wiki/List_of_equipment_of_the_Australian_Army#Armoured_Vehicles</t>
  </si>
  <si>
    <t>https://en.wikipedia.org/wiki/Royal_New_Zealand_Air_Force#Current_inventory</t>
  </si>
  <si>
    <t>https://en.wikipedia.org/wiki/List_of_equipment_of_the_New_Zealand_Army#Vehicles</t>
  </si>
  <si>
    <t>https://en.wikipedia.org/wiki/List_of_active_Royal_New_Zealand_Navy_ships</t>
  </si>
  <si>
    <t>https://en.wikipedia.org/wiki/List_of_active_Turkish_Air_Force_aircraft</t>
  </si>
  <si>
    <t>https://en.wikipedia.org/wiki/List_of_equipment_of_the_Turkish_Land_Forces#Armour_&amp;_artillery</t>
  </si>
  <si>
    <t>https://en.wikipedia.org/wiki/List_of_active_ships_of_the_Turkish_Naval_Forces#Submarine_fleet</t>
  </si>
  <si>
    <t>https://en.wikipedia.org/wiki/Turkey</t>
  </si>
  <si>
    <t>https://en.wikipedia.org/wiki/Turkish_Armed_Forces</t>
  </si>
  <si>
    <t>Ukraine=pale yellow</t>
  </si>
  <si>
    <t>Israel = pale green</t>
  </si>
  <si>
    <t>Russia = pale red</t>
  </si>
  <si>
    <t>2019-</t>
  </si>
  <si>
    <t>https://en.wikipedia.org/wiki/ROCKS_(missile)</t>
  </si>
  <si>
    <t>F16, F35</t>
  </si>
  <si>
    <t>INS/GPS with electro-optical seeker and Anti-Radiation capability</t>
  </si>
  <si>
    <t>My  guess for ballistic missile this is minimum speed</t>
  </si>
  <si>
    <t xml:space="preserve">To make significant damage to a fortified structure it needs at least 500 kg warhead. </t>
  </si>
  <si>
    <t>1250kg is max weight for single weapon on F16</t>
  </si>
  <si>
    <t>https://youtu.be/SGlkJERPmwo?si=7SghDfn3CNaaNeSE&amp;t=52</t>
  </si>
  <si>
    <t>2018- under development</t>
  </si>
  <si>
    <t>https://en.wikipedia.org/wiki/A-235_anti-ballistic_missile_system</t>
  </si>
  <si>
    <t>&lt;2</t>
  </si>
  <si>
    <t>My guess like SN-3 and Arrow3</t>
  </si>
  <si>
    <t>My guess because not operational</t>
  </si>
  <si>
    <t xml:space="preserve">Launch </t>
  </si>
  <si>
    <t>Range of</t>
  </si>
  <si>
    <t>platform</t>
  </si>
  <si>
    <t>Dependencies</t>
  </si>
  <si>
    <t>weapon systems</t>
  </si>
  <si>
    <t xml:space="preserve">on other </t>
  </si>
  <si>
    <t>monthly</t>
  </si>
  <si>
    <t>Airport</t>
  </si>
  <si>
    <t>375km radar range</t>
  </si>
  <si>
    <t>600km radar range</t>
  </si>
  <si>
    <t>640km radar range</t>
  </si>
  <si>
    <t>400km radar range</t>
  </si>
  <si>
    <t>650km radar range</t>
  </si>
  <si>
    <t>Russia only got 6 A50 so 12 missiles is enough to get rid of them</t>
  </si>
  <si>
    <t xml:space="preserve">Surface ships, Mark 41 Vertical Launching System, Torpedo tubes Submarines, on land from Typhon launch vehicle 4 tubes </t>
  </si>
  <si>
    <t>my estimate</t>
  </si>
  <si>
    <t>Hawkeye air force version is used from land airports has more fuel because less structure is needed when not used on carrier. Increases flight time to 8H up from 6H. Otherwise the same.</t>
  </si>
  <si>
    <t>Types</t>
  </si>
  <si>
    <t xml:space="preserve">of </t>
  </si>
  <si>
    <t>warhead</t>
  </si>
  <si>
    <t>Blast fragmentation, cluster or nuclear</t>
  </si>
  <si>
    <t>https://en.wikipedia.org/wiki/Tomahawk_(missile_family)</t>
  </si>
  <si>
    <t>Bunker buster</t>
  </si>
  <si>
    <t>use of</t>
  </si>
  <si>
    <t>Secondary</t>
  </si>
  <si>
    <t>transfer M$</t>
  </si>
  <si>
    <t>Destroy Russian logistics 200 km deep into Russia from Ukraine border. That is all important bridges and transportation hubs should be taking down starting with Crimea bridge.</t>
  </si>
  <si>
    <t>Frontline</t>
  </si>
  <si>
    <t>range</t>
  </si>
  <si>
    <t>types</t>
  </si>
  <si>
    <t>Passive infrared homing seeker (KW)</t>
  </si>
  <si>
    <t>Poland got 24 SM-3 in land based rocket base that went operational in 2024. Romania likely got 24 more at their rocket base. USA, Japan and South Korea also got them. See https://en.wikipedia.org/wiki/RIM-161_Standard_Missile_3#Poland and see https://en.wikipedia.org/wiki/Aegis_Ballistic_Missile_Defense_System#Aegis_Ashore</t>
  </si>
  <si>
    <t>Used for launching Tomahawk missiles and SM-6</t>
  </si>
  <si>
    <t>Airports in Russia</t>
  </si>
  <si>
    <t>Russia need weapon to make it highly risky for Ukraine helicopters and aircraft to attack Russian frontlines or Russian aircraft dropping glider bombs on Ukraine frontlines.</t>
  </si>
  <si>
    <t>Ground based radar and radar on-bord fighters and strategic bombers</t>
  </si>
  <si>
    <t>Not many alternatives at 926 km range. Also at this range agm-158b is ideal as it is considered obsolete by US because not able to target ships and also cannot be launched from ground or ships as the newer variants c and d can. Also it is a bunker buster and is relatively plentiful. US got over 3500 and it is no longer produced as it is going to be fully replaced by more capable and versatile AGM-158c-ER and AGM-158d-XR that have equal or much longer range and can be used to target land and sea targets and also have more launch platforms.</t>
  </si>
  <si>
    <t xml:space="preserve"> - Rapid Dragon JASSM launcher by C17, C130</t>
  </si>
  <si>
    <t xml:space="preserve"> - M1000 Heavy Equipment Transport Semi-Trailer</t>
  </si>
  <si>
    <t>See sheet WeaponsSpecs</t>
  </si>
  <si>
    <t>Depend on Russian radar airplane A50 that Russia likely only got 6 operational aircraft</t>
  </si>
  <si>
    <t>https://en.wikipedia.org/wiki/S-400_missile_system missile cost is my guess</t>
  </si>
  <si>
    <t>https://www.armyrecognition.com/military-products/army/air-defense-systems/air-defense-vehicles/arrow-3-or-hetz-3?highlight=WyJmaXJzdCIsInVuaXQiLCJpbiJd</t>
  </si>
  <si>
    <t>Use SM-6 to down attacking Russian aircraft dropping glider bombs some 70 km behind front lines</t>
  </si>
  <si>
    <t>Hit Russian ammunition bunkers, military factories, oil refineries</t>
  </si>
  <si>
    <t>Russia will be forced to pull their aircraft out of harms range meaning they will need fuel tankers to reach Ukraine frontlines with their fighter/bomber aircraft. Russia only got 20 fuel tankers and 6 A50 radar aircraft. 20 fuel tankers is too little to attack Ukraine with 250 sorties per day as they currently do. That will drop significantly.</t>
  </si>
  <si>
    <t>Weapons with issues = pale red</t>
  </si>
  <si>
    <t>https://en.wikipedia.org/wiki/Aegis_Ballistic_Missile_Defense_System#SM-3,_SM-2_Block_IV,_SM-6_and_GPI_interceptors</t>
  </si>
  <si>
    <t>Ship launched from Mark-41. A land based launch system based on likely land variant of Mk 41 ship launcher called Aegis Ashore  see https://en.wikipedia.org/wiki/Aegis_Ballistic_Missile_Defense_System#Aegis_Ashore. Ukraine could get a Mk-41 ship launcher set up inside Ukraine south of Kiev or 300 km from frontlines to be safe from Russian attacks.</t>
  </si>
  <si>
    <t>See under SM-6 and Tomahawk</t>
  </si>
  <si>
    <t>Use Tomahawk to hit Russian airports with strategic bombers and tankers and fighter aircraft. Can use a cluster warhead for that.</t>
  </si>
  <si>
    <t xml:space="preserve"> </t>
  </si>
  <si>
    <t>2 pledged for Ukraine by Sweden on May 2024</t>
  </si>
  <si>
    <t xml:space="preserve">This is a military grade semi-transporter that can be used to transport Mark 41 launch system around in Ukraine between different large barges so Russia will have less likelihood of locating it and targeting it. </t>
  </si>
  <si>
    <r>
      <rPr>
        <b/>
        <sz val="11"/>
        <color theme="1"/>
        <rFont val="Calibri"/>
        <family val="2"/>
        <scheme val="minor"/>
      </rPr>
      <t xml:space="preserve">Weapon name: </t>
    </r>
    <r>
      <rPr>
        <sz val="11"/>
        <color theme="1"/>
        <rFont val="Calibri"/>
        <family val="2"/>
        <scheme val="minor"/>
      </rPr>
      <t>For more specs see</t>
    </r>
  </si>
  <si>
    <t>my best guess for one launch system including a control unit for system.</t>
  </si>
  <si>
    <t>https://youtu.be/JXz85MNVQ6o?si=OmC_2kVFx2yITqim&amp;t=153</t>
  </si>
  <si>
    <t>Indium-antimonide imaging infra-red seeker head</t>
  </si>
  <si>
    <t>https://youtu.be/ES8-oRbZQfA?si=fEyOV6hhq1OLTpVN&amp;t=147</t>
  </si>
  <si>
    <t>https://youtu.be/ES8-oRbZQfA?si=Xs_Ct81nyWfPypCw&amp;t=150</t>
  </si>
  <si>
    <t>https://www.navalnews.com/naval-news/2024/04/south-korea-approves-procurement-of-sm-3-for-ballistic-missile-defense/</t>
  </si>
  <si>
    <t>all/explosives</t>
  </si>
  <si>
    <t>2023, July -</t>
  </si>
  <si>
    <t>Satellite</t>
  </si>
  <si>
    <t>FPV, satellite, local spies</t>
  </si>
  <si>
    <t>Ship and air launched, air limited to F15, F18, B-1B, Boing P-8 currently but in process of being expanded to other airplanes, part of JASSMs family. Also ground fired from Mk 41,and most likely also the Typhon Mk 70 Mod 1</t>
  </si>
  <si>
    <t>Weight of missile without fuel 363kg, engine 30 kg and warhead 450kg. This calculation is used to judge the realism of publicly available info (like range, speed and warhead of weapon) that may be deceptive and not fit with other known physics characteristics of weapon</t>
  </si>
  <si>
    <t>Adjustment made to public available info: I had to calculate speed as that is not publicly available. Also wiki say range is 370 kilometer or same as JASSM-a that has a very different jet engine that is inefficient by comparison. Real range is that reported for JASSM-b also because the jet engine is identical and only difference is the navigation and homing system that need to navigate over water and hit moving targets instead of stationary land targets</t>
  </si>
  <si>
    <t>Chat prompt: What is the top speed in km/h of cruise missile given the following conditions: 1) It has 635 kgf thrust, 2) Its drag coefficient is Cd = 0.19, 3) The air density at sea level is rho = 1.225 kg/m^3, 4) Its frontal area is A = 0.6 m^2. Answer: 1075 km/h</t>
  </si>
  <si>
    <t>Notes in my chat prompt I use Cd=0.19 witch is not the best for cruise missiles that are typically between 0.1 and 0.3. Reason is this is a stealth missile where shape need to be less aerodynamically to have highest level of stealth. Also note that compared to JASSM-a I have not changed Cd or A because it has been said that the physical dimensions of weapon is identical as JASSM-b and I expect the much higher thrust and speed is plenty to keep missile airborne despite higher weight so no need to increase A or Cd</t>
  </si>
  <si>
    <t>Note 2 I have increased the Cd to 0.19 up from 0.18 to adjust for the 50kg weight increase</t>
  </si>
  <si>
    <t>Version IV had a jet engine and I guess the version V also is jet powered. Jet engines are more fuel efficient that rocket engines that also need to carry the oxidizer so longer range but also lower top speed.</t>
  </si>
  <si>
    <t>unlimited</t>
  </si>
  <si>
    <t>65 missiles and torpedoes</t>
  </si>
  <si>
    <t>Submarines that are submerged can only receive Extremely low frequency radio waves in the 3-300 Hz spectrum dragging kilometer long cables behind them as antenna. Data speed is very limited to a few characters per minute.</t>
  </si>
  <si>
    <t>Small anti-personnel mine VS-50 mine</t>
  </si>
  <si>
    <t>Artillery shells 155mm, base bleed</t>
  </si>
  <si>
    <t>Artillery shells 155mm, rocket assist, M549</t>
  </si>
  <si>
    <t>Artillery shells 155mm, M982 GPS</t>
  </si>
  <si>
    <t>12000 USD per rocket assisted shell is my best guess current war time price. Before Ukraine war the price was 6000 USD per shell</t>
  </si>
  <si>
    <t>Newest 2022 German made 155mm gun fully automatic 9 rounds in a minute, can also be driven in remote control</t>
  </si>
  <si>
    <t>5 rounds per minute, Denmark has financed that Ukraine build 18 of these vehicles for Ukraine</t>
  </si>
  <si>
    <t>Armor piercing warhead 0.91 meter , also fragmentation warhead Ground Launched Small Diameter Bomb</t>
  </si>
  <si>
    <t>RPG-7 rocket with armor p. grenade</t>
  </si>
  <si>
    <t>RPG-7 armor p. grenade only</t>
  </si>
  <si>
    <t>RPG-7 fragmentation grenade only</t>
  </si>
  <si>
    <t>Spike SR Israeli anti-tank/personnel/structure 9.6kg</t>
  </si>
  <si>
    <t>&gt;3 kg shape charge cobber 0.1kg cobber jet beam at 28000 km/h at 1000 degree Celsius likely becoming a plasma beam at 4000 degrees Celsius when it hit something so that the kinetic energy is converted to more heat see https://en.wikipedia.org/wiki/Shaped_charge</t>
  </si>
  <si>
    <t xml:space="preserve"> is fire and forget infrared seeker 8kg rocket, system 10 kg and disposable</t>
  </si>
  <si>
    <t>Spike LR Israeli anti-tank/personnel/structure</t>
  </si>
  <si>
    <t>Spike NLOS anti-tank/personnel/structure fire from ground vehicles or helicopters</t>
  </si>
  <si>
    <t>NLOS No line of sight. Target must be acquired by frontline infantry. Helicopter in the rear shot rocket that is optical wire guided for first 8 km then radio and my guess for final 2 km it is optical infrared with target info uploaded via radio.</t>
  </si>
  <si>
    <t>DJI Mavic 3 pro FPV for surveillance, 1 kg</t>
  </si>
  <si>
    <t>Shark FPV surveillance drone, 12.5kg, radio 80km</t>
  </si>
  <si>
    <t>PPDS, Australian foamboard attack, 13kg</t>
  </si>
  <si>
    <t>Ukraine shoot down or radio jam &gt;95%. I think the range claim on wiki is BS. More likely 1200km</t>
  </si>
  <si>
    <t xml:space="preserve">2024 Jan. prototyping first large scale use in 2024, September </t>
  </si>
  <si>
    <t>20 kg of blast fragmentation or alternatively a shape charge cobber 0.6kg cobber jet beam at 28000 km/h at 1000 degree Celsius likely becoming a plasma beam at 4000 degrees Celsius when it hit something so that the kinetic energy is converted to more heat see https://en.wikipedia.org/wiki/Shaped_charge</t>
  </si>
  <si>
    <t>minutes of flight consuming 1140 grams of kerosene jet fuel per minute with 80 kg of jet fuel will have 43 kg of thrust enough to get 120 kg drone airborne at 80 km/h and top speed of about 300 km/h because low drag of missile shape.</t>
  </si>
  <si>
    <t>P400-Pro jet-engine use 1392ml/min kerosene at peak thrust 43 kg or same as 1140 grams/min see https://coolconversion.com/density-volume-mass/----ml--of--kerosene--in--gram this means its specific fuel consumption is 1.6 = (1.114*60)/43 kg/kgf*h. So 80kg of fuel will last 80/1.14=70minutes</t>
  </si>
  <si>
    <t>not used anymore by Ukraine</t>
  </si>
  <si>
    <t>Germany has ordered 140 of this aircraft in 2023 from Israel. This weapon could be build with stealth capability by applying  1) radar absorbing exterior, 2) radar transparent or absorbing materials for its construction, 3) anti-radar jamming. It is not using radar deflecting design. It could be radar invisible enough to attack Iran undetected not seen by Iran, Russian infrared detection satellites or Syria Jordan, Iraq or Saudi Arabia.</t>
  </si>
  <si>
    <t>Elbit Hermes 900 Israeli attack and surveillance drone</t>
  </si>
  <si>
    <t>Satellite controlled and 300 km direct radio control.</t>
  </si>
  <si>
    <t>Satellite and, spy drones and local intelligence</t>
  </si>
  <si>
    <t>The number of Tomahawk built is a well guarded secret could be quite numerous. One US nuclear submarine can carry 160 Tomahawk that can be launched from torpedo tubes under water.</t>
  </si>
  <si>
    <t>Data-link, to airborne radar, satellite?</t>
  </si>
  <si>
    <t>Satellite, ground and airborne radar, surveillance drones and aircraft</t>
  </si>
  <si>
    <t>AGM-158a JASSM stealth cruise m., 1021kg, can be launched from air only specifically B1, B2, B52, F15, F16, F18 and in process to be certified for launch with F35, B21 and P8 Poseidon</t>
  </si>
  <si>
    <t>Launched from air only specifically B1, B2, B52, F15, F16, F18 and in process to be certified for launch with F35, B21 and P8 Poseidon</t>
  </si>
  <si>
    <t>Weight of missile without fuel 175kg, engine 46 kg and warhead 450kg. This calculation is used to judge the realism of publicly available info (like range, speed and warhead of weapon) that may be deceptive and not fit with other known physics characteristics of weapon</t>
  </si>
  <si>
    <t>Chat prompt: What is the top speed in km/h of cruise missile given the following conditions: 1) It has 300 kgf thrust, 2) Its drag coefficient is Cd = 0.18, 3) The air density at sea level is rho = 1.225 kg/m^3, 4) Its frontal area is A = 0.6 m^2. Answer: 760km/h</t>
  </si>
  <si>
    <t>Notes in my chat prompt I use Cd=0.18 witch is not the best for cruise missiles that are typically between 0.1 and 0.3. Reason is this is a stealth missile where shape need to be less aerodynamically to have highest level of stealth</t>
  </si>
  <si>
    <t>AGM-158b JASSM-ER stealth cruise, 1200kg, can be launched from air only specifically B1, B2, B52, F15, F16, F18 and in process to be certified for launch with F35, B21 and P8 Poseidon</t>
  </si>
  <si>
    <t>Chat prompt: What is the top speed in km/h of cruise missile given the following conditions: 1) It has 635 kgf thrust, 2) Its drag coefficient is Cd = 0.18, 3) The air density at sea level is rho = 1.225 kg/m^3, 4) Its frontal area is A = 0.6 m^2. Answer: 1105 km/h</t>
  </si>
  <si>
    <t>Ship and air launched, air limited to F15, F18, B-1B, Boing P-8 currently but in process of being expanded to other airplanes, part of JASSMs family. Also ground fired from Mk 41,and most likely also the Typhon Mk 70 Mod 2. Cant be launched from F16 as too heavy. See https://youtu.be/3f17uaCaaPA?si=Leeb82nFlA9Ncq1F&amp;t=444</t>
  </si>
  <si>
    <t>Chat prompt: What is the top speed in km/h of cruise missile given the following conditions: 1) It has 635 kgf thrust, 2) Its drag coefficient is Cd = 0.2, 3) The air density at sea level is rho = 1.225 kg/m^3, 4) Its frontal area is A = 0.7 m^2. Answer: 970.42 km/h</t>
  </si>
  <si>
    <t>AGM-158D will enhance performance with new wing and chine designs, the integration of a line of sight and beyond line of sight Weapon Data Link (WDL) for post-launch retargeting capability, and software updates for increased survivability. Source wiki. The WDL is also a necessity for the AGM-158C or it will not be able to hit a moving target at sea.</t>
  </si>
  <si>
    <t xml:space="preserve"> - Mark 41 VLS vertical launching system, 15 tons 8 missile navy ship launcher for LRASM, Tomahawk, others 7.7 meters tall *5*5 meters for largest rockets</t>
  </si>
  <si>
    <t>Operated by Israel, India and Azerbaijan</t>
  </si>
  <si>
    <t>15.5 meters long. Most likely Israels nuclear capable weapon</t>
  </si>
  <si>
    <t>It allegedly has a data link that allow crew of aircraft firing it to control it like an FPV drone. If that is true I think max distance for that kind of guidance will be 100 km because that is range of video link. AI don't think it is true. An AI navigation system could hit both stationary and moving targets more reliable and will not need a data link on any pilot attention. That will be fire and forget.</t>
  </si>
  <si>
    <t>Weight of missile without fuel 133kg, engine 86 kg and warhead 300kg This calculation is used to judge the realism of publicly available info (like range, speed and warhead of weapon) that may be deceptive and not fit with other known physics characteristics of weapon</t>
  </si>
  <si>
    <t>Chat prompt: What is the top speed in km/h of cruise missile given the following conditions: 1) It has 404 kgf thrust, 2) Its drag coefficient is Cd = 0.12, 3) The air density at sea level is rho = 1.225 kg/m^3, 4) Its frontal area is A = 0.5 m^2. Answer: 1182 km/h</t>
  </si>
  <si>
    <t>Weight of missile without fuel 208kg, engine 86 kg and warhead 300kg This calculation is used to judge the realism of publicly available info (like range, speed and warhead of weapon) that may be deceptive and not fit with other known physics characteristics of weapon</t>
  </si>
  <si>
    <t>150 kg shape charge cobber 5kg cobber jet beam at 28000 km/h at 1000 degree Celsius likely becoming a plasma beam at 4000 degrees Celsius when it hit something so that the kinetic energy is converted to more heat see https://en.wikipedia.org/wiki/Shaped_charge</t>
  </si>
  <si>
    <t>Weight of missile without fuel 208kg, engine 86 kg and warhead 150kg This calculation is used to judge the realism of publicly available info (like range, speed and warhead of weapon) that may be deceptive and not fit with other known physics characteristics of weapon</t>
  </si>
  <si>
    <t>The Neptune jet engine is not powerful enough for class "JASSM-ER" missile. However, if I was Ukr I would buy jet engine and warhead and navigation system from US makers of JASSM-ER. That will save time and make it realistic to make a UKR JASSM-ER in time for use in war that can do the same but without the stealth that the US will definitely keep to themself.</t>
  </si>
  <si>
    <t>Adjustment made to public available info: Wiki say warhead is 150kg and range is between 200 and 300km. That is not true given other publicly available info plus physics. I have changed range to 600 km and warhead to 300 kg to make it realistic</t>
  </si>
  <si>
    <t>Chat prompt: What is the top speed in km/h of cruise missile given the following conditions: 1) It has 635 kgf thrust, 2) Its drag coefficient is Cd = 0.15, 3) The air density at sea level is rho = 1.225 kg/m^3, 4) Its frontal area is A = 0.6 m^2. Answer: 1210 km/h</t>
  </si>
  <si>
    <t>Notes in my chat prompt I use Cd=0.15 instead of Cd=0.17. Otherwise the prompt is identical to that for the JASSM-ER because this hypothetical Ukraine made missile use the same jet engine and warhead as JASSM-ER. However, it is not stealth so Ukraine can optimize for lowest Cd when stealth is not a design objective as Ukraine will not be expected to get US stealth tech for this missile.</t>
  </si>
  <si>
    <t>Hrim-2 UKR ballistic missile dev. Project land launched</t>
  </si>
  <si>
    <t>2006- 2024 Aug.</t>
  </si>
  <si>
    <t>I guess Russia is capable of making about 1000 cruise and ballistic missiles all kinds per year based on the launch rate of about 3 such missiles per day in Ukraine war as of late.</t>
  </si>
  <si>
    <t xml:space="preserve"> - Patriot E PAC-2 MSE missile semi active radar depend on external radar illuminating target</t>
  </si>
  <si>
    <t>THAAD anti-ballistic missile defense system</t>
  </si>
  <si>
    <t>Ground radar provide guidance info until missile own infrared seeker takes over.</t>
  </si>
  <si>
    <t>GPS + inertial navigation. Also get guidance signals via satellite data-link. Infrared satellite system needed to see target so that guidance data can be sent.</t>
  </si>
  <si>
    <t>Yes. Needed for navigation to moving target. Satellite based or other means.</t>
  </si>
  <si>
    <t>It may also be able to function as anti-ballistic missile  getting target instructions from US satellite system made to detect ballistic missiles. Israel is said to have developed Arrow 3 as a home made alternative to SM-3.</t>
  </si>
  <si>
    <t>NASAMS system, Norway land based midrange</t>
  </si>
  <si>
    <t>Israel has ordered 15 batteries and currently got 10. Each battery has 4 launchers that carry 20 interceptors plus command and radar units</t>
  </si>
  <si>
    <t xml:space="preserve"> - Iron Dome interceptor rocket for small slow flying targets</t>
  </si>
  <si>
    <t>A-235 PL-19 Nudol anti-ballistic, anti-satellite rocket like SN3 &amp; Arrow3</t>
  </si>
  <si>
    <t>2024, July declared operational by US navy at Hawaii navy exhibition</t>
  </si>
  <si>
    <t>225 kg 24 individual anti armor warheads used to destroy incoming vehicle attacks</t>
  </si>
  <si>
    <t>Build in laser and internal radar seeker</t>
  </si>
  <si>
    <t>80km for fighter jets and 160km  for big airplanes like strategic bombers or fuel tankers</t>
  </si>
  <si>
    <t>Other source say 30 left in Rus air force Russia only has about 30 left of these airplanes</t>
  </si>
  <si>
    <t>MiG-31 only version L can air fuel</t>
  </si>
  <si>
    <t>US have plans to make 179 of these tankers by 2027</t>
  </si>
  <si>
    <t>AH-64 Apache US attack helicopter</t>
  </si>
  <si>
    <t>My guess. Version IV had a jet engine and I guess the version V also is jet powered. Jet engines are more fuel efficient that rocket engines that also need to carry the oxidizer so longer range but also lower top speed.</t>
  </si>
  <si>
    <t>my guess the drone is 40 kg with no fuel likely 120 kg with fuel and warhead is 20 kg. video show 2 men easily carry it.</t>
  </si>
  <si>
    <t>https://x.com/HMexperienceDK/status/1827672906635116937 also confirmed by Claude sonnet answer at https://claude.ai/chat/a231ac36-d1ea-41be-b687-5188473b63e3</t>
  </si>
  <si>
    <t>my guess the drone is 50 kg with no fuel likely 100 with fuel and warhead is 20 kg. video show 2 men easily carry it.</t>
  </si>
  <si>
    <t>My best guess . Has been used on dozens of attacks in Russia in 2024 and late 2023</t>
  </si>
  <si>
    <t>My guess think it depends on the sensor suite and capability but a bare bone version is likely 2 million USD</t>
  </si>
  <si>
    <t>my guess, it used infrared camera plus synthetic aperture radar for 3D imaging</t>
  </si>
  <si>
    <t>my guess for cost of one control vehicle and one launch vehicle. This is what Ukraine need times 3</t>
  </si>
  <si>
    <t>speed is subsonic so I assuming it is 900 km/h which is typical for subsonic cruise missiles https://www.airandspaceforces.com/weapons-platforms/agm-158-jassm/</t>
  </si>
  <si>
    <t>my guess the container with parachutes is not expensive</t>
  </si>
  <si>
    <t>My  guess. Israel use them to fire weapon out of range of most Russian air defense systems so must have &gt;300 km range</t>
  </si>
  <si>
    <t>According to YT video two dozen Russian airbases are within range of this weapon. That would imply a range of about 600 kilometer. https://www.youtube.com/watch?v=TSZ3Gl4QqQ0 also see https://x.com/NOELreports/status/1829080786349232612</t>
  </si>
  <si>
    <t>Armament Air-Sol Modulaire - Wikipedia</t>
  </si>
  <si>
    <t>my guess see also https://en.wikipedia.org/wiki/AGM-88_HARM#Criticism</t>
  </si>
  <si>
    <t>my guess production started in 2024 first use in February 2024 see https://euromaidanpress.com/2024/04/12/russias-new-kh-69-cruise-missiles-worse-than-kinzhal-used-in-trypilska-power-plant-strike/</t>
  </si>
  <si>
    <t>my best guess 88 of newest version is in operation plus some older ones</t>
  </si>
  <si>
    <t>my best guess is same as Ka-52</t>
  </si>
  <si>
    <t xml:space="preserve"> - AN/APG-68 radar (used in older versions of F16 that Ukraine got)</t>
  </si>
  <si>
    <t>Video show winter weather in Ukraine so January and video appeared first with Palianytsia announcement https://youtu.be/TSZ3Gl4QqQ0?si=sq28iEUDBx7JTKYt&amp;t=57</t>
  </si>
  <si>
    <t>3500 USD for 24 kg thrust engine likely 10000 used for needed 48 kg thrust jet engine plus 30,000 USD for rest of drone mostly electronics https://pacificrcjets.com/collections/kingtech-turbines/products/kingtech-k240g5</t>
  </si>
  <si>
    <t>Intended to hit endurance of 30 hours</t>
  </si>
  <si>
    <t>Notes in my chat prompt I use Cd=0.18 witch is not the best for cruise missiles that are typically between 0.1 and 0.3. Reason is this is a stealth missile where shape need to be less aerodynamically to have highest level of stealth. Also note that compared to JASSM-a I have not changed Cd or A because it has been said that the physical dimensions of weapon is identical as JASSM-b and I expect the much higher thrust and speed is plenty to keep missile airborne despite higher weight so no need to increase A or Cd</t>
  </si>
  <si>
    <t>Russian missile is at least 100 km from frontline to minimize risk of being shoot down. Also 30km is deducted because Ukraine Hawkeye can see if it or other Ukraine aircraft are targeted by Sam-400 and subsequently make evasive maneuvers like flying low and in opposite direction.</t>
  </si>
  <si>
    <t>Air launched only specifically B1, B2, B52, F15, F16, F18 and in process to be certified for launch with F35, B21 and P8 Poseidon. Ukraine is in process to also launch from Mig-29</t>
  </si>
  <si>
    <t>Missile needs navigation maps of Russia that the US got through satellite data. If no navigation maps the missile can likely still be launched using inertial navigation and GPS. You also need targeting data and targeting evaluation data that can also be provided by a combination of satellite images and old school intelligence gathering.</t>
  </si>
  <si>
    <t>Hit Russian airports with strategic bombers and fuel tankers and fighter aircraft and even the radar aircraft. Can use a cluster warhead for that.</t>
  </si>
  <si>
    <t>Hawkeye if SM-6 is launched and satellite info to fire Tomahawk see above.</t>
  </si>
  <si>
    <t>Will eventually destroy all Russian high speed fighter aircraft and strategic bombers that are capable of dropping glider bombs. That will save hundreds of Ukraine troops from being killed or wounded every day. As a result the free world will be a safer place with its most dangerous enemy being deprived of much of their Air Force</t>
  </si>
  <si>
    <t>It is guided towards its target by satellite systems capable of detecting infrared signatures of incoming ballistic missiles and large high flying aircraft. Infrared signature from low flying aircraft or small aircraft can't be detected by these satellites.</t>
  </si>
  <si>
    <t>This is a navy launcher that can launch the SM-3 missile as well as SM-6 and Tomahawk. It is normally installed in large navy ships because it has to be vertical and is 7-8 meters tall. In Ukraine it can be put on a M1000 Heavy Equipment Transport Semi-Trailer and could be airlifted into Ukraine using a US Sikorsky CH-53K-E, heavy lift helicopter. Problem is it is too big to be transported on roads under bridges. It may be possible to disassemble it for transport I don't know but likely much faster to fly it in using a heavy duty helicopter.</t>
  </si>
  <si>
    <t>They need to be maintained and staffed at an airbase.</t>
  </si>
  <si>
    <t xml:space="preserve">If Russia do not have the A50 aircraft they will have to rely on ground based radar that can only see high altitude aircraft from say 300 km away but only at best 50km away for low flying aircraft. These radars will have to be 50 km away from frontline meaning they cannot see any low flying aircraft on the Ukraine side of frontline. Radar in fighters and strategic bombers is far shorter range like 50 to 100 km but they can see low flying aircraft. Russian aircraft that get close to frontline can be shot down by many Ukraine anti-aircraft systems so they prefer to stay at least 70 km from frontline. </t>
  </si>
  <si>
    <t>spreadsheet "WeaponsSpecs"</t>
  </si>
  <si>
    <r>
      <t xml:space="preserve">Weapon name: </t>
    </r>
    <r>
      <rPr>
        <sz val="11"/>
        <color theme="1"/>
        <rFont val="Calibri"/>
        <family val="2"/>
        <scheme val="minor"/>
      </rPr>
      <t>For specs see</t>
    </r>
  </si>
  <si>
    <t>Russia need these radar aircraft to be able to see and target low flying Ukraine aircraft and helicopters up to 250 km from frontlines. Without them Russia cannot use their powerful S300 and S400 missiles to down low flying Ukraine aircraft.</t>
  </si>
  <si>
    <t>Kinetic warhead. Anti-aircraft capability is not an official capability and is most likely not possible with current kill vehicle design that looks fragile and most likely cant operate in dense atmosphere where an aircraft would be. Also kill vehicle does not have any propulsion only small course correction thrusters. This drastically limit maneuverability and the probability it can hit an aircraft or a ballistic missile that can make evasive maneuvers to avoid getting hit. IMO this weapon is useless for future wars because it can't hit aircraft and all future attack vehicles/warheads for ballistic missile will have ability to make evasive maneuvers.</t>
  </si>
  <si>
    <t>Bunker busting 450kg warhead. Stealth cruise missile that can be used to destroy bridges, command bunkers, ammunition bunkers, refineries, fuel depots, airports, factories and power stations</t>
  </si>
  <si>
    <t>Ground launched from silos or erector launcher trailer with six launch tubes that can be towed by a military truck.</t>
  </si>
  <si>
    <t>Typhon land launch vehicle, 4 launch tubes. Surface ships, Mark 41 Vertical Launching System also torpedo tube launch from submarines.</t>
  </si>
  <si>
    <t>https://potomacofficersclub.com/articles/arrow-3-interceptor-missile-system-the-forefront-of-modern-defense-strategies/</t>
  </si>
  <si>
    <t>RIM-161 Standard Missile 3 (SM-3 Blk IIA) anti-ballistic missile and anti-satellite interceptor can go 1000 km up. Anti-aircraft capability is not an official capability and is most likely not possible with current kill vehicle design that looks fragile and most likely cant operate in dense atmosphere where an aircraft would be. Also kill vehicle does not have any propulsion only small course correction thrusters. This drastically limit maneuverability and the probability it can hit an aircraft or a ballistic missile that can make evasive maneuvers to avoid getting hit. IMO the weapon is useless for future wars.</t>
  </si>
  <si>
    <t>&gt;10?</t>
  </si>
  <si>
    <t>&gt;80?</t>
  </si>
  <si>
    <t>F16</t>
  </si>
  <si>
    <t>https://youtu.be/JXz85MNVQ6o?si=cPI-deqFKBU6aNlf&amp;t=151</t>
  </si>
  <si>
    <t>Blast fragmentation 150 kg</t>
  </si>
  <si>
    <t>Most likely proximity fuse provided by radar terminal seeker.</t>
  </si>
  <si>
    <t>https://youtu.be/ES8-oRbZQfA?si=Ar4MHBV01wyUISIk</t>
  </si>
  <si>
    <t>Russia will no longer be able to transport heavy ammunition, fuel and heavy weapons to the front lines in Ukraine. Russian troops will only have light weapons like machine guns and mortars which are no match for heavy Ukraine weapons. They still got air power but other weapons listed in table will take care of that as well. Also with likely 14 million Russians living 200 km from Ukraine border having no power will shut down some 10% of Russian economy funding Russian war machine. Ukraine killing rate will increase to 10 or 20 up from currently 3 meaning for every 10 or 20 Russian killed only 1 Ukraine dies. That will make it crystal clear for Russia that they need to pull our or blead their country to death until they are defeated.</t>
  </si>
  <si>
    <t>Hit Russian military airports up to 800 km from frontlines.</t>
  </si>
  <si>
    <t>Best alternative is AGM-158c-ER and AGM-158d-XR but they are in short supply (annual production is 1100 and few stocks) and are needed more to defend Taiwan and deter China invasion as they unlike the JASSMs can be used to target ships and also launch from many more platforms than just air.</t>
  </si>
  <si>
    <t>100 km is subtracted to minimize risk aircraft launching it is shot down with Russian S300 and S400 guided by Russian A50 radar aircraft</t>
  </si>
  <si>
    <t>100 km is subtracted to minimize risk Typhon launcher is discovered and targeted by Russia that can target it using ballistic missiles and other weapons if they know its location.</t>
  </si>
  <si>
    <t>300 km is subtracted to minimize risk Arrow 3 launch trailer is discovered and targeted by Russia that can target it using ballistic missiles if they know its location.</t>
  </si>
  <si>
    <t>300 km is subtracted to minimize risk Mark-41 launch vehicle on M100 is discovered and targeted by Russia that can target it using ballistic missiles if they know its location.</t>
  </si>
  <si>
    <t>100 km is subtracted to minimize risk Patriot launch vehicle is discovered and targeted by Russia that can target it using ballistic missiles and other weapons if they know its location.</t>
  </si>
  <si>
    <t>Blast fragmentation warhead, 64kg. This ballistic missile can shoot down other ballistic missiles and aircraft. It can also hit land targets both fixed and moving and it can also hit moving ships at sea. To my knowledge it is the most versatile missile in existence.</t>
  </si>
  <si>
    <t xml:space="preserve">My best guess. ChatGPT will give you weight for missile itself and with booster and capsule in launch tubes that are about 2800 kg but will not give a source. </t>
  </si>
  <si>
    <t>Rapid launch fortified underground silos set up at stationary missile bases. Also vehicle with 6 canisters for arrow 3 and arrow 2 interceptor missiles. See picture in sources below As the Arrow 2, the Arrow 3 erector launcher trailer is towed by a military truck.</t>
  </si>
  <si>
    <t>https://missilethreat.csis.org/defsys/arrow-2/</t>
  </si>
  <si>
    <t>Control and direct all long-range Russian anti-aircraft missiles like S300 and S400</t>
  </si>
  <si>
    <t>Blast fragmentation warhead, 150kg. Arrow 3 is not officially stated to be able to shoot down aircraft but everything point to that it can. The attack vehicle could be outfitted with a protective heatshield so it can re-enter Earth atmosphere to attack aircraft. Unlike SM-3 the Arrow-3 has a gimballed rocket engine that can maneuver it towards enemy aircraft or missiles. It is guided towards its target by satellite systems capable of detecting infrared signatures of incoming ballistic missiles and large high flying aircraft. Target info is subsequently send via data link to missile. When missile is within say 10 km of target its own infrared or radar sensor takes over and guide it precisely to target.</t>
  </si>
  <si>
    <t>Ukraine has so far been promised 99 F16 including 19 from Denmark, 6 from Norway, 42 from the Netherlands and 32 from Greece. However, the US first have to deliver F35s to these nations before the aircraft is transferred to Ukraine.</t>
  </si>
  <si>
    <t>150=400-1250. A safe staging area out of range of S400 is Ukraine city of Cherkasy. From that position the radar coverage of 400 km will not cover deep enough behind all frontlines to direct the SM-6 missiles to shoot down any Russian aircraft attempting to drop glider bombs from 70 km from frontline. Only frontline it does cover is the mostly inactive Kherson frontline in South Ukraine.</t>
  </si>
  <si>
    <t>https://youtu.be/VE5ZU429c4A?si=iWBWfPsG5wD1hPgR&amp;t=319</t>
  </si>
  <si>
    <t>3?</t>
  </si>
  <si>
    <t>https://youtu.be/VE5ZU429c4A?si=q_Q8rVQQ8rNp8BwY&amp;t=319</t>
  </si>
  <si>
    <t>9H</t>
  </si>
  <si>
    <t>https://www.youtube.com/watch?v=VE5ZU429c4A&amp;t=319s</t>
  </si>
  <si>
    <t>Ukraine cant have the F35 because that would enable Russia to develop their radars for their S300, S400 and S500 to be much better at detecting the F35. This was also the reason US refused to sell F35s to Turkey because Turkey got the S400 system and it would enable Turkey and Russia to develop the radar for S400 so it was better at detecting the F35. Now a deal has been cut between Turkey and US that Turkey will get the F35 but Turkey will hand over the S400 system to US Incirlik Airbase in Turkey that will operate it on behalf of the Turkey military. In that way the US will know it will not be developed to detect the F35.</t>
  </si>
  <si>
    <t>390 km radar range from frontline=(640-250). A safe staging area out of range of S400 is Ukraine city of Cherkasy. This is about 250 km from frontline inside Ukraine. From that position the radar coverage of 640 km will cover deep enough behind all frontlines to direct the SM-6 missiles to shoot down any Russian aircraft attempting to drop glider bombs from 70 km from frontline.</t>
  </si>
  <si>
    <t>No public info I guess same as AIM-120 at 1 million USD but initially at low volume production it will be 2 million USD</t>
  </si>
  <si>
    <t>&gt;632</t>
  </si>
  <si>
    <t>26M</t>
  </si>
  <si>
    <t>This fuel tanker is still not fully commissioned but a few have been build and Ukraine will be a great place to get it further tested. It has been proven to be able to refuel in midair both Hawkeye, Super Hornet and F35. It is stealth so could be operated out of Poland or Romania as Russia cant see it and NATO can just deny its use in Ukraine. Russia lies about everything and so should we with regard to Russia if it serves the interest of democracy and freedom.</t>
  </si>
  <si>
    <t>https://en.wikipedia.org/wiki/RIM-174_Standard_ERAM#Variants</t>
  </si>
  <si>
    <t>Launched from 100 to 150 km from frontline using Typhon launcher to down Russian aircraft dropping glider bombs 70 km from frontline.</t>
  </si>
  <si>
    <t xml:space="preserve">No immediate secondary use as this missile is currently too rare to be acquired in large volume by Ukraine. Israel need this weapon in their own war with Iran. However, I believe it is realistic for Ukraine to acquire it from Israel ASAP (1 per month or until Russia have lost their A50 aircraft) as it is also in Israels interest that Russia do not have any A50s left to make the Syrian regime's S300 systems more dangerous to Israeli aircraft. Israel is indirectly at war also with Russia that supply weapons to Israeli enemies Iran and Syria, etc. Russia also have military bases in Syria that are hostile to Israel. Long-term Ukraine should order 200 of these missiles at a cost of 1.2 billion USD. They are needed to shoot down Russian strategic bombers and tanker aircraft and whatever new radar aircraft Russia will build. </t>
  </si>
  <si>
    <t>Satellites. It is guided towards its target by satellite systems capable of detecting infrared signatures of incoming ballistic missiles and large high flying aircraft. Infrared signature from low flying aircraft or small aircraft can't be detected by these satellites.</t>
  </si>
  <si>
    <t>To down Russia's 6 remaining A50 radar and control aircraft or force Russia to pull them out of harms way and stop using them for Ukraine war.</t>
  </si>
  <si>
    <t>Problems</t>
  </si>
  <si>
    <t>https://theaviationist.com/2024/07/08/aim-174b-aim-120-size-comparison/</t>
  </si>
  <si>
    <t>https://www.youtube.com/watch?v=4VJA2R0Xp7Q&amp;t=29s</t>
  </si>
  <si>
    <t xml:space="preserve">2019 first flight in development. </t>
  </si>
  <si>
    <t>2019 first flight still in development. Expected to be used on US aircraft carriers from 2026-</t>
  </si>
  <si>
    <t>F/A-18E/F Super Hornet for SM-6, naval ships with Mark 41 for Tomahawk none of which Ukraine currently got.</t>
  </si>
  <si>
    <t xml:space="preserve">The US has too few of SM-6 to allow any secondary use of weapon. Annual production is only 180. Should be 10x that to prevent attacks on democracies. </t>
  </si>
  <si>
    <t>See comments above under AGM-158a and Typhon as they also applies here.</t>
  </si>
  <si>
    <t>It will take minimum 6 months to train a Ukraine F16 pilot to fly a Super Hornet and also train Ukraine people servicing the F16 for now servicing the Super Hornet aircraft.</t>
  </si>
  <si>
    <t>No other weapon I know of is able to target aircraft from 2400 afar. The next best weapon to do that is SM-6 at 370 km range and the still not confirmed operational Russian S500 that got 600 km range. The Tomahawk cruise missile can force Russia to withdraw A50 aircraft 1566 km away from Ukraine thereby reducing available time they can be operated to support Russian war efforts by about 50%.</t>
  </si>
  <si>
    <t>Use it to extend operating time of Hawkeye from 8H to 13H so that only two Hawkeye will be needed for 24/7 radar coverage in Ukraine. This is a temporary solution until Ukraine can staff 4 Hawkeye.</t>
  </si>
  <si>
    <t>https://en.wikipedia.org/wiki/David%27s_Sling#Foreign_interest</t>
  </si>
  <si>
    <t xml:space="preserve">Ground launched from Stunner launcher a mobile system with 6 launch tubes vertical launch </t>
  </si>
  <si>
    <t>Asymmetric kill vehicle with super maneuverability</t>
  </si>
  <si>
    <t>Note</t>
  </si>
  <si>
    <t xml:space="preserve"> Israeli home build alternative to SM-3 because Israel was not happy with overall design of SM-3 that is obsolete on arrival because kill vehicle lacks own thruster so it will never be able to target airplanes or ballistic missiles that can make evasive maneuvers. IMO Arrow 3 is highly likely to also be able to down aircraft see other comments in table. That ability is not officially announced by Israel but everything I have researched on this missile point to that ability at least for the version that Israel do not export. Also if that ability is still not ready in current version of Arrow 3 it will definitely be available in a future iteration of missile. It is also likely that Israel will refuse to sell missile to Ukraine in a version that can down the A50 because as soon as Ukraine make the first hit the world will know for certain that Arrow 3 got that capability and that will ruin the element of surprise in a War between Israel and Iran. Israel could use it to hit aircraft that carry Iranian leaders. </t>
  </si>
  <si>
    <t xml:space="preserve"> - Stunner missile long-range ground to air incl planes, drones, ballistic missiles at &lt;500km. Replaces Patriot and Hawk for Israel</t>
  </si>
  <si>
    <t>David's Sling battery, Israeli US launch system replaces Patreon and Hawk for Israel 1) launcher vehicle 6 to 12 tubes for Stunner missile, 2) Fire control radar, 3) Control and communications unit.</t>
  </si>
  <si>
    <t>https://www.rafael.co.il/system/medium-long-range-defense-davids-sling/</t>
  </si>
  <si>
    <t>My guess. It is build to be affordable because Israel is targeted by many missiles and it needs to be affordable to shoot them down.</t>
  </si>
  <si>
    <t>Launch system for Stunner missile. Key elements 1) launcher vehicle 6 to 12 tubes for Stunner missile, 2) Fire control radar, 3) Control and communications unit.</t>
  </si>
  <si>
    <t>Refuel Hawkeye flying 250km behind frontlines.</t>
  </si>
  <si>
    <t>Must be kept 100km from frontlines as long as Russia got radar aircraft A50 to guide their S300 and S400 missiles. If Russia don't have any radar aircraft the F16 can operate safely flying low much closer to frontline like 40 km.</t>
  </si>
  <si>
    <t>Must be kept 100km from frontlines as long as Russia got radar aircraft A50 to guide their S300 and S400 missiles. If Russia don't have any radar aircraft the Super Hornet can operate safely flying low much closer to frontline like 40 km.</t>
  </si>
  <si>
    <t>Kinetic warhead. This ballistic missile can shoot down other ballistic missiles or aircraft. Note this weapon despite being the longest range mass produced NATO anti-aircraft missile (apart from SM-6) does still not have the range to successfully target Russian aircraft dropping glider bombs from 70 km behind frontlines. This is very important to understand and the reason NATO/free world desperately need longer range anti-aircraft missiles like the SM-6, AIM-260 and Arrow 3 (the latter is most likely also anti-aircraft capable but this ability is so far kept officially secret by Israel).</t>
  </si>
  <si>
    <t>The intensity and scale of armed conflict</t>
  </si>
  <si>
    <t>Weapon in mind</t>
  </si>
  <si>
    <t>Daily</t>
  </si>
  <si>
    <t>use</t>
  </si>
  <si>
    <t>Monthly</t>
  </si>
  <si>
    <t>Unit</t>
  </si>
  <si>
    <t>Cost</t>
  </si>
  <si>
    <t>yearly</t>
  </si>
  <si>
    <t>Yearly</t>
  </si>
  <si>
    <t xml:space="preserve">Cost </t>
  </si>
  <si>
    <t>Hizbollah weapons use on Israel</t>
  </si>
  <si>
    <t>Hamas weapons use on Israel</t>
  </si>
  <si>
    <t>Iran weapons use on Israel</t>
  </si>
  <si>
    <t>Yemen Houthis weapons use on Israel</t>
  </si>
  <si>
    <t xml:space="preserve">unit costs </t>
  </si>
  <si>
    <t>Average</t>
  </si>
  <si>
    <t>https://edition.cnn.com/2024/03/10/politics/russia-artillery-shell-production-us-europe-ukraine/index.html</t>
  </si>
  <si>
    <t xml:space="preserve">Date </t>
  </si>
  <si>
    <t>weapons use</t>
  </si>
  <si>
    <t>reported</t>
  </si>
  <si>
    <t>March, 2024</t>
  </si>
  <si>
    <t>Use of 152mm artillery shells, March 2024</t>
  </si>
  <si>
    <t>Use of 155mm/152mm artillery shells, March 2024</t>
  </si>
  <si>
    <t>40 kg for shell and 10 kilo for gun powder</t>
  </si>
  <si>
    <t>used in</t>
  </si>
  <si>
    <t>used</t>
  </si>
  <si>
    <t>tonnes</t>
  </si>
  <si>
    <t>10t per tr.</t>
  </si>
  <si>
    <t>This is a standard russian heavy artillery shell</t>
  </si>
  <si>
    <t>This is a standard Ukraine heavy artillery shell. Ukraine started out with 152mm only but is now mostly 155mm NATO standard artillery.</t>
  </si>
  <si>
    <t>Feb, 2024</t>
  </si>
  <si>
    <t>Mar, 2024</t>
  </si>
  <si>
    <t>https://www.rand.org/pubs/commentary/2024/03/the-russian-air-force-is-hollowing-itself-out-air-defenses.html</t>
  </si>
  <si>
    <t>Common knowledge, ask ChatGPT</t>
  </si>
  <si>
    <r>
      <t>Anti-aircraft systems</t>
    </r>
    <r>
      <rPr>
        <sz val="11"/>
        <color theme="1"/>
        <rFont val="Calibri"/>
        <family val="2"/>
        <scheme val="minor"/>
      </rPr>
      <t xml:space="preserve"> (ground based)</t>
    </r>
  </si>
  <si>
    <t>May, 2023</t>
  </si>
  <si>
    <t>Ukraine estimate they fly 20 times less sorties than Russia see https://en.wikipedia.org/wiki/Ukrainian_Air_Force#Role_in_the_2022_Russian_invasion_of_Ukraine</t>
  </si>
  <si>
    <t>Sorties are number of combat missions flown from start to end not including helicopter air sorties</t>
  </si>
  <si>
    <t>Manned air sorties (not helicopters)</t>
  </si>
  <si>
    <t xml:space="preserve">Use since </t>
  </si>
  <si>
    <t>start of</t>
  </si>
  <si>
    <t>war</t>
  </si>
  <si>
    <t xml:space="preserve"> - Oct, 2024</t>
  </si>
  <si>
    <t>https://x.com/LittleMoiz/status/1843188067110191592</t>
  </si>
  <si>
    <t>days in year</t>
  </si>
  <si>
    <t>months in year</t>
  </si>
  <si>
    <t>My estimate of average price of Hamas rockets. They are nearly all unguided with small warheads. The lowest cost being 200 USD.</t>
  </si>
  <si>
    <t>Syria weapons use on Israel</t>
  </si>
  <si>
    <t>Rocket attacks on Israel from Gaza: Ends Oct7 2024</t>
  </si>
  <si>
    <t>Rocket attacks on Israel from Lebanon: Ends Oct7 2024</t>
  </si>
  <si>
    <t>Rocket attacks on Israel from Iran: Ends Oct7 2024</t>
  </si>
  <si>
    <t>Rocket attacks on Israel from Yemen: Ends Oct7 2024</t>
  </si>
  <si>
    <t>Rocket attacks on Israel from Syria: Ends Oct7 2024</t>
  </si>
  <si>
    <t>My estimate of average price of Hizbollah rockets. They are professionally made weapons with fairly long range good accuracy and important size warhead. The lowest cost being 2000 USD.</t>
  </si>
  <si>
    <t>Israeli airstrikes to date: Ends Jan 2024</t>
  </si>
  <si>
    <t>Israeli airstrikes dusing the first 4 months of war on all fronts</t>
  </si>
  <si>
    <t xml:space="preserve"> - Jan, 2024</t>
  </si>
  <si>
    <t>https://breakingdefense.com/2024/02/israeli-air-force-struck-31000-targets-in-four-months-of-war/</t>
  </si>
  <si>
    <t>F16, Mig-29</t>
  </si>
  <si>
    <t xml:space="preserve"> - Implied air sorties assuming 2 strikes per sortie</t>
  </si>
  <si>
    <t>This number of sorties also include unmanned air sorties. Israel is know to rely heavily on UAV for airstrikes.</t>
  </si>
  <si>
    <t>2 attacks per sortie means we multiply by 2 to get the sortie cost</t>
  </si>
  <si>
    <t>my wild guess for cost of pilot, maintanance and fuel and also including cost of weapons used</t>
  </si>
  <si>
    <t>days of war</t>
  </si>
  <si>
    <t>ukr war start</t>
  </si>
  <si>
    <t>Cost since</t>
  </si>
  <si>
    <t>start of war</t>
  </si>
  <si>
    <t>Israeli war start</t>
  </si>
  <si>
    <t>my guess. Start of war Ukraine got shells from NATO stockpiles. Now these stockpiles are empthy by increased production of new shells and supplies from India and other countries have picked up</t>
  </si>
  <si>
    <t>see above</t>
  </si>
  <si>
    <t>The Shahed has a 50 kg warhead is cheap to make and can hit anywhere in Ukraine so very dangerous weapon.</t>
  </si>
  <si>
    <t>https://x.com/EuromaidanPress/status/1853467328618336735</t>
  </si>
  <si>
    <t>See sheet "WeaponsSpecs"</t>
  </si>
  <si>
    <t>Nov, 2024</t>
  </si>
  <si>
    <t>weight in</t>
  </si>
  <si>
    <t>kilo</t>
  </si>
  <si>
    <t>2000kg on average per sortie. An aircraft may drop 2*1000 kilo guided bombs or 4*500 kg bombs or 8*250 kg bombs</t>
  </si>
  <si>
    <t xml:space="preserve"> - UMPK Russia’s JDAM also called FAB-500</t>
  </si>
  <si>
    <t>Sorties are number of combat missions flown from start to end not including helicopter air sorties.</t>
  </si>
  <si>
    <t>https://x.com/United24media/status/1814288722457674175</t>
  </si>
  <si>
    <t>Russian guided glider bombs with 70 km range when dropped at high altitude at high speed. They are fairly accurate like 20 meters and very powerfull compared to heavy artillery. They have no propulsion so no heat signature and cost very little.</t>
  </si>
  <si>
    <t>my best guess. Start of war Russia had millions in stockpile and they have also got at least 2 million from North Korea</t>
  </si>
  <si>
    <t>Jul, 2024</t>
  </si>
  <si>
    <t>https://youtu.be/FEjhC-ejrEg?si=dB6sFhpp-aUjoio4&amp;t=285</t>
  </si>
  <si>
    <t xml:space="preserve">It is an unmanned stealth aircraft that can launch from aircraft carriers and be used for refueling and surveillance. It is planned to be able to deliver 6800 kg of fuel to a range of 930 kilometers. It very likely can also direct missiles to their target like the Tomahawk and the SM-6 using a radio-data link. That will not reveal location of aircraft as you do not need a continuous radio signal just a few milliseconds at a time to send target coordinates to incoming missiles and drones. </t>
  </si>
  <si>
    <t>https://youtu.be/FEjhC-ejrEg?si=zMAqjH-z7qbJ4emo&amp;t=247</t>
  </si>
  <si>
    <t xml:space="preserve"> - AIM-9M Sidewinder anti-aircraft for Ukraine F16</t>
  </si>
  <si>
    <t>https://www.navair.navy.mil/product/AIM-9M-Sidewinder</t>
  </si>
  <si>
    <t>https://www.navair.navy.mil/product/AIM-9M-Sidewinder Ukraine got the AIM-9M version see https://www.state.gov/u-s-security-cooperation-with-ukraine/</t>
  </si>
  <si>
    <t>Ukraine got the AIM-9M version that only has 16 to 29 kilometer range.</t>
  </si>
  <si>
    <t>24S</t>
  </si>
  <si>
    <t>https://en.wikipedia.org/wiki/RIM-7_Sea_Sparrow</t>
  </si>
  <si>
    <t>https://en.wikipedia.org/wiki/Buk_missile_system</t>
  </si>
  <si>
    <t>https://en.wikipedia.org/wiki/AIM-7_Sparrow</t>
  </si>
  <si>
    <t>https://www.youtube.com/watch?v=PlcmziopqZA&amp;t=5s</t>
  </si>
  <si>
    <t>Ukraine got 72 of these launchers pre war in 2016</t>
  </si>
  <si>
    <t>https://en.wikipedia.org/wiki/Buk_missile_system#Current_operators</t>
  </si>
  <si>
    <t xml:space="preserve"> - AIM-7 Sparrow US air to air missile Ukraine got them</t>
  </si>
  <si>
    <t>https://en.wikipedia.org/wiki/AIM-7_Sparrow#</t>
  </si>
  <si>
    <t>semi-active radar homing</t>
  </si>
  <si>
    <t>Ukraine got this missile</t>
  </si>
  <si>
    <t>https://www.state.gov/u-s-security-cooperation-with-ukraine/</t>
  </si>
  <si>
    <t>53S</t>
  </si>
  <si>
    <t>40</t>
  </si>
  <si>
    <t xml:space="preserve"> - RIM-7 Sea Sparrow similar to AIM-7</t>
  </si>
  <si>
    <t>16S</t>
  </si>
  <si>
    <t>Hawk US missile (legacy no production) used by Ukraine</t>
  </si>
  <si>
    <t>Soviet ship launcher Buk-M1 modified for use in Ukraine</t>
  </si>
  <si>
    <t>my best guess the sister missile AIM-7 got over 70,000 build</t>
  </si>
  <si>
    <t>https://european-resilience.org/analytics/russias-missile-war-against-ukraine</t>
  </si>
  <si>
    <t>tupical warhead is 500 kg see weapons spreadsheet</t>
  </si>
  <si>
    <t>Russian cruise missiles and ballistic missiles either ground launched or launched by strategic bombers and fighters</t>
  </si>
  <si>
    <t>July, 2024</t>
  </si>
  <si>
    <t>in kilo</t>
  </si>
  <si>
    <t>follow link. Artillery shells normally cost 1000 USD per shell but wartime extreme demand has pushed the price up to 4000 USD for Ukraine and I guess also for Russia who pay high wages to attract labor for weapons production and also pay North Korea and Iran extra.</t>
  </si>
  <si>
    <t>Rocket propelled guided bombs &gt;100km</t>
  </si>
  <si>
    <t>Small FPV drones &lt;25km</t>
  </si>
  <si>
    <t>Various Ukraine made long-rage drones &gt;100 km</t>
  </si>
  <si>
    <t>See weaponsSpecs spreadsheet under "Long-range drone &gt;100kilometers"</t>
  </si>
  <si>
    <t xml:space="preserve">My guess. At beginning of war Russia was slow to adapt to drone war using small FPV drones but they have adapted now and are making as many as they can. I estimate an uncertain 1 million yearly. For Russia to go much beyond that will not be possible witout explicit help from China as China and Western countries are the only countries where Russia can import needed batteries, radio chips and control chips. Russia is under sactions so massive scale aquisition of these components should not be possible. </t>
  </si>
  <si>
    <t xml:space="preserve">Ukraine say they can now make 3 million yearly if they got the funds to do it https://newsukraine.rbc.ua/news/ukraine-can-produce-over-3-million-drones-1722423742.html I assume they will make 1.5 million in 2024. Ukraine is not sactioned by the West for critical drone components like batteries, radio chips and controller chips. However, lately China has begun to actively sanction companies delivering drone components made in China for Ukraine. If China do not actively support Russia with drone components Ukraine is in a much better position that Russia to scale FPV drone production all the way to 10 million drones per year and also add advanced AI navigation and homing features to weapon as chips for that becomes available in the low power end like with 20 watt AI chips. </t>
  </si>
  <si>
    <t xml:space="preserve">Small drones with 2 kg granates either blast fragmentation or armor piercing operated by human with googles using radio data link. </t>
  </si>
  <si>
    <t>Nov, 2025</t>
  </si>
  <si>
    <t>Ukraine airplanes are at high risk of being shoot down by Russian S300 and S400 missiles directed by Russian radar aircraft A50 if they are closer than 100 km from frontlines. So Ukrane can only use heavy guided bombs that are rocket propelled with ragen over 100km  to hit Russian frontlines. These weapons are GBU-39 and AGM-154A,B,C and they are much more expensive than the Russian pure guided glider bombs. More like 150,000 USD on average.</t>
  </si>
  <si>
    <t>See sheet "WeaponsSpecs"  - GBU-39 and AGM-154A - JSOW and HAMMER</t>
  </si>
  <si>
    <t>My guess. These weapons are expensive and not mass produced</t>
  </si>
  <si>
    <t xml:space="preserve">2000kg on average per sortie. An aircraft may drop 2*1000 kilo guided bombs or 4*500 kg bombs or 8*250 kg bombs. </t>
  </si>
  <si>
    <t xml:space="preserve">truckloads to frontlines </t>
  </si>
  <si>
    <t>See weapons sheet. Ukraine has received Storm Shadow 550 kg warhead, ATACAMS 200kg warhead, and they have build their own Palianytsia "big" Neptune-MD Cruise m with 300 kg warhead</t>
  </si>
  <si>
    <t>My best guess in nov 2024 from following the daily news on Ukraine</t>
  </si>
  <si>
    <t>Small drones with 2 kg granates either blast fragmentation or armor piercing operated by human with googles using radio data link. See weapons spreadsheet</t>
  </si>
  <si>
    <t xml:space="preserve"> - AN/APG-79 AESA radar for weapons navigation</t>
  </si>
  <si>
    <t>https://en.wikipedia.org/wiki/AN/APG-79#AN/APG-79(V)4</t>
  </si>
  <si>
    <t>https://missiledefenseadvocacy.org/defense-systems/an-apg-79-aesa-2/</t>
  </si>
  <si>
    <t>Jul, 2008</t>
  </si>
  <si>
    <t xml:space="preserve"> - AN/APG-66(V)2 radar for weapons navigation</t>
  </si>
  <si>
    <t>https://en.wikipedia.org/wiki/AN/APG-66</t>
  </si>
  <si>
    <t>https://en.wikipedia.org/wiki/AN/APG-66 see also https://eadaily.com/en/news/2024/07/10/what-is-the-danger-of-the-f-16am-tandem-with-aim-120d-and-aim-174b-missiles-for-our-su-35s</t>
  </si>
  <si>
    <t>Aug, 2018</t>
  </si>
  <si>
    <t>https://www.northropgrumman.com/what-we-do/air/sabr-scalable-agile-beam-radar-apg-83-aesa</t>
  </si>
  <si>
    <t>F18</t>
  </si>
  <si>
    <t xml:space="preserve"> - AN/APG-83 Scalable Agile Beam Radar (SABR). Most capable radar for F18 needed to navigate the AIM-260 or AIM-174B all the way to the target without using external radar aircraft like Hawkeye</t>
  </si>
  <si>
    <t>Boeing MQ-25 unmanned stealth fuel tanker plus surveillance and reconnaissance. It was originally designed as a long-range stealth bomber and it can do that for sure. In 2024 it was show by Boeing with two JASSMs strapped under the wings. See video https://youtu.be/asW47GIXEC4?si=qh2ANdxUExYNRpE9&amp;t=154</t>
  </si>
  <si>
    <t>https://youtu.be/asW47GIXEC4?si=qh2ANdxUExYNRpE9&amp;t=154</t>
  </si>
  <si>
    <t>Best alternative is AGM-158d-XR but they are in short supply (annual production is 1100 combined for both AGM-158c and d and few stocks) and are needed more to defend Taiwan and deter China invasion as they unlike the JASSMs can be used to target ships and also launch from many more platforms than just air.</t>
  </si>
  <si>
    <t>Use its Stunner missiles to down Russian aircraft dropping glider bombs on Ukraine frontlines</t>
  </si>
  <si>
    <t>Israel is facing their own war and may not have enough production capacity for David's sling battery to also supply Ukraine</t>
  </si>
  <si>
    <t>kilometers Ukraine aircraft need to operate behind frontlines to lower risk of being targeted by Russian S300 and S400</t>
  </si>
  <si>
    <t xml:space="preserve"> - 227 mm unguided rocket MLRS</t>
  </si>
  <si>
    <t xml:space="preserve"> - 227 mm guided rocket GMLRS, M31</t>
  </si>
  <si>
    <t xml:space="preserve"> - 227 mm guided rocket GLSDB/GBU-39</t>
  </si>
  <si>
    <t>https://en.wikipedia.org/wiki/M270_Multiple_Launch_Rocket_System</t>
  </si>
  <si>
    <t>HIMARS M142/M270 rocket launchers</t>
  </si>
  <si>
    <t xml:space="preserve"> - PrSM Increment 4 MRBM US ballistic missile </t>
  </si>
  <si>
    <t xml:space="preserve"> - 610mm MGM-140 ATACMS, land launched bal. missile</t>
  </si>
  <si>
    <t xml:space="preserve"> - 430mm PrSM (ATACMS replacement) US ballistic missile</t>
  </si>
  <si>
    <t xml:space="preserve"> - RIM-174 US (SM-6) ballistic missile to hit air, sea &amp; land targets, 370 km range on air targets and 500km for land targets</t>
  </si>
  <si>
    <t xml:space="preserve"> - Tomahawk Block V US navy cruise missile, 1300kg and 1600 kg, 6.25m with booster. It can't be launched from F16 and a reason given is that it is too heavy at 1300 kg. It may also be because no one have tried to do so because of alternatives like JASSM that weight less</t>
  </si>
  <si>
    <t>This is the radar that the Ukraine F16 have. It is very old and has poor range so F16 cannot fire long-range anti-aircraft missiles without having an external radar take over control like the Hawkeye</t>
  </si>
  <si>
    <t>This missile is fired at Russian ground-based anti-aircraft systems and is targeting their land based radar. It only destroy the radar not the launchers and the control units. Also if a HARM attack is discovered in time the radar can be turned off so the HARM will miss its target. Ukraine has got these missiles almost since start of war and has helped Ukraine silence Russian ground based anti-aircraft during Ukraine attacks on Russian frontlines and also to help Ukraine cruise missiles survive strikes deep behind frontlines. Ukraine needs a lot more of them.</t>
  </si>
  <si>
    <t>Target Russian ground radars for S300 and S400.</t>
  </si>
  <si>
    <t>Can launch from HIMARS and many other rocket launchers and also ship launchers. It also has an air launched version called rampage that has been in production since 2019-</t>
  </si>
  <si>
    <t xml:space="preserve"> - EXTRA/Rampage Israeli 306mm guided artillery rocket, ground, ship or air launched</t>
  </si>
  <si>
    <t>https://en.wikipedia.org/wiki/PULS_(multiple_rocket_launcher)</t>
  </si>
  <si>
    <t>PULS Rocket Artillery Systems Launcher vehicles like HIMARS, Israel</t>
  </si>
  <si>
    <t>2018-</t>
  </si>
  <si>
    <t>Denmark has ordered this system as replacement for the 155mm artillery systems that was donated to Ukraine</t>
  </si>
  <si>
    <t xml:space="preserve"> - 370mm Predator Hawk</t>
  </si>
  <si>
    <t>160</t>
  </si>
  <si>
    <t>Russia will either lose all of their airborne radar aircraft A50 or they will pull them back to safety over 2400 km from Ukraine and stop using them in Ukraine war. This will enable Ukraine to use their F16 and Mig-29 to attack Russian aircraft dropping glider bombs with far less risk of being intercepted by Russian S300 or S400 missiles that can now be evaded by Ukraine aircraft simply by flying low. S300 and S400 ground based radar can only detect low flying aircraft within 40 km of the radar or so.</t>
  </si>
  <si>
    <t>The alternative is to use the Tomahawk missile to push the Russian A50 radar aircraft 1566 kilometers away from Ukraine reducing availability of aircraft by 50%. Arrow 3 is only weapon that can force Russia to completely stop using the A50 entirely.</t>
  </si>
  <si>
    <t>Current military</t>
  </si>
  <si>
    <t xml:space="preserve">spending in % of </t>
  </si>
  <si>
    <t xml:space="preserve">military spending </t>
  </si>
  <si>
    <t>spending in</t>
  </si>
  <si>
    <t>Mil. Spending</t>
  </si>
  <si>
    <t>North America</t>
  </si>
  <si>
    <t>Europe</t>
  </si>
  <si>
    <t>Asia</t>
  </si>
  <si>
    <t>Middle East</t>
  </si>
  <si>
    <r>
      <t xml:space="preserve">South-America </t>
    </r>
    <r>
      <rPr>
        <sz val="11"/>
        <color theme="1"/>
        <rFont val="Calibri"/>
        <family val="2"/>
        <scheme val="minor"/>
      </rPr>
      <t>(my apologies I currently know little of which countries in South-America that would qualify as true democracies. More countries will be added as I lean more)</t>
    </r>
  </si>
  <si>
    <t>Protection of free speech</t>
  </si>
  <si>
    <t xml:space="preserve">Regular and fair elections </t>
  </si>
  <si>
    <t>Current size of</t>
  </si>
  <si>
    <t>active personnel</t>
  </si>
  <si>
    <t>Current size</t>
  </si>
  <si>
    <t xml:space="preserve">of military </t>
  </si>
  <si>
    <t>reserve personnel</t>
  </si>
  <si>
    <t>D=democracy, A=authoritarian country</t>
  </si>
  <si>
    <r>
      <t xml:space="preserve">Germany </t>
    </r>
    <r>
      <rPr>
        <sz val="11"/>
        <color theme="1"/>
        <rFont val="Calibri"/>
        <family val="2"/>
        <scheme val="minor"/>
      </rPr>
      <t xml:space="preserve">D N E </t>
    </r>
  </si>
  <si>
    <r>
      <t xml:space="preserve">France </t>
    </r>
    <r>
      <rPr>
        <sz val="11"/>
        <color theme="1"/>
        <rFont val="Calibri"/>
        <family val="2"/>
        <scheme val="minor"/>
      </rPr>
      <t>D N E</t>
    </r>
  </si>
  <si>
    <r>
      <t xml:space="preserve">Luxembourg </t>
    </r>
    <r>
      <rPr>
        <sz val="11"/>
        <color theme="1"/>
        <rFont val="Calibri"/>
        <family val="2"/>
        <scheme val="minor"/>
      </rPr>
      <t>D N E</t>
    </r>
  </si>
  <si>
    <r>
      <t xml:space="preserve">Belgium </t>
    </r>
    <r>
      <rPr>
        <sz val="11"/>
        <color theme="1"/>
        <rFont val="Calibri"/>
        <family val="2"/>
        <scheme val="minor"/>
      </rPr>
      <t>D N E (donate 30 F16s)</t>
    </r>
  </si>
  <si>
    <r>
      <t>North Macedonia</t>
    </r>
    <r>
      <rPr>
        <sz val="11"/>
        <color theme="1"/>
        <rFont val="Calibri"/>
        <family val="2"/>
        <scheme val="minor"/>
      </rPr>
      <t xml:space="preserve"> D N</t>
    </r>
  </si>
  <si>
    <r>
      <t xml:space="preserve">Netherlands </t>
    </r>
    <r>
      <rPr>
        <sz val="11"/>
        <color theme="1"/>
        <rFont val="Calibri"/>
        <family val="2"/>
        <scheme val="minor"/>
      </rPr>
      <t>D N E (donate 42 F16s)</t>
    </r>
  </si>
  <si>
    <r>
      <t xml:space="preserve">Italy </t>
    </r>
    <r>
      <rPr>
        <sz val="11"/>
        <color theme="1"/>
        <rFont val="Calibri"/>
        <family val="2"/>
        <scheme val="minor"/>
      </rPr>
      <t>D N E</t>
    </r>
  </si>
  <si>
    <r>
      <t xml:space="preserve">Spain </t>
    </r>
    <r>
      <rPr>
        <sz val="11"/>
        <color theme="1"/>
        <rFont val="Calibri"/>
        <family val="2"/>
        <scheme val="minor"/>
      </rPr>
      <t>D N E</t>
    </r>
  </si>
  <si>
    <r>
      <t>Portugal</t>
    </r>
    <r>
      <rPr>
        <sz val="11"/>
        <color theme="1"/>
        <rFont val="Calibri"/>
        <family val="2"/>
        <scheme val="minor"/>
      </rPr>
      <t xml:space="preserve"> D N E</t>
    </r>
  </si>
  <si>
    <r>
      <t xml:space="preserve">Romania </t>
    </r>
    <r>
      <rPr>
        <sz val="11"/>
        <color theme="1"/>
        <rFont val="Calibri"/>
        <family val="2"/>
        <scheme val="minor"/>
      </rPr>
      <t>D N E (border Black Sea)</t>
    </r>
  </si>
  <si>
    <r>
      <t xml:space="preserve">Ukraine, </t>
    </r>
    <r>
      <rPr>
        <sz val="11"/>
        <color theme="1"/>
        <rFont val="Calibri"/>
        <family val="2"/>
        <scheme val="minor"/>
      </rPr>
      <t>D (border Russia partly occupied)</t>
    </r>
  </si>
  <si>
    <r>
      <t>Bulgaria</t>
    </r>
    <r>
      <rPr>
        <sz val="11"/>
        <color theme="1"/>
        <rFont val="Calibri"/>
        <family val="2"/>
        <scheme val="minor"/>
      </rPr>
      <t xml:space="preserve"> D N E (border Black Sea)</t>
    </r>
  </si>
  <si>
    <r>
      <t xml:space="preserve">Finland </t>
    </r>
    <r>
      <rPr>
        <sz val="11"/>
        <color theme="1"/>
        <rFont val="Calibri"/>
        <family val="2"/>
        <scheme val="minor"/>
      </rPr>
      <t>D N E (border Russia)</t>
    </r>
  </si>
  <si>
    <r>
      <t xml:space="preserve">Norway </t>
    </r>
    <r>
      <rPr>
        <sz val="11"/>
        <color theme="1"/>
        <rFont val="Calibri"/>
        <family val="2"/>
        <scheme val="minor"/>
      </rPr>
      <t>D N (border Russia, donate 6 F16s)</t>
    </r>
  </si>
  <si>
    <r>
      <t xml:space="preserve">Sweden </t>
    </r>
    <r>
      <rPr>
        <sz val="11"/>
        <color theme="1"/>
        <rFont val="Calibri"/>
        <family val="2"/>
        <scheme val="minor"/>
      </rPr>
      <t>D N E</t>
    </r>
  </si>
  <si>
    <r>
      <t>Denmark</t>
    </r>
    <r>
      <rPr>
        <sz val="11"/>
        <color theme="1"/>
        <rFont val="Calibri"/>
        <family val="2"/>
        <scheme val="minor"/>
      </rPr>
      <t xml:space="preserve"> D N E (donate 19 F16s)</t>
    </r>
  </si>
  <si>
    <r>
      <t xml:space="preserve">Iceland </t>
    </r>
    <r>
      <rPr>
        <sz val="11"/>
        <color theme="1"/>
        <rFont val="Calibri"/>
        <family val="2"/>
        <scheme val="minor"/>
      </rPr>
      <t>D N</t>
    </r>
  </si>
  <si>
    <r>
      <t xml:space="preserve">Estonia </t>
    </r>
    <r>
      <rPr>
        <sz val="11"/>
        <color theme="1"/>
        <rFont val="Calibri"/>
        <family val="2"/>
        <scheme val="minor"/>
      </rPr>
      <t>D N E (border Russia)</t>
    </r>
  </si>
  <si>
    <r>
      <t xml:space="preserve">Latvia </t>
    </r>
    <r>
      <rPr>
        <sz val="11"/>
        <color theme="1"/>
        <rFont val="Calibri"/>
        <family val="2"/>
        <scheme val="minor"/>
      </rPr>
      <t>D N E (border Russia)</t>
    </r>
  </si>
  <si>
    <t xml:space="preserve">billion </t>
  </si>
  <si>
    <t>USD</t>
  </si>
  <si>
    <r>
      <t xml:space="preserve">Montenegro </t>
    </r>
    <r>
      <rPr>
        <sz val="11"/>
        <color theme="1"/>
        <rFont val="Calibri"/>
        <family val="2"/>
        <scheme val="minor"/>
      </rPr>
      <t>D N</t>
    </r>
  </si>
  <si>
    <r>
      <t xml:space="preserve">Albania </t>
    </r>
    <r>
      <rPr>
        <sz val="11"/>
        <color theme="1"/>
        <rFont val="Calibri"/>
        <family val="2"/>
        <scheme val="minor"/>
      </rPr>
      <t>D N</t>
    </r>
  </si>
  <si>
    <r>
      <t xml:space="preserve">Croatia </t>
    </r>
    <r>
      <rPr>
        <sz val="11"/>
        <color theme="1"/>
        <rFont val="Calibri"/>
        <family val="2"/>
        <scheme val="minor"/>
      </rPr>
      <t>D N E</t>
    </r>
  </si>
  <si>
    <r>
      <t xml:space="preserve">Slovenia </t>
    </r>
    <r>
      <rPr>
        <sz val="11"/>
        <color theme="1"/>
        <rFont val="Calibri"/>
        <family val="2"/>
        <scheme val="minor"/>
      </rPr>
      <t>D N E</t>
    </r>
  </si>
  <si>
    <r>
      <t xml:space="preserve">Greece </t>
    </r>
    <r>
      <rPr>
        <sz val="11"/>
        <color theme="1"/>
        <rFont val="Calibri"/>
        <family val="2"/>
        <scheme val="minor"/>
      </rPr>
      <t>D N E (donate 32 F16s)</t>
    </r>
  </si>
  <si>
    <r>
      <t xml:space="preserve">Slovakia </t>
    </r>
    <r>
      <rPr>
        <sz val="11"/>
        <color theme="1"/>
        <rFont val="Calibri"/>
        <family val="2"/>
        <scheme val="minor"/>
      </rPr>
      <t>D N E (still export arms to Ukraine )</t>
    </r>
  </si>
  <si>
    <r>
      <t xml:space="preserve">Czech Republic </t>
    </r>
    <r>
      <rPr>
        <sz val="11"/>
        <color theme="1"/>
        <rFont val="Calibri"/>
        <family val="2"/>
        <scheme val="minor"/>
      </rPr>
      <t xml:space="preserve">D N E </t>
    </r>
  </si>
  <si>
    <r>
      <t>Lithuania</t>
    </r>
    <r>
      <rPr>
        <sz val="11"/>
        <color theme="1"/>
        <rFont val="Calibri"/>
        <family val="2"/>
        <scheme val="minor"/>
      </rPr>
      <t xml:space="preserve"> D N E (border Russia)</t>
    </r>
  </si>
  <si>
    <t>https://en.wikipedia.org/wiki/Mexico</t>
  </si>
  <si>
    <t>https://en.wikipedia.org/wiki/Argentina</t>
  </si>
  <si>
    <r>
      <t>Mexico</t>
    </r>
    <r>
      <rPr>
        <sz val="11"/>
        <color theme="1"/>
        <rFont val="Calibri"/>
        <family val="2"/>
        <scheme val="minor"/>
      </rPr>
      <t xml:space="preserve"> D</t>
    </r>
  </si>
  <si>
    <r>
      <t xml:space="preserve">Canada </t>
    </r>
    <r>
      <rPr>
        <sz val="11"/>
        <color theme="1"/>
        <rFont val="Calibri"/>
        <family val="2"/>
        <scheme val="minor"/>
      </rPr>
      <t>D N</t>
    </r>
  </si>
  <si>
    <r>
      <t xml:space="preserve">USA </t>
    </r>
    <r>
      <rPr>
        <sz val="11"/>
        <color theme="1"/>
        <rFont val="Calibri"/>
        <family val="2"/>
        <scheme val="minor"/>
      </rPr>
      <t>D N</t>
    </r>
  </si>
  <si>
    <r>
      <t xml:space="preserve">Israel </t>
    </r>
    <r>
      <rPr>
        <sz val="11"/>
        <color theme="1"/>
        <rFont val="Calibri"/>
        <family val="2"/>
        <scheme val="minor"/>
      </rPr>
      <t>D</t>
    </r>
  </si>
  <si>
    <r>
      <t>Argentina</t>
    </r>
    <r>
      <rPr>
        <sz val="11"/>
        <color theme="1"/>
        <rFont val="Calibri"/>
        <family val="2"/>
        <scheme val="minor"/>
      </rPr>
      <t xml:space="preserve"> D</t>
    </r>
  </si>
  <si>
    <r>
      <t xml:space="preserve">Russia </t>
    </r>
    <r>
      <rPr>
        <sz val="11"/>
        <color theme="1"/>
        <rFont val="Calibri"/>
        <family val="2"/>
        <scheme val="minor"/>
      </rPr>
      <t>AK</t>
    </r>
  </si>
  <si>
    <r>
      <t xml:space="preserve">Switzerland </t>
    </r>
    <r>
      <rPr>
        <sz val="11"/>
        <color theme="1"/>
        <rFont val="Calibri"/>
        <family val="2"/>
        <scheme val="minor"/>
      </rPr>
      <t>D</t>
    </r>
    <r>
      <rPr>
        <b/>
        <sz val="11"/>
        <color theme="1"/>
        <rFont val="Calibri"/>
        <family val="2"/>
        <scheme val="minor"/>
      </rPr>
      <t xml:space="preserve"> </t>
    </r>
    <r>
      <rPr>
        <sz val="11"/>
        <color theme="1"/>
        <rFont val="Calibri"/>
        <family val="2"/>
        <scheme val="minor"/>
      </rPr>
      <t>(support Ukraine financially)</t>
    </r>
  </si>
  <si>
    <r>
      <t>Democratic Palestine Republic?</t>
    </r>
    <r>
      <rPr>
        <sz val="11"/>
        <color theme="1"/>
        <rFont val="Calibri"/>
        <family val="2"/>
        <scheme val="minor"/>
      </rPr>
      <t xml:space="preserve"> (a country that may come to exist in Gaza and West Bank that has deported all Islamists some 60% of its current population and that fully embrace democracy and freedom for its remaining citizens)</t>
    </r>
  </si>
  <si>
    <r>
      <t>Democratic Kurdish Republic?</t>
    </r>
    <r>
      <rPr>
        <sz val="11"/>
        <color theme="1"/>
        <rFont val="Calibri"/>
        <family val="2"/>
        <scheme val="minor"/>
      </rPr>
      <t xml:space="preserve"> (a new country that may come to exist in parts of Syria that has deported all Islamists from its population and that fully embrace democracy and freedom for its remaining citizens)</t>
    </r>
  </si>
  <si>
    <t>Military personnel</t>
  </si>
  <si>
    <r>
      <t>Japan</t>
    </r>
    <r>
      <rPr>
        <sz val="11"/>
        <color theme="1"/>
        <rFont val="Calibri"/>
        <family val="2"/>
        <scheme val="minor"/>
      </rPr>
      <t xml:space="preserve"> D</t>
    </r>
  </si>
  <si>
    <r>
      <t>South-Korea</t>
    </r>
    <r>
      <rPr>
        <sz val="11"/>
        <color theme="1"/>
        <rFont val="Calibri"/>
        <family val="2"/>
        <scheme val="minor"/>
      </rPr>
      <t xml:space="preserve"> D</t>
    </r>
  </si>
  <si>
    <r>
      <t xml:space="preserve">Taiwan </t>
    </r>
    <r>
      <rPr>
        <sz val="11"/>
        <color theme="1"/>
        <rFont val="Calibri"/>
        <family val="2"/>
        <scheme val="minor"/>
      </rPr>
      <t>D</t>
    </r>
  </si>
  <si>
    <r>
      <t>Australia</t>
    </r>
    <r>
      <rPr>
        <sz val="11"/>
        <color theme="1"/>
        <rFont val="Calibri"/>
        <family val="2"/>
        <scheme val="minor"/>
      </rPr>
      <t xml:space="preserve"> D</t>
    </r>
  </si>
  <si>
    <r>
      <t xml:space="preserve">New Zealand </t>
    </r>
    <r>
      <rPr>
        <sz val="11"/>
        <color theme="1"/>
        <rFont val="Calibri"/>
        <family val="2"/>
        <scheme val="minor"/>
      </rPr>
      <t>D</t>
    </r>
  </si>
  <si>
    <r>
      <t>Singapore</t>
    </r>
    <r>
      <rPr>
        <sz val="11"/>
        <color theme="1"/>
        <rFont val="Calibri"/>
        <family val="2"/>
        <scheme val="minor"/>
      </rPr>
      <t xml:space="preserve"> D</t>
    </r>
  </si>
  <si>
    <r>
      <t xml:space="preserve">Iran </t>
    </r>
    <r>
      <rPr>
        <sz val="11"/>
        <color theme="1"/>
        <rFont val="Calibri"/>
        <family val="2"/>
        <scheme val="minor"/>
      </rPr>
      <t>AK</t>
    </r>
  </si>
  <si>
    <t>https://en.wikipedia.org/wiki/Singapore</t>
  </si>
  <si>
    <r>
      <t>Egypt</t>
    </r>
    <r>
      <rPr>
        <sz val="11"/>
        <color theme="1"/>
        <rFont val="Calibri"/>
        <family val="2"/>
        <scheme val="minor"/>
      </rPr>
      <t xml:space="preserve"> A</t>
    </r>
  </si>
  <si>
    <r>
      <t>Jordan</t>
    </r>
    <r>
      <rPr>
        <sz val="11"/>
        <color theme="1"/>
        <rFont val="Calibri"/>
        <family val="2"/>
        <scheme val="minor"/>
      </rPr>
      <t xml:space="preserve"> A (not a failed state but close)</t>
    </r>
  </si>
  <si>
    <r>
      <t xml:space="preserve">Iraq </t>
    </r>
    <r>
      <rPr>
        <sz val="11"/>
        <color theme="1"/>
        <rFont val="Calibri"/>
        <family val="2"/>
        <scheme val="minor"/>
      </rPr>
      <t>A (not a failed state but close)</t>
    </r>
  </si>
  <si>
    <r>
      <t xml:space="preserve"> - Belarus </t>
    </r>
    <r>
      <rPr>
        <sz val="11"/>
        <color theme="1"/>
        <rFont val="Calibri"/>
        <family val="2"/>
        <scheme val="minor"/>
      </rPr>
      <t>AK (nearly fully controlled by Russia)</t>
    </r>
  </si>
  <si>
    <r>
      <t xml:space="preserve"> - Georgia </t>
    </r>
    <r>
      <rPr>
        <sz val="11"/>
        <color theme="1"/>
        <rFont val="Calibri"/>
        <family val="2"/>
        <scheme val="minor"/>
      </rPr>
      <t>D? (partly occupied and partially controlled by Russia through bribes (incl cheap oil and gas) and old school blackmail like compromising videos of people with power)</t>
    </r>
  </si>
  <si>
    <r>
      <t>Norway</t>
    </r>
    <r>
      <rPr>
        <sz val="11"/>
        <color theme="1"/>
        <rFont val="Calibri"/>
        <family val="2"/>
        <scheme val="minor"/>
      </rPr>
      <t xml:space="preserve"> D N (border Russia, donate 6 F16s)</t>
    </r>
  </si>
  <si>
    <r>
      <t>Estonia</t>
    </r>
    <r>
      <rPr>
        <sz val="11"/>
        <color theme="1"/>
        <rFont val="Calibri"/>
        <family val="2"/>
        <scheme val="minor"/>
      </rPr>
      <t xml:space="preserve"> D N E (border Russia)</t>
    </r>
  </si>
  <si>
    <r>
      <t xml:space="preserve">Slovakia </t>
    </r>
    <r>
      <rPr>
        <sz val="11"/>
        <color theme="1"/>
        <rFont val="Calibri"/>
        <family val="2"/>
        <scheme val="minor"/>
      </rPr>
      <t>D N E (still export arms to Ukraine but since mid 2023 no m. aid)</t>
    </r>
  </si>
  <si>
    <r>
      <t xml:space="preserve">Switzerland </t>
    </r>
    <r>
      <rPr>
        <sz val="11"/>
        <color theme="1"/>
        <rFont val="Calibri"/>
        <family val="2"/>
        <scheme val="minor"/>
      </rPr>
      <t>D (support Ukr financially But not militarily)</t>
    </r>
  </si>
  <si>
    <r>
      <t>Croatia</t>
    </r>
    <r>
      <rPr>
        <sz val="11"/>
        <color theme="1"/>
        <rFont val="Calibri"/>
        <family val="2"/>
        <scheme val="minor"/>
      </rPr>
      <t xml:space="preserve"> D N E</t>
    </r>
  </si>
  <si>
    <r>
      <t xml:space="preserve">Yemen, all </t>
    </r>
    <r>
      <rPr>
        <sz val="11"/>
        <color theme="1"/>
        <rFont val="Calibri"/>
        <family val="2"/>
        <scheme val="minor"/>
      </rPr>
      <t>AK (failed state)</t>
    </r>
  </si>
  <si>
    <r>
      <t xml:space="preserve">Yemen </t>
    </r>
    <r>
      <rPr>
        <sz val="11"/>
        <color theme="1"/>
        <rFont val="Calibri"/>
        <family val="2"/>
        <scheme val="minor"/>
      </rPr>
      <t xml:space="preserve">35% Shia Houthis controlled </t>
    </r>
  </si>
  <si>
    <t>https://en.wikipedia.org/wiki/Venezuela</t>
  </si>
  <si>
    <r>
      <rPr>
        <b/>
        <sz val="11"/>
        <color theme="1"/>
        <rFont val="Calibri"/>
        <family val="2"/>
        <scheme val="minor"/>
      </rPr>
      <t>E-2D Hawkeye</t>
    </r>
    <r>
      <rPr>
        <sz val="11"/>
        <color theme="1"/>
        <rFont val="Calibri"/>
        <family val="2"/>
        <scheme val="minor"/>
      </rPr>
      <t xml:space="preserve"> Air F. version, radar and command aircraft. </t>
    </r>
  </si>
  <si>
    <r>
      <t xml:space="preserve"> - Boeing </t>
    </r>
    <r>
      <rPr>
        <b/>
        <sz val="11"/>
        <color theme="1"/>
        <rFont val="Calibri"/>
        <family val="2"/>
        <scheme val="minor"/>
      </rPr>
      <t>MQ-25</t>
    </r>
    <r>
      <rPr>
        <sz val="11"/>
        <color theme="1"/>
        <rFont val="Calibri"/>
        <family val="2"/>
        <scheme val="minor"/>
      </rPr>
      <t xml:space="preserve"> unmanned stealth fuel tanker</t>
    </r>
  </si>
  <si>
    <r>
      <rPr>
        <b/>
        <sz val="11"/>
        <color theme="1"/>
        <rFont val="Calibri"/>
        <family val="2"/>
        <scheme val="minor"/>
      </rPr>
      <t>F16</t>
    </r>
    <r>
      <rPr>
        <sz val="11"/>
        <color theme="1"/>
        <rFont val="Calibri"/>
        <family val="2"/>
        <scheme val="minor"/>
      </rPr>
      <t xml:space="preserve"> (AM/BM Danish version for UKR)</t>
    </r>
  </si>
  <si>
    <r>
      <rPr>
        <b/>
        <sz val="11"/>
        <color theme="1"/>
        <rFont val="Calibri"/>
        <family val="2"/>
        <scheme val="minor"/>
      </rPr>
      <t>F/A-18E/F Super Hornet</t>
    </r>
    <r>
      <rPr>
        <sz val="11"/>
        <color theme="1"/>
        <rFont val="Calibri"/>
        <family val="2"/>
        <scheme val="minor"/>
      </rPr>
      <t>, US Navy fighter</t>
    </r>
  </si>
  <si>
    <r>
      <rPr>
        <b/>
        <sz val="11"/>
        <color theme="1"/>
        <rFont val="Calibri"/>
        <family val="2"/>
        <scheme val="minor"/>
      </rPr>
      <t xml:space="preserve"> - AN/APG-66(V)2</t>
    </r>
    <r>
      <rPr>
        <sz val="11"/>
        <color theme="1"/>
        <rFont val="Calibri"/>
        <family val="2"/>
        <scheme val="minor"/>
      </rPr>
      <t xml:space="preserve"> radar for weapons navigation</t>
    </r>
  </si>
  <si>
    <r>
      <rPr>
        <b/>
        <sz val="11"/>
        <color theme="1"/>
        <rFont val="Calibri"/>
        <family val="2"/>
        <scheme val="minor"/>
      </rPr>
      <t xml:space="preserve"> - AGM-88G HARM</t>
    </r>
    <r>
      <rPr>
        <sz val="11"/>
        <color theme="1"/>
        <rFont val="Calibri"/>
        <family val="2"/>
        <scheme val="minor"/>
      </rPr>
      <t xml:space="preserve"> anti-radar missile, US</t>
    </r>
  </si>
  <si>
    <r>
      <rPr>
        <b/>
        <sz val="11"/>
        <color theme="1"/>
        <rFont val="Calibri"/>
        <family val="2"/>
        <scheme val="minor"/>
      </rPr>
      <t xml:space="preserve"> - AIM-7 Sparrow</t>
    </r>
    <r>
      <rPr>
        <sz val="11"/>
        <color theme="1"/>
        <rFont val="Calibri"/>
        <family val="2"/>
        <scheme val="minor"/>
      </rPr>
      <t xml:space="preserve"> US air to air missile Ukraine got them</t>
    </r>
  </si>
  <si>
    <r>
      <rPr>
        <b/>
        <sz val="11"/>
        <color theme="1"/>
        <rFont val="Calibri"/>
        <family val="2"/>
        <scheme val="minor"/>
      </rPr>
      <t>AGM-158a JASSM</t>
    </r>
    <r>
      <rPr>
        <sz val="11"/>
        <color theme="1"/>
        <rFont val="Calibri"/>
        <family val="2"/>
        <scheme val="minor"/>
      </rPr>
      <t xml:space="preserve"> stealth cruise m., 1021kg, can be launched from air only specifically B1, B2, B52, F15, F16, F18 and in process to be certified for launch with F35, B21 and P8 Poseidon</t>
    </r>
  </si>
  <si>
    <r>
      <rPr>
        <b/>
        <sz val="11"/>
        <color theme="1"/>
        <rFont val="Calibri"/>
        <family val="2"/>
        <scheme val="minor"/>
      </rPr>
      <t>AGM-158b JASSM-ER</t>
    </r>
    <r>
      <rPr>
        <sz val="11"/>
        <color theme="1"/>
        <rFont val="Calibri"/>
        <family val="2"/>
        <scheme val="minor"/>
      </rPr>
      <t xml:space="preserve"> stealth cruise, 1200kg</t>
    </r>
  </si>
  <si>
    <r>
      <rPr>
        <b/>
        <sz val="11"/>
        <color theme="1"/>
        <rFont val="Calibri"/>
        <family val="2"/>
        <scheme val="minor"/>
      </rPr>
      <t>David's Sling battery</t>
    </r>
    <r>
      <rPr>
        <sz val="11"/>
        <color theme="1"/>
        <rFont val="Calibri"/>
        <family val="2"/>
        <scheme val="minor"/>
      </rPr>
      <t>, Israeli US launch system for Stunner missile replaces Patreon and Hawk for Israel.</t>
    </r>
  </si>
  <si>
    <r>
      <rPr>
        <b/>
        <sz val="11"/>
        <color theme="1"/>
        <rFont val="Calibri"/>
        <family val="2"/>
        <scheme val="minor"/>
      </rPr>
      <t xml:space="preserve"> - Stunner missile</t>
    </r>
    <r>
      <rPr>
        <sz val="11"/>
        <color theme="1"/>
        <rFont val="Calibri"/>
        <family val="2"/>
        <scheme val="minor"/>
      </rPr>
      <t xml:space="preserve"> long-range ground to air incl planes, drones, ballistic missiles at &lt;500km. Replaces Patriot SkyCepter and Hawk for Israel</t>
    </r>
  </si>
  <si>
    <r>
      <rPr>
        <b/>
        <sz val="11"/>
        <color theme="1"/>
        <rFont val="Calibri"/>
        <family val="2"/>
        <scheme val="minor"/>
      </rPr>
      <t xml:space="preserve">Patriot SkyCeptor </t>
    </r>
    <r>
      <rPr>
        <sz val="11"/>
        <color theme="1"/>
        <rFont val="Calibri"/>
        <family val="2"/>
        <scheme val="minor"/>
      </rPr>
      <t>(PAAC-4) US, Israel, two stage rocket, IR seeker; active radar seeker</t>
    </r>
  </si>
  <si>
    <r>
      <rPr>
        <b/>
        <sz val="11"/>
        <color theme="1"/>
        <rFont val="Calibri"/>
        <family val="2"/>
        <scheme val="minor"/>
      </rPr>
      <t>RIM-161 Standard Missile 3</t>
    </r>
    <r>
      <rPr>
        <sz val="11"/>
        <color theme="1"/>
        <rFont val="Calibri"/>
        <family val="2"/>
        <scheme val="minor"/>
      </rPr>
      <t xml:space="preserve"> (SM-3 Blk IIA) anti-ballistic missile and anti-satellite interceptor. </t>
    </r>
  </si>
  <si>
    <r>
      <rPr>
        <b/>
        <sz val="11"/>
        <color theme="1"/>
        <rFont val="Calibri"/>
        <family val="2"/>
        <scheme val="minor"/>
      </rPr>
      <t xml:space="preserve"> - Mark 41 VLS</t>
    </r>
    <r>
      <rPr>
        <sz val="11"/>
        <color theme="1"/>
        <rFont val="Calibri"/>
        <family val="2"/>
        <scheme val="minor"/>
      </rPr>
      <t xml:space="preserve"> vertical launching system, 15 tons 8 missile navy ship launcher for LRASM, Tomahawk, others 7.7 meters tall *5*5 meters for largest rockets</t>
    </r>
  </si>
  <si>
    <r>
      <rPr>
        <b/>
        <sz val="11"/>
        <color theme="1"/>
        <rFont val="Calibri"/>
        <family val="2"/>
        <scheme val="minor"/>
      </rPr>
      <t xml:space="preserve"> - M1000 </t>
    </r>
    <r>
      <rPr>
        <sz val="11"/>
        <color theme="1"/>
        <rFont val="Calibri"/>
        <family val="2"/>
        <scheme val="minor"/>
      </rPr>
      <t>Heavy Equipment Transport Semi-Trailer</t>
    </r>
  </si>
  <si>
    <r>
      <rPr>
        <b/>
        <sz val="11"/>
        <color theme="1"/>
        <rFont val="Calibri"/>
        <family val="2"/>
        <scheme val="minor"/>
      </rPr>
      <t xml:space="preserve"> - AN/APG-83</t>
    </r>
    <r>
      <rPr>
        <sz val="11"/>
        <color theme="1"/>
        <rFont val="Calibri"/>
        <family val="2"/>
        <scheme val="minor"/>
      </rPr>
      <t xml:space="preserve"> Scalable Agile Beam Radar (SABR). Most capable radar for F18 needed to navigate the AIM-260 or AIM-174B all the way to the target without using external radar aircraft like Hawkeye</t>
    </r>
  </si>
  <si>
    <r>
      <rPr>
        <b/>
        <sz val="11"/>
        <color theme="1"/>
        <rFont val="Calibri"/>
        <family val="2"/>
        <scheme val="minor"/>
      </rPr>
      <t xml:space="preserve">F35 </t>
    </r>
    <r>
      <rPr>
        <sz val="11"/>
        <color theme="1"/>
        <rFont val="Calibri"/>
        <family val="2"/>
        <scheme val="minor"/>
      </rPr>
      <t>NATO fighter jet radar invisible</t>
    </r>
  </si>
  <si>
    <r>
      <rPr>
        <b/>
        <sz val="11"/>
        <color theme="1"/>
        <rFont val="Calibri"/>
        <family val="2"/>
        <scheme val="minor"/>
      </rPr>
      <t xml:space="preserve"> - AIM-120D</t>
    </r>
    <r>
      <rPr>
        <sz val="11"/>
        <color theme="1"/>
        <rFont val="Calibri"/>
        <family val="2"/>
        <scheme val="minor"/>
      </rPr>
      <t xml:space="preserve"> air to air anti-aircraft missile</t>
    </r>
  </si>
  <si>
    <r>
      <rPr>
        <b/>
        <sz val="11"/>
        <color theme="1"/>
        <rFont val="Calibri"/>
        <family val="2"/>
        <scheme val="minor"/>
      </rPr>
      <t>Saab 340 AEW&amp;C</t>
    </r>
    <r>
      <rPr>
        <sz val="11"/>
        <color theme="1"/>
        <rFont val="Calibri"/>
        <family val="2"/>
        <scheme val="minor"/>
      </rPr>
      <t xml:space="preserve"> radar and control airplane</t>
    </r>
  </si>
  <si>
    <r>
      <rPr>
        <b/>
        <sz val="11"/>
        <color theme="1"/>
        <rFont val="Calibri"/>
        <family val="2"/>
        <scheme val="minor"/>
      </rPr>
      <t xml:space="preserve">Beriev A-50 </t>
    </r>
    <r>
      <rPr>
        <sz val="11"/>
        <color theme="1"/>
        <rFont val="Calibri"/>
        <family val="2"/>
        <scheme val="minor"/>
      </rPr>
      <t>(Russian AWACS, legacy)</t>
    </r>
  </si>
  <si>
    <r>
      <rPr>
        <b/>
        <sz val="11"/>
        <color theme="1"/>
        <rFont val="Calibri"/>
        <family val="2"/>
        <scheme val="minor"/>
      </rPr>
      <t>S-400</t>
    </r>
    <r>
      <rPr>
        <sz val="11"/>
        <color theme="1"/>
        <rFont val="Calibri"/>
        <family val="2"/>
        <scheme val="minor"/>
      </rPr>
      <t xml:space="preserve"> missile 40N6E many versions</t>
    </r>
  </si>
  <si>
    <r>
      <t>UK</t>
    </r>
    <r>
      <rPr>
        <sz val="11"/>
        <color theme="1"/>
        <rFont val="Calibri"/>
        <family val="2"/>
        <scheme val="minor"/>
      </rPr>
      <t xml:space="preserve"> D N </t>
    </r>
  </si>
  <si>
    <r>
      <t xml:space="preserve">Portugal </t>
    </r>
    <r>
      <rPr>
        <sz val="11"/>
        <color theme="1"/>
        <rFont val="Calibri"/>
        <family val="2"/>
        <scheme val="minor"/>
      </rPr>
      <t>D N E</t>
    </r>
  </si>
  <si>
    <r>
      <t xml:space="preserve">European Union </t>
    </r>
    <r>
      <rPr>
        <sz val="11"/>
        <color theme="1"/>
        <rFont val="Calibri"/>
        <family val="2"/>
        <scheme val="minor"/>
      </rPr>
      <t>= E</t>
    </r>
  </si>
  <si>
    <r>
      <t xml:space="preserve">Moldova </t>
    </r>
    <r>
      <rPr>
        <sz val="11"/>
        <color theme="1"/>
        <rFont val="Calibri"/>
        <family val="2"/>
        <scheme val="minor"/>
      </rPr>
      <t>D? (border Ukraine partly occupied by Russia)</t>
    </r>
  </si>
  <si>
    <r>
      <t xml:space="preserve">Serbia </t>
    </r>
    <r>
      <rPr>
        <sz val="11"/>
        <color theme="1"/>
        <rFont val="Calibri"/>
        <family val="2"/>
        <scheme val="minor"/>
      </rPr>
      <t>D? (export weapons to Europe that are donated to Ukraine)</t>
    </r>
  </si>
  <si>
    <r>
      <t xml:space="preserve">China </t>
    </r>
    <r>
      <rPr>
        <sz val="11"/>
        <color theme="1"/>
        <rFont val="Calibri"/>
        <family val="2"/>
        <scheme val="minor"/>
      </rPr>
      <t>A (note China is not a kleptocracy which IMO makes her morally superior to the AKs)</t>
    </r>
  </si>
  <si>
    <r>
      <t xml:space="preserve">Japan </t>
    </r>
    <r>
      <rPr>
        <sz val="11"/>
        <color theme="1"/>
        <rFont val="Calibri"/>
        <family val="2"/>
        <scheme val="minor"/>
      </rPr>
      <t>D</t>
    </r>
  </si>
  <si>
    <r>
      <t xml:space="preserve">Philippines </t>
    </r>
    <r>
      <rPr>
        <sz val="11"/>
        <color theme="1"/>
        <rFont val="Calibri"/>
        <family val="2"/>
        <scheme val="minor"/>
      </rPr>
      <t>D?</t>
    </r>
  </si>
  <si>
    <r>
      <t>New Zealand</t>
    </r>
    <r>
      <rPr>
        <sz val="11"/>
        <color theme="1"/>
        <rFont val="Calibri"/>
        <family val="2"/>
        <scheme val="minor"/>
      </rPr>
      <t xml:space="preserve"> D</t>
    </r>
  </si>
  <si>
    <t>North Korea threaten to annihilate South Korea</t>
  </si>
  <si>
    <r>
      <t>South Korea</t>
    </r>
    <r>
      <rPr>
        <sz val="11"/>
        <color theme="1"/>
        <rFont val="Calibri"/>
        <family val="2"/>
        <scheme val="minor"/>
      </rPr>
      <t xml:space="preserve"> D</t>
    </r>
  </si>
  <si>
    <r>
      <t>North Korea</t>
    </r>
    <r>
      <rPr>
        <sz val="11"/>
        <color theme="1"/>
        <rFont val="Calibri"/>
        <family val="2"/>
        <scheme val="minor"/>
      </rPr>
      <t xml:space="preserve"> AK </t>
    </r>
  </si>
  <si>
    <t>Russia trying to assimilate Ukraine</t>
  </si>
  <si>
    <r>
      <t>Ukraine</t>
    </r>
    <r>
      <rPr>
        <sz val="11"/>
        <color theme="1"/>
        <rFont val="Calibri"/>
        <family val="2"/>
        <scheme val="minor"/>
      </rPr>
      <t xml:space="preserve"> D (border Russia partly occupied)</t>
    </r>
  </si>
  <si>
    <r>
      <t xml:space="preserve">Poland </t>
    </r>
    <r>
      <rPr>
        <sz val="11"/>
        <color theme="1"/>
        <rFont val="Calibri"/>
        <family val="2"/>
        <scheme val="minor"/>
      </rPr>
      <t>D N E (border Russia and Belarus, donated 27 Mig-29)</t>
    </r>
  </si>
  <si>
    <r>
      <t xml:space="preserve">Ukraine mil. &amp; fin. supporters </t>
    </r>
    <r>
      <rPr>
        <sz val="11"/>
        <color theme="1"/>
        <rFont val="Calibri"/>
        <family val="2"/>
        <scheme val="minor"/>
      </rPr>
      <t>#8 to #37 summed</t>
    </r>
  </si>
  <si>
    <r>
      <t xml:space="preserve"> - Beirut</t>
    </r>
    <r>
      <rPr>
        <sz val="11"/>
        <color theme="1"/>
        <rFont val="Calibri"/>
        <family val="2"/>
        <scheme val="minor"/>
      </rPr>
      <t xml:space="preserve"> (Lebanon capital)</t>
    </r>
  </si>
  <si>
    <r>
      <t xml:space="preserve">Lebanon, </t>
    </r>
    <r>
      <rPr>
        <sz val="11"/>
        <color theme="1"/>
        <rFont val="Calibri"/>
        <family val="2"/>
        <scheme val="minor"/>
      </rPr>
      <t>27% Shia, Hizballah + good Shia</t>
    </r>
  </si>
  <si>
    <r>
      <t xml:space="preserve">Lebanon, </t>
    </r>
    <r>
      <rPr>
        <sz val="11"/>
        <color theme="1"/>
        <rFont val="Calibri"/>
        <family val="2"/>
        <scheme val="minor"/>
      </rPr>
      <t>27% Sunni, AQ, ISIS, Hamas + good Sunni</t>
    </r>
  </si>
  <si>
    <r>
      <t>Lebanon,</t>
    </r>
    <r>
      <rPr>
        <sz val="11"/>
        <color theme="1"/>
        <rFont val="Calibri"/>
        <family val="2"/>
        <scheme val="minor"/>
      </rPr>
      <t xml:space="preserve"> 41%, Christians</t>
    </r>
  </si>
  <si>
    <r>
      <t xml:space="preserve">Lebanon </t>
    </r>
    <r>
      <rPr>
        <sz val="11"/>
        <color theme="1"/>
        <rFont val="Calibri"/>
        <family val="2"/>
        <scheme val="minor"/>
      </rPr>
      <t>5% Druze</t>
    </r>
  </si>
  <si>
    <r>
      <t xml:space="preserve"> - Damascus </t>
    </r>
    <r>
      <rPr>
        <sz val="11"/>
        <color theme="1"/>
        <rFont val="Calibri"/>
        <family val="2"/>
        <scheme val="minor"/>
      </rPr>
      <t>(Syrian capital)</t>
    </r>
  </si>
  <si>
    <r>
      <t xml:space="preserve">Syria, </t>
    </r>
    <r>
      <rPr>
        <sz val="11"/>
        <color theme="1"/>
        <rFont val="Calibri"/>
        <family val="2"/>
        <scheme val="minor"/>
      </rPr>
      <t>13% Shia rulers with Russia and Iran aid</t>
    </r>
  </si>
  <si>
    <r>
      <t xml:space="preserve">Syria, </t>
    </r>
    <r>
      <rPr>
        <sz val="11"/>
        <color theme="1"/>
        <rFont val="Calibri"/>
        <family val="2"/>
        <scheme val="minor"/>
      </rPr>
      <t>8.5% Kurds, Sunni</t>
    </r>
  </si>
  <si>
    <r>
      <t xml:space="preserve">Syria, </t>
    </r>
    <r>
      <rPr>
        <sz val="11"/>
        <color theme="1"/>
        <rFont val="Calibri"/>
        <family val="2"/>
        <scheme val="minor"/>
      </rPr>
      <t>3% Turkmens Sunni</t>
    </r>
  </si>
  <si>
    <r>
      <t xml:space="preserve">Syria, </t>
    </r>
    <r>
      <rPr>
        <sz val="11"/>
        <color theme="1"/>
        <rFont val="Calibri"/>
        <family val="2"/>
        <scheme val="minor"/>
      </rPr>
      <t>62.5% Other Sunni AQ, ISIS + good Sunni</t>
    </r>
  </si>
  <si>
    <r>
      <t xml:space="preserve">Syria, </t>
    </r>
    <r>
      <rPr>
        <sz val="11"/>
        <color theme="1"/>
        <rFont val="Calibri"/>
        <family val="2"/>
        <scheme val="minor"/>
      </rPr>
      <t>10% Christians</t>
    </r>
  </si>
  <si>
    <r>
      <t xml:space="preserve">Syria, </t>
    </r>
    <r>
      <rPr>
        <sz val="11"/>
        <color theme="1"/>
        <rFont val="Calibri"/>
        <family val="2"/>
        <scheme val="minor"/>
      </rPr>
      <t>3% Druze</t>
    </r>
  </si>
  <si>
    <r>
      <t xml:space="preserve">Cyprus </t>
    </r>
    <r>
      <rPr>
        <sz val="11"/>
        <color theme="1"/>
        <rFont val="Calibri"/>
        <family val="2"/>
        <scheme val="minor"/>
      </rPr>
      <t>D E</t>
    </r>
  </si>
  <si>
    <t>https://en.wikipedia.org/wiki/Cyprus</t>
  </si>
  <si>
    <r>
      <t>USA</t>
    </r>
    <r>
      <rPr>
        <sz val="11"/>
        <color theme="1"/>
        <rFont val="Calibri"/>
        <family val="2"/>
        <scheme val="minor"/>
      </rPr>
      <t xml:space="preserve"> D N nuclear</t>
    </r>
  </si>
  <si>
    <r>
      <t xml:space="preserve">UK </t>
    </r>
    <r>
      <rPr>
        <sz val="11"/>
        <color theme="1"/>
        <rFont val="Calibri"/>
        <family val="2"/>
        <scheme val="minor"/>
      </rPr>
      <t>D N nuclear</t>
    </r>
  </si>
  <si>
    <r>
      <t xml:space="preserve">France </t>
    </r>
    <r>
      <rPr>
        <sz val="11"/>
        <color theme="1"/>
        <rFont val="Calibri"/>
        <family val="2"/>
        <scheme val="minor"/>
      </rPr>
      <t>D N E nuclear</t>
    </r>
  </si>
  <si>
    <t>AK=authoritarian kleptocracy, N=NATO, E=EU</t>
  </si>
  <si>
    <t>https://en.wikipedia.org/wiki/Mexican_Armed_Forces</t>
  </si>
  <si>
    <t>https://www.cia.gov/the-world-factbook/field/military-and-security-service-personnel-strengths/</t>
  </si>
  <si>
    <t>https://en.wikipedia.org/wiki/Armed_Forces_of_the_Argentine_Republic</t>
  </si>
  <si>
    <t>https://en.wikipedia.org/wiki/National_Bolivarian_Armed_Forces_of_Venezuela</t>
  </si>
  <si>
    <t>https://en.wikipedia.org/wiki/Singapore_Armed_Forces</t>
  </si>
  <si>
    <t>https://en.wikipedia.org/wiki/Cypriot_National_Guard</t>
  </si>
  <si>
    <r>
      <t xml:space="preserve">Poland, </t>
    </r>
    <r>
      <rPr>
        <sz val="11"/>
        <color theme="1"/>
        <rFont val="Calibri"/>
        <family val="2"/>
        <scheme val="minor"/>
      </rPr>
      <t>D N E (border Russia and Belarus)</t>
    </r>
  </si>
  <si>
    <t xml:space="preserve"> - GRAD 122mm</t>
  </si>
  <si>
    <t>spending in % of</t>
  </si>
  <si>
    <t>Hawkeye. Old F16s that Ukraine get do not have long range radar onboard that can guide missile for 160km so missile need to be guided by Hawkeye to hit Russian aircraft like helicopters operating closer than 60 km from frontline.</t>
  </si>
  <si>
    <t>To direct AIM-120D missiles fired from Ukraine F16s to hit any Russian aircraft and helicopters being closer than 60 km from frontlines</t>
  </si>
  <si>
    <t>Other aircraft with at least 600 km radar range. Perhaps Israel have a radar aircraft with needed range that Ukraine can buy. Alternative is to use Super Hornet see below.</t>
  </si>
  <si>
    <t>It is not fully commissioned for combat and US may still only have 3 functioning prototypes of aircraft.</t>
  </si>
  <si>
    <t>1950-1955</t>
  </si>
  <si>
    <t>https://youtu.be/E55uSCO5D2w?si=lENyiJIMmtQekxj1</t>
  </si>
  <si>
    <t>https://thebulletin.org/2021/11/the-untold-story-of-the-worlds-biggest-nuclear-bomb/</t>
  </si>
  <si>
    <t>Oct, 1961</t>
  </si>
  <si>
    <t>50 million ton TNT</t>
  </si>
  <si>
    <t>Hiroshima, nuclear fission bomb</t>
  </si>
  <si>
    <t>0.016 mega tons of TNT</t>
  </si>
  <si>
    <t>https://en.wikipedia.org/wiki/Atomic_bombings_of_Hiroshima_and_Nagasaki#Bombing_of_Hiroshima</t>
  </si>
  <si>
    <t>Aug, 1945</t>
  </si>
  <si>
    <t>https://en.wikipedia.org/wiki/GBU-57A/B_MOP</t>
  </si>
  <si>
    <t>12,300/2,080</t>
  </si>
  <si>
    <t xml:space="preserve"> - GBU-57A/B MOP Massive Ordnance Penetrator guided glider bunker buster capable of penetrating 61 meters of concrete</t>
  </si>
  <si>
    <t>https://en.wikipedia.org/wiki/GBU-57A/B_MOP#</t>
  </si>
  <si>
    <t>B2 bomber can carry 2 MOPs at a time in internal weapons bay.</t>
  </si>
  <si>
    <t>https://www.youtube.com/watch?v=BrBVudn-ev0</t>
  </si>
  <si>
    <t>To direct Stunner and SM-6 missiles to hit Russian high speed fighters dropping 3500 500kg glider bombs monthly by Nov, 2024 on Ukraine frontlines</t>
  </si>
  <si>
    <t xml:space="preserve">Russia will no longer be able to drop glider bombs from 70 km behind frontlines as they will be shot down. Russia can still drop rocket assisted weapons from over 200 km behind frontlines but they cost 10 times more (like 300,000 USD each see weapons spreadsheet) than the current glider bombs (30,000 USD each) and have smaller warheads. Russia will also not be able to use helicopters to supply weapons and evacuate wounded troops. Main effect is that Ukraine killing rates will go up meaning more Russians die per dead Ukraine troop. </t>
  </si>
  <si>
    <r>
      <rPr>
        <b/>
        <sz val="11"/>
        <color theme="1"/>
        <rFont val="Calibri"/>
        <family val="2"/>
        <scheme val="minor"/>
      </rPr>
      <t>S-300</t>
    </r>
    <r>
      <rPr>
        <sz val="11"/>
        <color theme="1"/>
        <rFont val="Calibri"/>
        <family val="2"/>
        <scheme val="minor"/>
      </rPr>
      <t xml:space="preserve"> missile 48N6P RUS many versions, 1800kg also ground attack Ukraine cant shoot it down</t>
    </r>
  </si>
  <si>
    <t>USA has so far refused to grant weapon because they are afraid of escalation. Problem with US escalation argument is that Russia is already as escalated as they possible can be with conventional weapons and they also deliberately target civilians and systematically kill and torture both Ukraine civilians and POW. Preventing Ukraine from using effective conventional weapons only serves to make Russian takeover of Ukraine more likely. It does not prevent any realistic escalation that Russia can make because using nuclear weapons is not realistic and Russia knows it. Another argument to not give Ukraine modern weapons is the fear that Russia can reverse engineer them if they capture one of these weapons. That argument is 95% false as 95% of the knowledge it takes to reverse engineer a weapon is in the blueprints of the many factories that produce weapon or the 1000s of parts that go into making the weapon. Point is these factory blueprints are not captured by Russia because they got their hands on the weapon so the weapons cant be reverse engineered. The more high tech the weapon the more impossible it will be to reverse engineer it.</t>
  </si>
  <si>
    <t>Use its Stunner missile to down Russian helicopters operating behind the frontlines. Also stop incoming cruise missiles and ballistic missiles</t>
  </si>
  <si>
    <t>Russia will not be able to drop guided glider bombs 70km from frontline. Russia could use rocket propelled bombs instead with over 200 km range but they cost about the same as the Stunner missile and they can also be shot down by Stunner missile. Another effect is that Russia cant use their attack helicopters to attack Ukraine forces at the front line and they cant use their transport helicopters to deliver supplies and evacuate wounded troops.</t>
  </si>
  <si>
    <t>Alternative is the Typhon SM-6 combo or the Super hornet with newest radar APG-83 on bord firing AIM-174B or AI-260</t>
  </si>
  <si>
    <t>The SM-6 is a much more expensive alternative. Super Hornet with APG-83 radar and AIM-260 is a very capable alternative that can be operational without need for Hawkeye so likely faster. However, the AIM-260 is still only in limited production.</t>
  </si>
  <si>
    <t>Kinetic warhead can hit aircraft and missiles that are making evasive maneuvers.</t>
  </si>
  <si>
    <t xml:space="preserve">Launched from 100 to 150 km from frontline using Stunner launcher a mobile system with 6 launch tubes vertical launch to down Russian aircraft dropping glider bombs 70 km from frontline. Will also shoot down Russian Iskandar ballistic missiles and Russian cruise missiles. </t>
  </si>
  <si>
    <t>Shoot down Russian attack and transportation helicopters at the frontlines</t>
  </si>
  <si>
    <t>Alternative is the Typhon SM-6 combo or the Super hornet with newest radar APG-83 on bord firing AIM-174B or AI-261</t>
  </si>
  <si>
    <t>Many other nations especially Taiwan may also want to acquire this weapon so they can launch SM-6 missiles and protect their country. Ukraine should be the higher priority for US to deliver the Typhon as it can be used today to start degrading the Air Force of the most vicious enemy of freedom and democracy namely Russia. Also what Taiwan really need to prevent and deter a China invasion is the AGM-158c and d anti ship missiles. Taiwan can launch them using aircraft or the Mk 41 ship launcher that can be set up on land  as well.</t>
  </si>
  <si>
    <t>Alternative to launch SM-6 is the F/A-18E/F Super Hornet that Ukraine do not have. Ukraine should get them ASAP but will still take some time before Ukraine pilots and maintenance staff can be trained for the Super Hornet. Also Tomahawk is not designed for air launch but for ship launch. Typhon is only option for Tomahawk that can be deployed within a few month. An alternative launch system for Tomahawk is the Mark 41 on top of a M1000 see below under Anti-aircraft systems for explanation.</t>
  </si>
  <si>
    <t>Typhon ground launcher, Air launch by Boeing F/A-18E/F Super Hornet (not Ukraine F16 or Mig-29), Ship launch by Mark-41 for large navy ships only as Mark-41 is 8 meters tall.</t>
  </si>
  <si>
    <t>Patriot does not have the range to be an alternative with max range of 180km for Patriot SkyCepter. However, the Super Hornet with AIM-260 missiles is a possible alternative that also do not require the Hawkeye because newest radar in Super Hornet is powerful enough to support 220 km range of AIM-260.</t>
  </si>
  <si>
    <r>
      <rPr>
        <b/>
        <sz val="11"/>
        <color theme="1"/>
        <rFont val="Calibri"/>
        <family val="2"/>
        <scheme val="minor"/>
      </rPr>
      <t>Arrow 3</t>
    </r>
    <r>
      <rPr>
        <sz val="11"/>
        <color theme="1"/>
        <rFont val="Calibri"/>
        <family val="2"/>
        <scheme val="minor"/>
      </rPr>
      <t xml:space="preserve"> Israeli anti-ballistic missile and anti-satellite rocket. My investigation into this weapon makes me conclude it is highly likely to also be able to reenter atmosphere and target airplanes and missiles and even ground targets. See notes for more info.</t>
    </r>
  </si>
  <si>
    <t>Israel may not be willing to sell missile because they need it for their own war or Israel will not sell because they want to surprise Iran with the ability to shoot down aircraft that Iran may not believe Israel can do.</t>
  </si>
  <si>
    <t>Hawkeye. Will only be able to hit low flying aircraft over 50 km from launcher if missile can be guided by Hawkeye or similar airborne radar.</t>
  </si>
  <si>
    <t>It could take a year getting Ukraine pilots, radar crew and repair staff trained for Hawkeye to be operational. This is no excuse for not getting started as Ukraine will need Hawkeye regardless of whether the war will continue for years more or whether it will end sooner. In any case Ukraine need a strong military to keep defending their country against Russian attacks. A shortcut could be to get Hawkeye in service for Ukraine in a few months using American contractors to both fly and maintain aircraft that operate 250 km behind enemy lines and therefore are not at risk of being shot down by Russia over Russian controlled territory. Biden approved the use of US contractors in Ukraine in November 2024.</t>
  </si>
  <si>
    <t>I do not know of other aircraft that got the needed 600 km radar range. The Saab 340 that Ukraine got has too short radar range 400 km to be useful for 90% of Ukraine's frontlines.</t>
  </si>
  <si>
    <t>To fuel the Hawkeye mid air so its operational time can be extended from 8H per flight to 13H. Then only 2 Hawkeye is needed for 24/7 coverage. In the beginning Ukraine will only have 1 Hawkeye so it needs to be flown as much as possible and the airtanker can help to get more flight hours to serve battlefield operations.</t>
  </si>
  <si>
    <t>It is stealth and potentially can be used for surveillance that it is also capable of. However, it will not happen for a number of good reasons 1) only 3 prototypes exist currently and you do not want to lose it over Russian controlled territory, 2) Russia could fine tune their radars to detect it making it less useful for future use, 3) Ukraine need it for air refueling of Hawkeye until they have 4 operational Hawkeyes in Ukraine service.</t>
  </si>
  <si>
    <t>Sweden has a KC-130 Hercules fuel tanker that they could operate from Polish airspace to fuel the Ukraine Hawkeyes</t>
  </si>
  <si>
    <r>
      <rPr>
        <b/>
        <sz val="11"/>
        <color theme="1"/>
        <rFont val="Calibri"/>
        <family val="2"/>
        <scheme val="minor"/>
      </rPr>
      <t>Shahed</t>
    </r>
    <r>
      <rPr>
        <sz val="11"/>
        <color theme="1"/>
        <rFont val="Calibri"/>
        <family val="2"/>
        <scheme val="minor"/>
      </rPr>
      <t xml:space="preserve"> long-range  heavy duty drones &gt;1000 km</t>
    </r>
  </si>
  <si>
    <r>
      <t xml:space="preserve">Guided </t>
    </r>
    <r>
      <rPr>
        <b/>
        <sz val="11"/>
        <color theme="1"/>
        <rFont val="Calibri"/>
        <family val="2"/>
        <scheme val="minor"/>
      </rPr>
      <t>glider bombs</t>
    </r>
    <r>
      <rPr>
        <sz val="11"/>
        <color theme="1"/>
        <rFont val="Calibri"/>
        <family val="2"/>
        <scheme val="minor"/>
      </rPr>
      <t xml:space="preserve"> 70km</t>
    </r>
  </si>
  <si>
    <t>Because of old radar in F16 with only 83km range it is unsuited to hunt for Russian aircraft dropping glider bombs 70 km behind the frontlines. Instead its primary function is to hunt for incoming Russian cruise missiles and larger surveillance aircraft using the AIM-7 missile that Ukraine already uses with its F16. It can also be used for shooting down Shahed drones. However, Russia has increased production of Shahed drones to over 2000 per month and decreased production cost. This trend will continue and the cost of future Shaheds (could be as low as 30,000 USD) will be far less than the anti-aircraft missiles the F16 can fire that cost 125,000 USD each. So Ukraine need cheaper methods to deal with Shaheeds like more electronic warfare and more old style anti-aircraft guns.</t>
  </si>
  <si>
    <t>The effect of Ukraine F16s will increase with more aircraft obviously. They need 300 F16s and Europe got them. Effect of F16 will also be higher if they can launch the JASSMs listed above in table. Also effect of F16 will be much higher if Ukraine got the Hawkeye so it can launch the AIM-120D missile on Russian air target up to 160km from F16 and up to 60 km behind the frontlines.</t>
  </si>
  <si>
    <t>No problem if Europe has the will to support democracy and freedom in Europe</t>
  </si>
  <si>
    <t>No other use</t>
  </si>
  <si>
    <t>The missile only destroy the radar of a S300 or S400 battery. It does not destroy launch and control vehicles so Russia can get their batteries operational fast if they got more radar vehicles in reserve. Also the HARM missile will miss its target if Russian S300 and S400 battery discover it in time and turn off their radar.</t>
  </si>
  <si>
    <t>JASSMs and ATACAMS can be used to hit Russian S300 and S400 batteries</t>
  </si>
  <si>
    <t>No problems</t>
  </si>
  <si>
    <t xml:space="preserve">Used to shoot down Russian cruise missiles </t>
  </si>
  <si>
    <t>Used to shoot down Russian Shahed drones</t>
  </si>
  <si>
    <t>Will make Russian cruise missile attacks and Shahed attacks less effective at destroying Ukraine</t>
  </si>
  <si>
    <t>AIM-9M Sidewinder missile</t>
  </si>
  <si>
    <t>The AIM-9M Sidewinder  cost 400,000 USD each</t>
  </si>
  <si>
    <t>Ukraine pilot that fly F16 could likely be trained on Super Hornet in just 6 months and US contractors that Biden just allowed to be used by Ukraine in November 2024 can do the maintenance of the Super Hornet aircraft.</t>
  </si>
  <si>
    <t xml:space="preserve">If Ukraine got Hawkeye the missile can be used to shoot down Russian helicopters operating up to 50 km from frontline. </t>
  </si>
  <si>
    <t>Russia will not be able to use helicopters up to 50 kilometers from frontline to supply troops and evacuate wounded.</t>
  </si>
  <si>
    <t>If US will deliver and Europe will pay no problems getting weapon.</t>
  </si>
  <si>
    <t>Super Hornet with AIM-174B and AIM-260</t>
  </si>
  <si>
    <t>See below</t>
  </si>
  <si>
    <t xml:space="preserve">This is the longest range anti-aircraft weapon the F16 can fire. It can only use that range if Ukraine get Hawkeye radar aircraft and even with that support the range of missile is not enough to shoot down Russian fighters dropping glider bombs from 70km from frontline. Ukraine will have to take risk and lose some aircraft and pilots in the process. This is avoidable if Ukraine can get Super Hornet with AN/APG-83 radar and AIM260 instead see below. </t>
  </si>
  <si>
    <t>Ukraine need the Super Hornet because only NATO aircraft that currently is combat ready to fire AIM-174B and AIM-260 and also got the radar AN/APG-83 with enough range to control AIM-174B and AIM-260 all the way to the target without need for airborne radar like the Hawkeye.</t>
  </si>
  <si>
    <t>This radar does not come standard but must be ordered when buying the Super Hornet. It has an amazing 370 km range up from only 83km for the radar in Ukraine F16s. The 370km range is needed to fire and control AIM-174B and AIM-260 all the way to the target without need for airborne radar like the Hawkeye.</t>
  </si>
  <si>
    <t>161kg weight is not public but missile is similar in size as AIM-120D so should be about the same weight</t>
  </si>
  <si>
    <t>When fired from F18 with AN/APG-83 radar it can hit targets independently of other weapon systems like the Hawkeye</t>
  </si>
  <si>
    <t>F/A-18E/F Super Hornet is only aircraft that currently exist in NATO and that can launch the AIM-174B</t>
  </si>
  <si>
    <t>F/A-18E/F Super Hornet is only aircraft that currently exist in NATO and that can launch the AIM-260</t>
  </si>
  <si>
    <t xml:space="preserve">This radar can be installed in F16, F18, F22, F35, B52, B-1 Lancer. It is designed to fit F-16 aircraft with no structural, power or cooling modifications. However, problem for Ukraine with getting this radar on their F16s if possible because they got an old aircraft F16 AM/BM is that F16 is still not approved to fire AIM-174B and AIM-260 that Ukraine need to stop Russian fighter jets dropping guided glider bombs. Therefore, instead Ukraine should insist they get 20 F18 with this APG-83 radar and also the AIM-174B and AIM-260 missiles. That combination will enable Ukraine to shoot down Russian aircraft dropping glider bombs and do it without any need for Hawkeye. Super Hornet may be the fastest way to start targeting Russian fighters. As Ukraine F16 pilots could fly the F18 with only 6 more months of training. </t>
  </si>
  <si>
    <t>Used to shoot down Russian aircraft dropping glider bombs from 70km behind frontlines on the Ukraine frontlines</t>
  </si>
  <si>
    <t>Shoot down Russian attack helicopters and Russian ballistic missiles.</t>
  </si>
  <si>
    <t>End 3500 monthly Russian glider bomb attacks with 500kg bombs on Ukraine frontlines. This will cause far less Ukraine troops to die and greatly increase the Ukraine kill ratios that should be 20 or higher meaning 20 killed Russians for every killed Ukraine.</t>
  </si>
  <si>
    <t>The AIM-174B is in short supply only 180 are make per year currently.</t>
  </si>
  <si>
    <t>AIM-260</t>
  </si>
  <si>
    <t>AIM-174B</t>
  </si>
  <si>
    <t>Alternative weapons are also in short supply</t>
  </si>
  <si>
    <t>Shoot down Russian attack helicopters.</t>
  </si>
  <si>
    <t>Sum of cost for all game changing weapons</t>
  </si>
  <si>
    <t>https://en.wikipedia.org/wiki/October_2024_Israeli_strikes_on_Iran</t>
  </si>
  <si>
    <t>26 Oct, 2024</t>
  </si>
  <si>
    <t xml:space="preserve">This was Israel retalitory airstrikes on Iran's ballistic missile attact on Israel the 1 Oct, 2024. Israel </t>
  </si>
  <si>
    <t>https://en.wikipedia.org/wiki/October_2024_Iranian_strikes_against_Israel</t>
  </si>
  <si>
    <t>I guest each air strike cost 50,000 USD each including cost of weapon used (JDAM glider bomb that cost 30,000 USD each) as well as cost of maitanance and wear of aircraft used</t>
  </si>
  <si>
    <t>1 Oct, 2024</t>
  </si>
  <si>
    <t>Iran ballistic missile attack on Israel, Oct, 2024</t>
  </si>
  <si>
    <t xml:space="preserve">My estimate of average cost to Israel per sortie for this specific attack that involved the use of likely 40 </t>
  </si>
  <si>
    <t xml:space="preserve"> - Rampage, ballistic air to ground missile</t>
  </si>
  <si>
    <t>https://en.wikipedia.org/wiki/Rampage_(missile)</t>
  </si>
  <si>
    <t>Jun, 2018-</t>
  </si>
  <si>
    <t>This is reportedly the main weapon Israel used to attack Iran with on 26 oct, 2024, launching from F35s</t>
  </si>
  <si>
    <t>150</t>
  </si>
  <si>
    <t>Shape charge bunker busting</t>
  </si>
  <si>
    <t>https://www.reuters.com/world/middle-east/israels-strikes-iran-spark-interest-air-launched-ballistic-missiles-2024-11-04/</t>
  </si>
  <si>
    <t xml:space="preserve"> - ROCKS air to ground ballistic missile F16, F35 designed to hit Iran and be difficult to shoot down or jam</t>
  </si>
  <si>
    <t>Jun, 2024-</t>
  </si>
  <si>
    <t>https://www.jpost.com/business-and-innovation/all-news/article-805327</t>
  </si>
  <si>
    <t>F-16, F-15, F/A-18E/F, Eurofighter Typhoon, IAI Kfir, Sukhoi Su-30MKI, SEPECAT Jaguar, MiG-29K also F35 as it was reportedly also used by Israel to attack Iran on Oct, 2024</t>
  </si>
  <si>
    <t>Warhead is blast fragmentation and bunker buster likely similar to JASSM. The rocket engine is a Sparrow missile booster. Weapon was used by Israel to hit Iran on Oct2024</t>
  </si>
  <si>
    <t>https://www.twz.com/news-features/israels-reprisal-strike-carefully-calculated-unclear-if-jets-ever-flew-over-iran</t>
  </si>
  <si>
    <t xml:space="preserve"> - Air-LORA Israeli air to ground ballistic missile, same as LORA but air launched </t>
  </si>
  <si>
    <r>
      <t xml:space="preserve">Turkey </t>
    </r>
    <r>
      <rPr>
        <sz val="11"/>
        <color theme="1"/>
        <rFont val="Calibri"/>
        <family val="2"/>
        <scheme val="minor"/>
      </rPr>
      <t>AK N (Islamist rule opposition is oppressed want Israel destroyed)</t>
    </r>
  </si>
  <si>
    <t xml:space="preserve">Iran-Turkey/Islamists proxies trying to annihilate Israel </t>
  </si>
  <si>
    <t>https://en.wikipedia.org/wiki/Python_(missile)</t>
  </si>
  <si>
    <t>11</t>
  </si>
  <si>
    <t>Aircraft: CASA C-101 Aviojet, F-4E Kurnass 2000 F-5E/F Tiger-II, McDonnell Douglas F-15 Eagle. General Dynamics, F-16 Fighting Falcon[1], Dassault Mirage II, Dassault Mirage 5, Dassault Mirage 2000, IAI Nesher/Dagger/Finger, IAI Kfir, BAE Sea Harrier, HAL Tejas, SAAB Gripen NG[2], Sukhoi Su-30MKI[citation needed], Su-25KM Scorpion[3]</t>
  </si>
  <si>
    <t xml:space="preserve"> - Python 5 latest iteration of Python air to air missile</t>
  </si>
  <si>
    <t>https://en.wikipedia.org/wiki/Python_(missile)#I-Derby_ER</t>
  </si>
  <si>
    <t>https://breakingdefense.com/2023/06/rafael-announces-new-6th-gen-air-to-air-missile-sky-spear/</t>
  </si>
  <si>
    <t>Is not in full scale production will await international orders</t>
  </si>
  <si>
    <t xml:space="preserve"> - Sky Spear Sky Spear long-range (over 100km) air to air missile</t>
  </si>
  <si>
    <t>https://www.rafael.co.il/system/sky-sting-6th-gen/</t>
  </si>
  <si>
    <t>2001-</t>
  </si>
  <si>
    <t>https://en.wikipedia.org/wiki/Hsiung_Feng_IIE</t>
  </si>
  <si>
    <t>Sky Spear, ballistic missile ground to ground Taiwan made</t>
  </si>
  <si>
    <t>Hsiung Feng IIE cruise missile ground to ground Taiwan made</t>
  </si>
  <si>
    <t>90M</t>
  </si>
  <si>
    <t>https://en.wikipedia.org/wiki/Sky_Spear</t>
  </si>
  <si>
    <t>The sources are too contradictory for me to consider this weapon any further</t>
  </si>
  <si>
    <t>Ground vehicle erector or silo launched</t>
  </si>
  <si>
    <t>Ship or ground launch from inside standard shipping container. air launched from 2024</t>
  </si>
  <si>
    <t>High explosive, bomblets or high speed penetrator warhead</t>
  </si>
  <si>
    <t>Air launched from 2024 using F35 or F16 (I speculate weapon is 1300kg if air launched because it will not need a booster rocket that typically is 300kg. 1200kg is what the F16 can carry)</t>
  </si>
  <si>
    <t>1980?</t>
  </si>
  <si>
    <r>
      <rPr>
        <b/>
        <sz val="11"/>
        <color theme="1"/>
        <rFont val="Calibri"/>
        <family val="2"/>
        <scheme val="minor"/>
      </rPr>
      <t>ROCKS</t>
    </r>
    <r>
      <rPr>
        <sz val="11"/>
        <color theme="1"/>
        <rFont val="Calibri"/>
        <family val="2"/>
        <scheme val="minor"/>
      </rPr>
      <t xml:space="preserve"> Israeli air to ground ballistic missile F16, F35 designed to hit Iran and be difficult to shoot down or jam</t>
    </r>
  </si>
  <si>
    <t>daily</t>
  </si>
  <si>
    <t>Israeli air strikes on Iran, Oct, 2024, 100 air sorties</t>
  </si>
  <si>
    <t>All rocket attacks on Israel from Iran measured from 7 Oct, 2023 to 7 Oct, 2024</t>
  </si>
  <si>
    <t>Israeli use of weapons in Israeli war: 7 Oct, 2023-</t>
  </si>
  <si>
    <t>https://en.wikipedia.org/wiki/7_October_Hamas-led_attack_on_Israel</t>
  </si>
  <si>
    <t>Russian weapons use in Ukraine war: 24 Feb, 2022-</t>
  </si>
  <si>
    <t>https://en.wikipedia.org/wiki/Russo-Ukrainian_War</t>
  </si>
  <si>
    <t>Ukraine weapons use in Ukraine war: 24 Feb, 2022-</t>
  </si>
  <si>
    <t>F16 + Missile needs navigation maps of Russia that the US got through satellite data. If no navigation maps the missile can likely still be launched using inertial navigation and GPS. You also need targeting data and targeting evaluation data that can also be provided by a combination of satellite images and old school intelligence gathering.</t>
  </si>
  <si>
    <t>Israeli vehicle erector launcher.</t>
  </si>
  <si>
    <t>Vehicle launcher + Missile needs navigation maps of Russia that the US got through satellite data. If no navigation maps the missile can likely still be launched using inertial navigation and GPS. You also need targeting data and targeting evaluation data that can also be provided by a combination of satellite images and old school intelligence gathering.</t>
  </si>
  <si>
    <t>my best guess. Very large 30 ton missile.</t>
  </si>
  <si>
    <t>8M</t>
  </si>
  <si>
    <t>Best alternative is ROCKS, Air-LORA and LORA however Israel may not have enough to sell and they cost more because they are ballistic missiles not a cheaper cruise missile that is much easier to build. Ukraine need 2000. Other alternative is AGM-158c-ER and AGM-158d-XR but they are in short supply (annual production is 1100 and few stocks) and are needed more to defend Taiwan and deter China invasion as they unlike the JASSMs can be used to target ships and also launch from many more platforms than just air.</t>
  </si>
  <si>
    <t>Hawkeye. Need airborne radar with minimum 600km radar range to be able to target Russian aircraft from a safe distance for the radar aircraft.</t>
  </si>
  <si>
    <t>Hawkeye. David's sling battery system and airborne radar by Hawkeye or Super hornet with AN/APG-83 radar to detect low flying Russian helicopters aircraft or cruise missiles. This weapon is lowest cost by far globally for what it can do. Only missile globally that cost effectively can stop ballistic missiles and cruise missiles that easily cost 2 to 5 million USD each.</t>
  </si>
  <si>
    <t xml:space="preserve">Hawkeye. Has its own ground based radar to hit high flying aircraft and missiles. For low flying aircraft and cruise missiles it needs target data from airborne radar from Hawkeye or Super Hornet with AN/APG-83 Scalable Agile Beam Radar. </t>
  </si>
  <si>
    <t>High explosive, bomblets or high speed penetrator warhead bunker buster same as JASSM but more effective because higher speed</t>
  </si>
  <si>
    <t>Also military (air) bases, military factories, oil refineries, oil depots and power stations should be targeted. Weapon can also be used to destroy Russian S300 and S400 anti-aircraft launchers located some 100 to 150 km behind frontlines.</t>
  </si>
  <si>
    <t>Bunker busting warhead with steel penetrator same as JASSM. Also function as blast fragmentation when programmed to explode over target say and airport.</t>
  </si>
  <si>
    <t>in kg</t>
  </si>
  <si>
    <r>
      <rPr>
        <b/>
        <sz val="11"/>
        <color theme="1"/>
        <rFont val="Calibri"/>
        <family val="2"/>
        <scheme val="minor"/>
      </rPr>
      <t xml:space="preserve">LORA </t>
    </r>
    <r>
      <rPr>
        <sz val="11"/>
        <color theme="1"/>
        <rFont val="Calibri"/>
        <family val="2"/>
        <scheme val="minor"/>
      </rPr>
      <t>Israeli ballistic missile, ground launch from inside standard shipping container</t>
    </r>
  </si>
  <si>
    <r>
      <rPr>
        <b/>
        <sz val="11"/>
        <color theme="1"/>
        <rFont val="Calibri"/>
        <family val="2"/>
        <scheme val="minor"/>
      </rPr>
      <t xml:space="preserve">Air-LORA </t>
    </r>
    <r>
      <rPr>
        <sz val="11"/>
        <color theme="1"/>
        <rFont val="Calibri"/>
        <family val="2"/>
        <scheme val="minor"/>
      </rPr>
      <t>Israeli air to ground ballistic missile, same as LORA but air launched F16 +F35</t>
    </r>
  </si>
  <si>
    <t>Air launched from 2024 using F35 or F16 (I speculate weapon is 1300kg if air launched because it will not need a booster rocket that typically is 300kg. 1300kg is what the F16 can carry max on one weapons bay)</t>
  </si>
  <si>
    <t>Blast fragmentation, cluster or nuclear 450 kg warhead. Ukraine need the cluster warhead in particular for destroying Russian aircraft at military bases far away from Ukraine.</t>
  </si>
  <si>
    <t>Kinetic</t>
  </si>
  <si>
    <t>https://youtu.be/A7Cb1bpy0ww?si=wWp0nZiR1U6yr78A&amp;t=39</t>
  </si>
  <si>
    <t>It can carry 1 ton payload for 8046 km or about 6.8 tons of fuel for 1000 km</t>
  </si>
  <si>
    <t>km/h</t>
  </si>
  <si>
    <t>in</t>
  </si>
  <si>
    <t>Time to</t>
  </si>
  <si>
    <t>target</t>
  </si>
  <si>
    <t xml:space="preserve">Wiki say it cost 3 million USD but with 2400km range that is simply too low for a ballistic missile. So I have bumped it up to 6 million USD. https://en.wikipedia.org/wiki/Arrow_3 Another source say Arrow3 cost 2 million and Arrow 2 cost 1.5 million. See https://en.globes.co.il/en/article-israel-replaces-patriot-with-davids-sling-1001477726 Again I think these cost are much too low. </t>
  </si>
  <si>
    <t>https://en.wikipedia.org/wiki/David%27s_Sling#Current_operators see also https://en.globes.co.il/en/article-israel-replaces-patriot-with-davids-sling-1001477726</t>
  </si>
  <si>
    <t>Min/Hours/Seconds</t>
  </si>
  <si>
    <t>1.3M</t>
  </si>
  <si>
    <t xml:space="preserve">Key Russian weapons Ukraine must defeat </t>
  </si>
  <si>
    <t>How to defeat</t>
  </si>
  <si>
    <t>5.6M</t>
  </si>
  <si>
    <r>
      <rPr>
        <b/>
        <sz val="11"/>
        <color theme="1"/>
        <rFont val="Calibri"/>
        <family val="2"/>
        <scheme val="minor"/>
      </rPr>
      <t xml:space="preserve"> - AIM-174B</t>
    </r>
    <r>
      <rPr>
        <sz val="11"/>
        <color theme="1"/>
        <rFont val="Calibri"/>
        <family val="2"/>
        <scheme val="minor"/>
      </rPr>
      <t xml:space="preserve"> (aka SM-6), air to air version of SM-6, 860 kg</t>
    </r>
  </si>
  <si>
    <t xml:space="preserve">Use Tomahawk to push the A50 staging airport 1600 km away from Ukraine. Will cut their operational time per sortie from 8 hours to 4 hours. Alternatively Arrow 3 to shoot them down in mid air when operating. </t>
  </si>
  <si>
    <r>
      <rPr>
        <b/>
        <sz val="11"/>
        <color theme="1"/>
        <rFont val="Calibri"/>
        <family val="2"/>
        <scheme val="minor"/>
      </rPr>
      <t>ATACMS</t>
    </r>
    <r>
      <rPr>
        <sz val="11"/>
        <color theme="1"/>
        <rFont val="Calibri"/>
        <family val="2"/>
        <scheme val="minor"/>
      </rPr>
      <t xml:space="preserve">  - 610mm MGM-140 , land launched ballistic missile</t>
    </r>
  </si>
  <si>
    <t>HIMARS M142/M270 rocket launchers that Ukraine already got</t>
  </si>
  <si>
    <t xml:space="preserve">Cluster warhead. Ukraine got ATACMS but Biden administration will not permit Ukraine to attack Russian airports and they don’t get many of these weapons maybe 5 per month so not enough to be effective. They will be effective if Ukraine get 100 per month and are permitted to use them on Russian airports. </t>
  </si>
  <si>
    <t>HIMARS M142/M270 rocket launchers that Ukraine already got plus intelligence about where to send weapon.</t>
  </si>
  <si>
    <t>No problem. The weapon is obsolete and is being replaced by PrsM ballistic missile with 500km range. Also US got over 3500 on stock.</t>
  </si>
  <si>
    <t>AGM-158a, ROCKS, LORA and Air-LORA</t>
  </si>
  <si>
    <t>None</t>
  </si>
  <si>
    <t>Panavia PA-200 Tornado IDS, Saab JAS-39C Gripen, McDonnell Douglas F-15K Slam Eagle, McDonnell Douglas F/A-18A+ Hornet, Eurofighter Typhoon EF-2000. To launch from F16 will take 1.5 years of preparation. To launch from Su-24 will take 6 month.</t>
  </si>
  <si>
    <t>https://en.defence-ua.com/weapon_and_tech/the_adaptation_of_taurus_cruise_missiles_for_ukrainian_su_24ms_would_take_6_months_for_the_f_16_15_years_and_there_are_other_important_details_about_this_missile-8457.html</t>
  </si>
  <si>
    <r>
      <rPr>
        <b/>
        <sz val="11"/>
        <color theme="1"/>
        <rFont val="Calibri"/>
        <family val="2"/>
        <scheme val="minor"/>
      </rPr>
      <t xml:space="preserve">Taurus </t>
    </r>
    <r>
      <rPr>
        <sz val="11"/>
        <color theme="1"/>
        <rFont val="Calibri"/>
        <family val="2"/>
        <scheme val="minor"/>
      </rPr>
      <t>GE KEPD air launched cruise m. Super Hornet</t>
    </r>
  </si>
  <si>
    <t>Bunker buster. Multistage BROACH penetration warhead</t>
  </si>
  <si>
    <r>
      <rPr>
        <b/>
        <sz val="11"/>
        <color theme="1"/>
        <rFont val="Calibri"/>
        <family val="2"/>
        <scheme val="minor"/>
      </rPr>
      <t xml:space="preserve">Storm Shadow </t>
    </r>
    <r>
      <rPr>
        <sz val="11"/>
        <color theme="1"/>
        <rFont val="Calibri"/>
        <family val="2"/>
        <scheme val="minor"/>
      </rPr>
      <t>UK and France air launched cruise missile, Ukraine use Su-24 for air launch</t>
    </r>
  </si>
  <si>
    <r>
      <rPr>
        <b/>
        <sz val="11"/>
        <color theme="1"/>
        <rFont val="Calibri"/>
        <family val="2"/>
        <scheme val="minor"/>
      </rPr>
      <t>AGM-158d -XR</t>
    </r>
    <r>
      <rPr>
        <sz val="11"/>
        <color theme="1"/>
        <rFont val="Calibri"/>
        <family val="2"/>
        <scheme val="minor"/>
      </rPr>
      <t xml:space="preserve"> stealth cruise missile, can hit moving or stationary targets at sea or land. Can be launched from ships, airplanes F15, F18, B-1B, Boing P-8 and likely also from the Typhon ground launcher</t>
    </r>
  </si>
  <si>
    <t>Ukraine launch using Su-24 that was adapted to launch weapon</t>
  </si>
  <si>
    <t xml:space="preserve">To launch from F16 will take 1.5 years of preparation. To launch from Su-24 will take 6 month. Otherwise weapon is ready for launch with Panavia PA-200 Tornado IDS, Saab JAS-39C Gripen, McDonnell Douglas F-15K Slam Eagle, McDonnell Douglas F/A-18A+ Hornet, Eurofighter Typhoon EF-2000. </t>
  </si>
  <si>
    <t>Need to be made ready to launch from Su-24</t>
  </si>
  <si>
    <t>&gt;8</t>
  </si>
  <si>
    <t>&gt;2</t>
  </si>
  <si>
    <t>https://news.usni.org/2024/01/18/army-activates-latest-land-based-sm-6-tomahawk-battery-based-on-navy-tech</t>
  </si>
  <si>
    <t>60 km =160-100 if Russia got A50 radar aircraft to control the S300 and S400 missiles the F16 are not safe unless they stay 100 km from frontline. Note this range 160km is not enough to attack Russian aircraft dropping glider bombs from 70 km behind the frontline. Range increases to 110 km =160-50 if Russia don't have any A50 radar aircraft left to direct fire from their S300 and S400 missiles at low flying aircraft. This range is plenty to attack Russian aircraft dropping glider bombs using the AIM-120D missile in combination with radar guidance from Hawkeye.</t>
  </si>
  <si>
    <t>Taiwan situation needs them more than Ukraine</t>
  </si>
  <si>
    <t>to date</t>
  </si>
  <si>
    <t># made</t>
  </si>
  <si>
    <t xml:space="preserve">per </t>
  </si>
  <si>
    <t>year</t>
  </si>
  <si>
    <t>0 most likely terminated and replaced with an upgraded version of AGM-158c that can be used for targeting ships, fixed ground targets and moving ground targets just like the AGM-158d-XR</t>
  </si>
  <si>
    <t>My best guess. Tomahawk can be fired from Typhon and submarines and ships and has long range and low price so should be over 100 made per year.</t>
  </si>
  <si>
    <t>&gt;40</t>
  </si>
  <si>
    <t xml:space="preserve">Israel has 8 Patriot batteries that Israel now want to sell because they have been replaced by the David's sling batteries see https://en.wikipedia.org/wiki/MIM-104_Patriot#Service_with_Israel </t>
  </si>
  <si>
    <t>Same as build</t>
  </si>
  <si>
    <t>https://en.wikipedia.org/wiki/David%27s_Sling</t>
  </si>
  <si>
    <t>Production started 2017 and they got at least 8 so they must be able to make at least 1 battery per year</t>
  </si>
  <si>
    <r>
      <rPr>
        <b/>
        <sz val="11"/>
        <color theme="1"/>
        <rFont val="Calibri"/>
        <family val="2"/>
        <scheme val="minor"/>
      </rPr>
      <t xml:space="preserve">Patriot battery </t>
    </r>
    <r>
      <rPr>
        <sz val="11"/>
        <color theme="1"/>
        <rFont val="Calibri"/>
        <family val="2"/>
        <scheme val="minor"/>
      </rPr>
      <t>w. radar launchers and control</t>
    </r>
  </si>
  <si>
    <r>
      <rPr>
        <b/>
        <sz val="11"/>
        <color theme="1"/>
        <rFont val="Calibri"/>
        <family val="2"/>
        <scheme val="minor"/>
      </rPr>
      <t>Iron Dome</t>
    </r>
    <r>
      <rPr>
        <sz val="11"/>
        <color theme="1"/>
        <rFont val="Calibri"/>
        <family val="2"/>
        <scheme val="minor"/>
      </rPr>
      <t>, battery Israeli</t>
    </r>
  </si>
  <si>
    <t>This is the full Patriot battery with various launchers for short and mid range missiles and radars and control units</t>
  </si>
  <si>
    <t>&gt;250</t>
  </si>
  <si>
    <t>None, standalone</t>
  </si>
  <si>
    <t>with</t>
  </si>
  <si>
    <t>Weapon is too expensive and it does not have the range needed to hit Russian jets dropping glider bombs from 70 km behind frontlines because Patriot system itself needs to be 100 km behind frontlines.</t>
  </si>
  <si>
    <t>Low cost mid-range anti-aircraft rocket to intercept cruise missiles and large drones like Shahed.</t>
  </si>
  <si>
    <t>Low cost mid-range anti-aircraft system with radar, launchers and control units to intercept cruise missiles and large drones like Shahed.</t>
  </si>
  <si>
    <r>
      <t xml:space="preserve"> -</t>
    </r>
    <r>
      <rPr>
        <b/>
        <sz val="11"/>
        <color theme="1"/>
        <rFont val="Calibri"/>
        <family val="2"/>
        <scheme val="minor"/>
      </rPr>
      <t xml:space="preserve"> Iron Dome interceptor rocket</t>
    </r>
    <r>
      <rPr>
        <sz val="11"/>
        <color theme="1"/>
        <rFont val="Calibri"/>
        <family val="2"/>
        <scheme val="minor"/>
      </rPr>
      <t xml:space="preserve"> for small slow flying targets</t>
    </r>
  </si>
  <si>
    <t>Patriot vehicle launcher</t>
  </si>
  <si>
    <t>9.3M</t>
  </si>
  <si>
    <t>https://en.wikipedia.org/wiki/RIM-161_Standard_Missile_3</t>
  </si>
  <si>
    <t>2nd</t>
  </si>
  <si>
    <t xml:space="preserve">text </t>
  </si>
  <si>
    <t>&gt;1400</t>
  </si>
  <si>
    <t>Israel may have already used 500 to intercept attacks from Lebanon and Iran</t>
  </si>
  <si>
    <t>My best guess. Has been in production since 2017 and Israel use this missile to replace longer range missiles from Patriot system. Israel should at least be making 200 per year and I expect production will increase a lot with international orders.</t>
  </si>
  <si>
    <t>&gt;0.5</t>
  </si>
  <si>
    <t>Year</t>
  </si>
  <si>
    <t>made</t>
  </si>
  <si>
    <t xml:space="preserve">weapon </t>
  </si>
  <si>
    <t>2006-2024?</t>
  </si>
  <si>
    <t>AGM-158d - XR stealth cruise missile, can hit moving or stationary targets at sea or land. Can be launched from ships, airplanes F15, F18, B-1B, Boing P-8 and likely also from the Typhon ground launcher</t>
  </si>
  <si>
    <t>AGM-158c - ER stealth cruise missile can hit ground targets and ships 1250kg, air launch limited to F15, F16, F18, B-1B, Boing P-8 currently but in process of being expanded to other airplanes, part of JASSMs family. Also ground fired from ships using Mk 41,and most likely also land using Typhon Mk 70 Mod 1</t>
  </si>
  <si>
    <t>2017-2024</t>
  </si>
  <si>
    <r>
      <rPr>
        <b/>
        <sz val="11"/>
        <color theme="1"/>
        <rFont val="Calibri"/>
        <family val="2"/>
        <scheme val="minor"/>
      </rPr>
      <t>AGM-158c - ER</t>
    </r>
    <r>
      <rPr>
        <sz val="11"/>
        <color theme="1"/>
        <rFont val="Calibri"/>
        <family val="2"/>
        <scheme val="minor"/>
      </rPr>
      <t xml:space="preserve"> stealth cruise missile can hit ground targets and ships 1250kg, air launch limited to F15, F16, F18, B-1B, Boing P-8 currently but in process of being expanded to other airplanes, part of JASSMs family. Also ground fired from ships using Mk 41,and most likely also land using Typhon Mk 70 Mod 1</t>
    </r>
  </si>
  <si>
    <t>https://missilethreat.csis.org/missile/apache-ap/</t>
  </si>
  <si>
    <t>&gt;2000 most likely much higher like 5000 or so have been build because this weapon has been used many hundreds of times in Iraq and Afghanistan and most US submarines and ships carry them and missile can also be ground and air launched</t>
  </si>
  <si>
    <t>https://www.shephardmedia.com/news/landwarfareintl/raytheon-and-rafael-to-expand-iron-dome-missile-production/</t>
  </si>
  <si>
    <t>https://www.colorado.edu/asmagazine/2023/10/13/israels-iron-dome-air-defense-system-works-well-heres-how-hamas-got-around-it</t>
  </si>
  <si>
    <t>&gt;5000</t>
  </si>
  <si>
    <t>Iron Dome battery</t>
  </si>
  <si>
    <t>1986-</t>
  </si>
  <si>
    <t>This is Russia's most modern anti-aircraft system but fortunately for Ukraine it is not jet fully operational and has not entered mass production. When it does NATA will need a longer range air-borne radar to be out of harms way from this system.</t>
  </si>
  <si>
    <t>Ground vehicle launcher</t>
  </si>
  <si>
    <r>
      <rPr>
        <b/>
        <sz val="11"/>
        <color theme="1"/>
        <rFont val="Calibri"/>
        <family val="2"/>
        <scheme val="minor"/>
      </rPr>
      <t>S-500</t>
    </r>
    <r>
      <rPr>
        <sz val="11"/>
        <color theme="1"/>
        <rFont val="Calibri"/>
        <family val="2"/>
        <scheme val="minor"/>
      </rPr>
      <t xml:space="preserve"> entire missile system</t>
    </r>
  </si>
  <si>
    <t>It is reported Russia is operating their only S500 system to protect Crimea bridge to Russia. So the AGM-158b JASSM-ER could be used to target it and the bridge itself.</t>
  </si>
  <si>
    <t>https://en.wikipedia.org/wiki/S-500_missile_system#Operational_history</t>
  </si>
  <si>
    <t>Use AGM-158a and Air-LORA to destroy them at their staging areas 100  to 200 km behind frontlines. Also use AGM-88G HARM to destroy their ground radars.</t>
  </si>
  <si>
    <t>no longer in production</t>
  </si>
  <si>
    <t>Other sources say Russia only got 14 of these aircraft left</t>
  </si>
  <si>
    <t>https://en.wikipedia.org/wiki/List_of_active_Russian_military_aircraft#Russian_Aerospace_Forces</t>
  </si>
  <si>
    <t>https://simpleflying.com/how-many-new-f-16s-could-be-produced/</t>
  </si>
  <si>
    <t>https://en.wikipedia.org/wiki/AIM-7_Sparrow#Italy</t>
  </si>
  <si>
    <t>https://breakingdefense.com/2023/09/raytheon-to-max-out-amraam-production-for-foreseeable-future-exec-says/</t>
  </si>
  <si>
    <t>https://breakingdefense.com/2024/04/boeing-to-shutter-super-hornet-line-in-2027-after-final-navy-order-boeing-vp/</t>
  </si>
  <si>
    <t>Electricity</t>
  </si>
  <si>
    <t>https://www.cia.gov/the-world-factbook/field/electricity/</t>
  </si>
  <si>
    <t>consumption</t>
  </si>
  <si>
    <r>
      <t>Russia</t>
    </r>
    <r>
      <rPr>
        <sz val="11"/>
        <color theme="1"/>
        <rFont val="Calibri"/>
        <family val="2"/>
        <scheme val="minor"/>
      </rPr>
      <t xml:space="preserve"> AK nuclear</t>
    </r>
    <r>
      <rPr>
        <b/>
        <sz val="11"/>
        <color theme="1"/>
        <rFont val="Calibri"/>
        <family val="2"/>
        <scheme val="minor"/>
      </rPr>
      <t xml:space="preserve"> </t>
    </r>
    <r>
      <rPr>
        <sz val="11"/>
        <color theme="1"/>
        <rFont val="Calibri"/>
        <family val="2"/>
        <scheme val="minor"/>
      </rPr>
      <t>(enemy to all democracies)</t>
    </r>
  </si>
  <si>
    <r>
      <t>North-Korea</t>
    </r>
    <r>
      <rPr>
        <sz val="11"/>
        <color theme="1"/>
        <rFont val="Calibri"/>
        <family val="2"/>
        <scheme val="minor"/>
      </rPr>
      <t xml:space="preserve"> AK nuclear (enemy to all democracies)</t>
    </r>
  </si>
  <si>
    <r>
      <t>Belarus</t>
    </r>
    <r>
      <rPr>
        <sz val="11"/>
        <color theme="1"/>
        <rFont val="Calibri"/>
        <family val="2"/>
        <scheme val="minor"/>
      </rPr>
      <t xml:space="preserve"> AK (Russian puppet state)</t>
    </r>
  </si>
  <si>
    <r>
      <t>Syria</t>
    </r>
    <r>
      <rPr>
        <sz val="11"/>
        <color theme="1"/>
        <rFont val="Calibri"/>
        <family val="2"/>
        <scheme val="minor"/>
      </rPr>
      <t xml:space="preserve"> AK (Iran, Russian puppet state)</t>
    </r>
  </si>
  <si>
    <r>
      <t>Venezuela</t>
    </r>
    <r>
      <rPr>
        <sz val="11"/>
        <color theme="1"/>
        <rFont val="Calibri"/>
        <family val="2"/>
        <scheme val="minor"/>
      </rPr>
      <t xml:space="preserve"> AK (enemy to all democracies)</t>
    </r>
  </si>
  <si>
    <t>https://www.cia.gov/the-world-factbook/countries/world/#people-and-society</t>
  </si>
  <si>
    <t>https://www.cia.gov/the-world-factbook/countries/world/#economy</t>
  </si>
  <si>
    <t>https://www.cia.gov/the-world-factbook/countries/world/#energy</t>
  </si>
  <si>
    <t>https://www.cia.gov/the-world-factbook/countries/world/#military-and-security</t>
  </si>
  <si>
    <t>Russia will be less successful at degrading Ukraine economic and military capacity</t>
  </si>
  <si>
    <t>Many see WeaponsSpecs spreadsheet</t>
  </si>
  <si>
    <t xml:space="preserve"> - I-Derby ER radar seeking missile used to destroy enemy radar</t>
  </si>
  <si>
    <t xml:space="preserve">My best guess. I found a source that was Russian that said 16 Typhon systems had been ordered by US army but I could not find anything to confirm that. </t>
  </si>
  <si>
    <t>Officially it is described as a hypersonic missile so minimum mark 5 or 6125 km/h. My best guess is 9000 km/h. That is slow enough to reenter atmosphere and target an airplane without needing a huge heat shield to slow it down.</t>
  </si>
  <si>
    <t>My guess. 10,000 only cost 1.2 billion USD and Israel need a lot of them. Also each battery has 600 interceptors and Israel got ten batteries. See https://www.shephardmedia.com/news/landwarfareintl/raytheon-and-rafael-to-expand-iron-dome-missile-production/ That is 6000 missiles and Israel are making spare missiles so at least 10,000 missiles</t>
  </si>
  <si>
    <t>My best guess. Could be more Israel will need 5000 to have enough to stop Iranian ballistic missiles and attacks from Lebanon</t>
  </si>
  <si>
    <t>If you ask ChatGPT about yearly production it list orders for this missile of about 700 new in 2023 and 2024 so my estimate is that yearly production is 350</t>
  </si>
  <si>
    <t>Javelin anti-tank missile</t>
  </si>
  <si>
    <t>Project Sundial doomsday US fusion bomb</t>
  </si>
  <si>
    <t xml:space="preserve">10,000 million tons of TNT Big enough to end all human life on the Earth. Immediate blast will burn everything in an 800 km diameter or the size of France. </t>
  </si>
  <si>
    <t>Tsar Bomba Russian fusion bomb</t>
  </si>
  <si>
    <t>Largest ever detonated nuclear fusion bomb</t>
  </si>
  <si>
    <t>Bunker buster. Precharge and initial penetrating charge to clear soil or enter "hard and deeply buried targets" (HDBT) such as hardened underground bunkers, then a variable delay fuse to control detonation of the main warhead</t>
  </si>
  <si>
    <t xml:space="preserve">Arrow 3 Israeli anti-ballistic missile and anti-satellite. Israeli home build alternative to SM-3. </t>
  </si>
  <si>
    <t xml:space="preserve">It achieves its long range by going into semi-orbit around earth and cruise without friction in space. It is meant to destroy ballistic missiles that are also in a high cruising Earth orbit. It is my speculation that it can also attack high flying aircraft like the A50, strategic bombers or presidential aircraft like the Iranian leaders. Kill vehicle is protected by something that looks like heat shield and it got its own thruster for quick maneuvers. I do not see what should prevent aircraft kills to be possible by Arrow 3 but I may be wrong here. The video shows the attack vehicle has its own rocket engine on gimble so able to maneuver rapidly to hit ballistic missile or aircraft even if they can also maneuver rapidly. Video also show it has something that looks like heat shield that will be needed to reenter Earth atmosphere and hit aircraft or even land or sea targets. Proven in combat first time On October 31, 2023, A long-range ballistic missile launched towards Israel by the Houthis forces in Yemen was precisely intercepted by an Arrow 3 missile. </t>
  </si>
  <si>
    <t>Yes can retrieve target information from satellites and other means in flight</t>
  </si>
  <si>
    <t>Inertial navigation system (INS) gimbaled seeker. Seeker is likely both infrared and radar.</t>
  </si>
  <si>
    <t>Because of very long range of missile it must be informed by satellites or other means up to 2400 away from launch about incoming threat or target at that range. That will most often be satellites looking for infrared signatures from ballistic missiles and high flying large aircraft.</t>
  </si>
  <si>
    <t>Israel has decided to retire all of their 8 Patriot systems that are not replaced with the David's sling system. I therefore conclude Israel has at least 8 operational David's sling systems.</t>
  </si>
  <si>
    <t>Ukraine has this launcher that is a Soviet era weapon and it has been modified to fire US RIM-7 Sea Sparrow missiles</t>
  </si>
  <si>
    <t>S-400 battery w. radar launchers &amp; control</t>
  </si>
  <si>
    <t xml:space="preserve">This radar can be installed in F16, F18, F22, F35, B52, B-1 Lancer. It is designed to fit F-16 aircraft with no structural, power or cooling modifications. However, problem for Ukraine with getting this radar on their F16s if possible because they got an old aircraft F16 AM/BM is that F16 is still not approved to fire AIM-174B and AIM-260 that Ukraine need to stop Russian fighter jets dropping guided glider bombs. Therefore, instead Ukraine should insist they get 20 F18 with this APG-83 radar and also the AIM-174B and AIM-260 missiles. That combination will enable Ukraine to shoot down Russian aircraft dropping glider bombs and do it without any need for Hawkeye. Getting the Super Hornet may be the fastest way to start targeting Russian fighters dropping glider bombs. Ukraine F16 pilots could fly the F18 with only 6 more months of training. </t>
  </si>
  <si>
    <t>Sources  - Find weapon in the WeaponsSpecs sheet to find the sources</t>
  </si>
  <si>
    <t>Bunker busting 450kg warhead. Stealth cruise missile that can be used to destroy bridges, command bunkers, air-defense systems, ammunition bunkers, refineries, fuel depots, airports, factories and power stations</t>
  </si>
  <si>
    <t>Israeli ROCKS, Air LORA and LORA see below  but AGM-158a is ideal as it is the only weapon that is considered obsolete by US, that is a bunker buster and that is plentiful. US got over 7500 and it is no longer produced as it is going to be fully replaced by more capable and versatile AGM-158c-ER and AGM-158d-XR that have much longer range and can be used to target land and sea targets and also have more launch platforms both air and ship. AGM-158c-ER may also be able to launch from land using the Typhon launcher.</t>
  </si>
  <si>
    <t>If Ukraine is allowed to hit airbases it will force Russia to deploy further back from frontlines meaning less sorties per day dropping bombs on Ukraine frontlines.</t>
  </si>
  <si>
    <t>Not allowed by Biden administration but most effective use of weapon is to hit Russian bridges inside Russia to diminish Russia ability to transport weapons and fuel to frontlines.</t>
  </si>
  <si>
    <t>Not allowed by Biden administration but second most effective use of weapon is to hit Russian airbases, weapons factories and power plants inside Russia to diminish Russian economy supporting war effort and force Russia to pull their AirForce further back from frontlines diminishing the number of sorties they can launch against Ukraine.</t>
  </si>
  <si>
    <t>Bunker busting 450kg warhead with steel penetrator same as JASSM. Also function as blast fragmentation when programmed to explode over target say and airport. The weapon is  not stealth as the JASSM but is hard to stop because it is fast at 3000km/h and only takes 6 minutes to cover its range of 300km meaning there is not enough time to move aircraft out of harms way if they are the target. Israel developed it to launch from F35 at a safe distance from S300 and S400 and to destroy heavy targets like arms factories. Was successfully used to destroy Iranian arms factories on Oct, 2024.</t>
  </si>
  <si>
    <t>High explosive, bomblets (cluster munition) or high speed penetrator warhead bunker buster same as JASSM but more effective because higher speed. The weapon is  not stealth as the JASSM but is very hard to stop because it is fast at 5633km/h and only takes 5 minutes to cover its range of 430km meaning there is not enough time to move aircraft out of harms way if they are the target. Israel developed it to launch from F35 at a safe distance from S300 and S400 and to destroy heavy targets like arms factories. Was successfully used to destroy Iranian arms factories on Oct, 2024.</t>
  </si>
  <si>
    <t>Brand new weapon for air launch very few build.</t>
  </si>
  <si>
    <t>High explosive, bomblets (cluster munition) or high speed penetrator warhead bunker buster same as JASSM but more effective because higher speed. The weapon is  not stealth as the JASSM but is very hard to stop because it is fast at 5633km/h and only takes 5 minutes to cover its range of 430km meaning there is not enough time to move aircraft out of harms way if they are the target. Israel developed it to launch from F35 at a safe distance from S300 and S400 and to destroy heavy targets like arms factories.</t>
  </si>
  <si>
    <t xml:space="preserve">This weapon is the launch platform for Tomahawk and SM-6. Configuration needed for Ukraine is one 4 cell launch vehicle, one control vehicle and one ground radar. Ground radar vehicle is needed to make the system work without waiting for Hawkeye to become operational. If Ukraine can get 4 David's Sling batteries they only need 2 Typhon systems to cover all of the battlefield along all frontlines. If Ukraine cant get the David's sling they will need minimum 3 Typhon launch systems to cover the entire battlefield. </t>
  </si>
  <si>
    <t xml:space="preserve">They are expensive. The lowest cost air to air interceptor is the Iron dome. </t>
  </si>
  <si>
    <t>Hawkeye could warn about incoming missiles and drones well before they arrive so people can made sure everything is ready and works when they come. Not necessary but an advantage nevertheless</t>
  </si>
  <si>
    <t>At that price weapons makes little sense apart from destroying an important enemy satellite. Also Ukraine do not have a launch system for it that normally is the Mk-41 ship launcher. It could be put on land on top of a military semi trailer see below.</t>
  </si>
  <si>
    <t>It can be used to drop rocket assisted glider bombs like AGM-154A,B,C with range to reach Russian frontlines without risking the F16 is shoot down. Problem with these weapons is that they cost over 300,000 USD each and Ukraine need many thousands to make a big difference. They only receive a few hundred of these weapons.</t>
  </si>
  <si>
    <t>This missile is plentiful and can be used to shoot down Russian slow flying cruise missiles and drones inside Ukraine 100 km from frontlines. It is also low cost. US no longer produce it. However, still in production in Italy under license.</t>
  </si>
  <si>
    <t>This weapon is plentiful over 70,000 made. However, Russian Shahed production is rising and could reach 100s of thousands per year so alternatives are needed</t>
  </si>
  <si>
    <t>Same missile as SM-6 described above but now adapted to launch from aircraft. Can't be launched from F16. Missile can hit anything that fly including ballistic missiles and also low orbit satellites max 160km altitude. It can also hit ships at sea and stationary land targets and possibly moving land targets.</t>
  </si>
  <si>
    <t>This missile can destroy helicopters and aircraft. It is meant to replace AIM-120D that has shorter range. It entered combat reediness in 2024 and is in limited production. It can currently only be fired by Super Hornet. It will enter full production in 2026.</t>
  </si>
  <si>
    <t>The AIM-260 is in short supply. Limited production started in 2024 and full scale production likely over 2000 annually will not happen until 2026.</t>
  </si>
  <si>
    <t>in millions</t>
  </si>
  <si>
    <t>World statistics for comparison</t>
  </si>
  <si>
    <r>
      <t>China</t>
    </r>
    <r>
      <rPr>
        <sz val="11"/>
        <color theme="1"/>
        <rFont val="Calibri"/>
        <family val="2"/>
        <scheme val="minor"/>
      </rPr>
      <t xml:space="preserve"> A nuclear (enemy to Taiwan D, adversary to everyone else)</t>
    </r>
  </si>
  <si>
    <t>count</t>
  </si>
  <si>
    <t xml:space="preserve">Population </t>
  </si>
  <si>
    <t>in billion kWh</t>
  </si>
  <si>
    <t>To protect 2 areas with concentration of Ukraine military industry and bases and powerplants against missile and drone attacks</t>
  </si>
  <si>
    <t>Israel cant deliver as many of these systems as Ukraine need. Ukraine need 20 not 2. Highly unlikely Israel can deliver more that 2 such systems in next 20 month. They may not be able to deliver any as they need to boost their own defenses.</t>
  </si>
  <si>
    <t>To hit S300 and S400 systems 100 to 200 behind frontlines. And troops concentrations when spotted.</t>
  </si>
  <si>
    <t>Ukraine got Storm Shadow but too few like &lt;5 per month. Also Biden administration do not allow Ukraine to use weapon's bunker busting warhead effectively hitting Russian bridges inside Russia to diminish Russian ability to transport heavy weapons, heavy ammunition and fuel to frontlines.</t>
  </si>
  <si>
    <t>If Ukraine got enough of them and can use them where it hurts Russia it will increase Ukraine kill ratios meaning more Russians will die for every Ukraine troop that Russia kills. That will incentivize Russia to pull out of Ukraine to avoid bleeding out their country.</t>
  </si>
  <si>
    <t>It looks like Ukraine only get &lt;10 per month. They need over 100 bunker busting weapons per month and permission to use them so they cause maximum damage to Russian military and economy.</t>
  </si>
  <si>
    <t>Israel may not want to sell them as they may need all they can produce for their own war efforts.</t>
  </si>
  <si>
    <t>This missile is ground launched and have been in production since 2002 so most likely that Israel can sell this weapon as they have enough on stock for themselves.</t>
  </si>
  <si>
    <t>AGM-158a, ATACMS</t>
  </si>
  <si>
    <t>If US can deliver more than 300 Tomahawks to Ukraine it can also be used to hit oil refineries deep inside Russia.</t>
  </si>
  <si>
    <t>Only alternative weapon with 1600 range is the AGM-158d</t>
  </si>
  <si>
    <t>Most effective use of ATACAMS is to use its cluster warhead to hit helicopter and aircraft bases in Russia that are attacking Ukraine frontlines every day. However, that is not allowed by Biden administration who wrongly believe not fighting back will encourage Russia to attack less. The opposite is true. If Russian losses become unsustainable they will end the war and pull out. Ukraine is only allowed to use ATACACMS inside Ukraine and they do not get enough of them like &lt;10 per month.</t>
  </si>
  <si>
    <t>Bunker buster. Pre-charge and initial penetrating charge to clear soil or enter "hard and deeply buried targets" (HDBT) such as hardened underground bunkers, then a variable delay fuse to control detonation of the main warhead</t>
  </si>
  <si>
    <t>To launch from F16 will take 1.5 years of preparation. To launch from Su-24 will take 6 month to prepare. Ukraine is not even allowed to start preparations to use then so they can be ready to use immediately after a permission to use them is given.</t>
  </si>
  <si>
    <t xml:space="preserve">Most effective use of Air-LORA with cluster warhead is to hit helicopter and aircraft bases in Russia that are attacking Ukraine frontlines every day. However, that is not allowed by Biden administration who wrongly believe not fighting back will encourage Russia to attack less. The opposite is true. If Russian losses become unsustainable they will end the war and pull out. </t>
  </si>
  <si>
    <t xml:space="preserve">Most effective use of LORA with cluster warhead is to hit helicopter and aircraft bases in Russia that are attacking Ukraine frontlines every day. However, that is not allowed by Biden administration who wrongly believe not fighting back will encourage Russia to attack less. The opposite is true. If Russian losses become unsustainable they will end the war and pull out. </t>
  </si>
  <si>
    <t xml:space="preserve">Russia will be forced to pull their aircraft out of harms way meaning they will need fuel tankers to reach Ukraine frontlines with their fighter/bomber aircraft. Russia only got 20 fuel tankers and 6 A50 radar aircraft. 20 fuel tankers is too little to attack Ukraine with 250 sorties per day as they currently do. That will drop significantly. The radar aircraft A50 will have to spend 50% of their 8 hours flight time to get into position near Ukraine. This will create big holes in Russian 24/7 surveillance of battlefield that Ukraine can use to attack Russian frontlines with their aircraft that otherwise cant come near the frontline because the A50 will direct a Russian S300 ort S400 missile their way. </t>
  </si>
  <si>
    <t>months 4 years to complete needed weapons transfer</t>
  </si>
  <si>
    <t xml:space="preserve">kilometers Ukraine missile launch systems need to operate behind frontlines to lower risk of being targeted. </t>
  </si>
  <si>
    <t>months 2 years to complete needed weapons transfer and training</t>
  </si>
  <si>
    <t>months to complete weapons transfer and training</t>
  </si>
  <si>
    <t>Cruise and ballistic missiles - Storm Shadow, ATACAMS, Neptune with warheads over 200kg</t>
  </si>
  <si>
    <t>My best guess. Only 1400 Storm Shadow has been build and Ukraine will not get all of them. ATACAMS build is 3700 and Ukraine can only make like 50 to 100 of their own Neptune cruise missile.</t>
  </si>
  <si>
    <t>Cruise and ballistic missiles warheads over 400kg</t>
  </si>
  <si>
    <r>
      <t>Anti-aircraft systems</t>
    </r>
    <r>
      <rPr>
        <sz val="11"/>
        <color theme="1"/>
        <rFont val="Calibri"/>
        <family val="2"/>
        <scheme val="minor"/>
      </rPr>
      <t xml:space="preserve"> (ground based) </t>
    </r>
    <r>
      <rPr>
        <b/>
        <sz val="11"/>
        <color theme="1"/>
        <rFont val="Calibri"/>
        <family val="2"/>
        <scheme val="minor"/>
      </rPr>
      <t xml:space="preserve">Main effect 1) </t>
    </r>
    <r>
      <rPr>
        <sz val="11"/>
        <color theme="1"/>
        <rFont val="Calibri"/>
        <family val="2"/>
        <scheme val="minor"/>
      </rPr>
      <t>Shoot down Russian jets dropping glider bombs</t>
    </r>
    <r>
      <rPr>
        <b/>
        <sz val="11"/>
        <color theme="1"/>
        <rFont val="Calibri"/>
        <family val="2"/>
        <scheme val="minor"/>
      </rPr>
      <t xml:space="preserve">, 2) </t>
    </r>
    <r>
      <rPr>
        <sz val="11"/>
        <color theme="1"/>
        <rFont val="Calibri"/>
        <family val="2"/>
        <scheme val="minor"/>
      </rPr>
      <t xml:space="preserve">Shoot down Russian attack and transport helicopters, </t>
    </r>
    <r>
      <rPr>
        <b/>
        <sz val="11"/>
        <color theme="1"/>
        <rFont val="Calibri"/>
        <family val="2"/>
        <scheme val="minor"/>
      </rPr>
      <t>3)</t>
    </r>
    <r>
      <rPr>
        <sz val="11"/>
        <color theme="1"/>
        <rFont val="Calibri"/>
        <family val="2"/>
        <scheme val="minor"/>
      </rPr>
      <t xml:space="preserve"> Shoot down the A50 radar aircrafts if possible using the Arrow 3 </t>
    </r>
  </si>
  <si>
    <r>
      <rPr>
        <b/>
        <sz val="11"/>
        <color theme="1"/>
        <rFont val="Calibri"/>
        <family val="2"/>
        <scheme val="minor"/>
      </rPr>
      <t xml:space="preserve"> - Tomahawk Block V</t>
    </r>
    <r>
      <rPr>
        <sz val="11"/>
        <color theme="1"/>
        <rFont val="Calibri"/>
        <family val="2"/>
        <scheme val="minor"/>
      </rPr>
      <t xml:space="preserve"> cruise missile, 1300kg can be launched by Typhon</t>
    </r>
  </si>
  <si>
    <r>
      <rPr>
        <b/>
        <sz val="11"/>
        <color theme="1"/>
        <rFont val="Calibri"/>
        <family val="2"/>
        <scheme val="minor"/>
      </rPr>
      <t>RIM-174 US (SM-6)</t>
    </r>
    <r>
      <rPr>
        <sz val="11"/>
        <color theme="1"/>
        <rFont val="Calibri"/>
        <family val="2"/>
        <scheme val="minor"/>
      </rPr>
      <t xml:space="preserve"> ballistic missile. Can hit air, sea &amp; land targets moving or fixed, 370km range on air targets and 500km for land targets. </t>
    </r>
  </si>
  <si>
    <r>
      <t xml:space="preserve">Air force weapons - Main effect 1) </t>
    </r>
    <r>
      <rPr>
        <sz val="11"/>
        <color theme="1"/>
        <rFont val="Calibri"/>
        <family val="2"/>
        <scheme val="minor"/>
      </rPr>
      <t>Shoot down Russian jets dropping glider bombs</t>
    </r>
    <r>
      <rPr>
        <b/>
        <sz val="11"/>
        <color theme="1"/>
        <rFont val="Calibri"/>
        <family val="2"/>
        <scheme val="minor"/>
      </rPr>
      <t>, 2)</t>
    </r>
    <r>
      <rPr>
        <sz val="11"/>
        <color theme="1"/>
        <rFont val="Calibri"/>
        <family val="2"/>
        <scheme val="minor"/>
      </rPr>
      <t xml:space="preserve"> Shoot down Russian attack and transport helicopters</t>
    </r>
    <r>
      <rPr>
        <b/>
        <sz val="11"/>
        <color theme="1"/>
        <rFont val="Calibri"/>
        <family val="2"/>
        <scheme val="minor"/>
      </rPr>
      <t xml:space="preserve">, 3) </t>
    </r>
    <r>
      <rPr>
        <sz val="11"/>
        <color theme="1"/>
        <rFont val="Calibri"/>
        <family val="2"/>
        <scheme val="minor"/>
      </rPr>
      <t>Attack radars of S300 and S400 using HARM</t>
    </r>
  </si>
  <si>
    <t>Newest variant of longest range NATO air to air missile that is fully tested and operational apart from AIM-260. Missile is also in mass production so giving 500 to Ukraine should not be a problem.</t>
  </si>
  <si>
    <t>This fighter is top modern but lacks stealth. Unlike all other fighters Ukraine got including the F16 the Super Hornet can fire the long-range anti-aircraft weapons AIM-174B and AIM-260 Ukraine desperately need to stop Russin aircraft dropping glider bombs and with APG-83 radar it does not need Hawkeye to fire the missiles.</t>
  </si>
  <si>
    <t xml:space="preserve">to end </t>
  </si>
  <si>
    <t>Months</t>
  </si>
  <si>
    <t xml:space="preserve">AGM-158c - LRASM stealth navy cruise missile can only hit ships not ground targets 1250kg, air launch limited to F15, F16, F18, B-1B, Boing P-8 currently but in process of being expanded to other airplanes, part of JASSMs family. Also ground fired from ships using Mk 41,and most likely also land using Typhon Mk 70 Mod 1 </t>
  </si>
  <si>
    <t>Ship and air launched, air limited to F15, F16, F18, B-1B, Boing P-8 currently but in process of being expanded to other airplanes, part of JASSMs family. Also ground fired from Mk 41,and also the Typhon Mk 70 Mod 1. The Typhon launch may not be operational yet but is planned see https://youtu.be/XqZZk5x5KIQ?si=Bts8I8_cIVkkJftY&amp;t=273</t>
  </si>
  <si>
    <t>Ship and air launched, air limited to F15, F16, F18, B-1B, Boing P-8 currently but in process of being expanded to other airplanes, part of JASSMs family. Also ground fired from Mk 41,and also the Typhon Mk 70 Mod 1. The Typhon launch may not be operational yet but is planned see https://youtu.be/XqZZk5x5KIQ?si=Bts8I8_cIVkkJftY&amp;t=272</t>
  </si>
  <si>
    <t>Typhon or MRC Mk 70 Mod 1 ground launcher, for Tomahawk &amp; SM-6 &amp; and most likely LRASM or AGM-158c-ER because the Mk 70 Mod 1 is a variant of the Mk41 that is confirmed to launch LRASMs. See https://youtu.be/XqZZk5x5KIQ?si=Bts8I8_cIVkkJftY&amp;t=273</t>
  </si>
  <si>
    <t>https://www.youtube.com/watch?v=XqZZk5x5KIQ&amp;t=273s</t>
  </si>
  <si>
    <r>
      <rPr>
        <b/>
        <sz val="11"/>
        <color theme="1"/>
        <rFont val="Calibri"/>
        <family val="2"/>
        <scheme val="minor"/>
      </rPr>
      <t>Typhon ground vehicle launcher</t>
    </r>
    <r>
      <rPr>
        <sz val="11"/>
        <color theme="1"/>
        <rFont val="Calibri"/>
        <family val="2"/>
        <scheme val="minor"/>
      </rPr>
      <t>, for Tomahawk &amp; SM-6 + radar and control unit and a vehicle for transporting new missiles to launcher.</t>
    </r>
  </si>
  <si>
    <t>Ukraine Victory Plan - The game changing weapons Ukraine need to force Russia out of Ukraine</t>
  </si>
  <si>
    <t>https://youtu.be/oIpgDR6IgKM?si=E-6vOrJUPqVqSlOc&amp;t=359</t>
  </si>
  <si>
    <t xml:space="preserve"> - Meteor air to air missile Europe</t>
  </si>
  <si>
    <t>https://en.wikipedia.org/wiki/Meteor_(missile)</t>
  </si>
  <si>
    <t>2.5M</t>
  </si>
  <si>
    <t>https://youtu.be/GqZOaUpORjo?si=x3ygOXwkjzeAfrQ8&amp;t=65</t>
  </si>
  <si>
    <t xml:space="preserve"> - AIM-260 air to air missile replacement for AIM-120 about 161 kg</t>
  </si>
  <si>
    <r>
      <rPr>
        <b/>
        <sz val="11"/>
        <color theme="1"/>
        <rFont val="Calibri"/>
        <family val="2"/>
        <scheme val="minor"/>
      </rPr>
      <t xml:space="preserve"> - AIM-260 </t>
    </r>
    <r>
      <rPr>
        <sz val="11"/>
        <color theme="1"/>
        <rFont val="Calibri"/>
        <family val="2"/>
        <scheme val="minor"/>
      </rPr>
      <t>air to air replacement for AIM-120. 161 kg Limited production began in 2024- full scale production by 2026. Missile most likely made to take full advance of longer-range radars of newest NATO aircraft.</t>
    </r>
  </si>
  <si>
    <t>Dassault Rafale, Eurofighter Typhoon, Saab JAS 39 Gripen[6]. Lockheed Martin F-35 Lightning II (pending)</t>
  </si>
  <si>
    <t>Inertial guidance, mid-course update via datalink, terminal active radar homing</t>
  </si>
  <si>
    <t>High explosive blast-fragmentation</t>
  </si>
  <si>
    <t>https://en.wikipedia.org/wiki/RIM-162_ESSM</t>
  </si>
  <si>
    <t>RIM-162 ESSM surface to air missile</t>
  </si>
  <si>
    <t>&gt;2500</t>
  </si>
  <si>
    <t>All ship launch sysytems is about to be able to launch from Typhon as well see https://youtu.be/XqZZk5x5KIQ?si=hxV2ehOQy1Qv7vfv&amp;t=280</t>
  </si>
  <si>
    <t>https://youtu.be/XqZZk5x5KIQ?si=hxV2ehOQy1Qv7vfv&amp;t=280</t>
  </si>
  <si>
    <t>39</t>
  </si>
  <si>
    <t>38S</t>
  </si>
  <si>
    <t>Silo or Mobile (truck-mounted). Ukraine can fire it using the mobile platform</t>
  </si>
  <si>
    <r>
      <rPr>
        <b/>
        <sz val="11"/>
        <color theme="1"/>
        <rFont val="Calibri"/>
        <family val="2"/>
        <scheme val="minor"/>
      </rPr>
      <t>Jericho III</t>
    </r>
    <r>
      <rPr>
        <sz val="11"/>
        <color theme="1"/>
        <rFont val="Calibri"/>
        <family val="2"/>
        <scheme val="minor"/>
      </rPr>
      <t xml:space="preserve"> Israeli ICBM ballistic missile</t>
    </r>
  </si>
  <si>
    <t>Use the Jerico III to destroy Russian A50 aircraft, fuel tankers and missile factories anywhere in Russia</t>
  </si>
  <si>
    <t>Impact and proximity</t>
  </si>
  <si>
    <t>Israel likely got nuclear warhead but Ukraine can get them with conventional bunker buster warhead say from LORA</t>
  </si>
  <si>
    <t>A non-nuclear warhead will likely use LORA warheads. Use the Jerico III to destroy Russian A50 aircraft, fuel tankers and missile factories anywhere in Russia</t>
  </si>
  <si>
    <t>No other usecase as missile is very expensive so only very high value targets are possible.</t>
  </si>
  <si>
    <t>Russia losing their A50 and fuel tankers will drastically reduce effectiveness of all Russian S300 and S400 systems enabling Ukraine to use all their aircraft to drop cheap glider bombs on Russian frontlines at little risk to their own aircraft.</t>
  </si>
  <si>
    <t>Israel may not sell weapon to Ukraine because the US will not allow it.</t>
  </si>
  <si>
    <t>There are no alternatives as Israel is only free and democratic country in the world that make ICBMs that can be vehicle launched.</t>
  </si>
  <si>
    <t xml:space="preserve">They don’t exist for any seller that Ukraine can buy from. </t>
  </si>
  <si>
    <t>Red highlight means these 15 weapons are most important weapons that Ukraine and West should give top priority to transfer to Ukraine because they will enable Ukraine to force Russia out and also prevent Russia from attacking Ukraine again in the future</t>
  </si>
  <si>
    <r>
      <t>Large long-range missiles</t>
    </r>
    <r>
      <rPr>
        <sz val="11"/>
        <color theme="1"/>
        <rFont val="Calibri"/>
        <family val="2"/>
        <scheme val="minor"/>
      </rPr>
      <t xml:space="preserve"> (ground attack) </t>
    </r>
    <r>
      <rPr>
        <b/>
        <sz val="11"/>
        <color theme="1"/>
        <rFont val="Calibri"/>
        <family val="2"/>
        <scheme val="minor"/>
      </rPr>
      <t xml:space="preserve">Main effect </t>
    </r>
    <r>
      <rPr>
        <sz val="11"/>
        <color theme="1"/>
        <rFont val="Calibri"/>
        <family val="2"/>
        <scheme val="minor"/>
      </rPr>
      <t xml:space="preserve">- </t>
    </r>
    <r>
      <rPr>
        <b/>
        <sz val="11"/>
        <color theme="1"/>
        <rFont val="Calibri"/>
        <family val="2"/>
        <scheme val="minor"/>
      </rPr>
      <t>1) D</t>
    </r>
    <r>
      <rPr>
        <sz val="11"/>
        <color theme="1"/>
        <rFont val="Calibri"/>
        <family val="2"/>
        <scheme val="minor"/>
      </rPr>
      <t xml:space="preserve">estroy Russian logistics, </t>
    </r>
    <r>
      <rPr>
        <b/>
        <sz val="11"/>
        <color theme="1"/>
        <rFont val="Calibri"/>
        <family val="2"/>
        <scheme val="minor"/>
      </rPr>
      <t>2) F</t>
    </r>
    <r>
      <rPr>
        <sz val="11"/>
        <color theme="1"/>
        <rFont val="Calibri"/>
        <family val="2"/>
        <scheme val="minor"/>
      </rPr>
      <t xml:space="preserve">orce Russian Air Force 1500km away from Ukraine, 3) Destroy Russian S300 and S400 batteries, </t>
    </r>
    <r>
      <rPr>
        <b/>
        <sz val="11"/>
        <color theme="1"/>
        <rFont val="Calibri"/>
        <family val="2"/>
        <scheme val="minor"/>
      </rPr>
      <t xml:space="preserve">4) </t>
    </r>
    <r>
      <rPr>
        <sz val="11"/>
        <color theme="1"/>
        <rFont val="Calibri"/>
        <family val="2"/>
        <scheme val="minor"/>
      </rPr>
      <t>Destroy weapons production and ammunition storage</t>
    </r>
    <r>
      <rPr>
        <b/>
        <sz val="11"/>
        <color theme="1"/>
        <rFont val="Calibri"/>
        <family val="2"/>
        <scheme val="minor"/>
      </rPr>
      <t>, 5) Use the Jerico III to destroy Russian A50 aircraft  fuel tankers and missile factories anywhere in Russia</t>
    </r>
  </si>
  <si>
    <t>https://www.youtube.com/watch?v=f0UGrqqRLi8&amp;list=FLZCT9hB-Visphsp0Ne3D-xA&amp;index=1</t>
  </si>
  <si>
    <t>EA-18G Growler electronic warfare jet based on Super Hornet</t>
  </si>
  <si>
    <t>Aug, 2006-</t>
  </si>
  <si>
    <t>https://en.wikipedia.org/wiki/Boeing_EA-18G_Growler</t>
  </si>
  <si>
    <t>23M</t>
  </si>
  <si>
    <t>https://theaviationist.com/2021/10/01/australia-cleared-to-buy-one-ea-18g/</t>
  </si>
  <si>
    <r>
      <rPr>
        <b/>
        <sz val="11"/>
        <color theme="1"/>
        <rFont val="Calibri"/>
        <family val="2"/>
        <scheme val="minor"/>
      </rPr>
      <t>EA-18G Growler</t>
    </r>
    <r>
      <rPr>
        <sz val="11"/>
        <color theme="1"/>
        <rFont val="Calibri"/>
        <family val="2"/>
        <scheme val="minor"/>
      </rPr>
      <t xml:space="preserve"> electronic warfare jet based on Super Hornet</t>
    </r>
  </si>
  <si>
    <t>This aircraft can survive flying over enemy territory with enemy anti-aircraft systems because it can blind them electronically.</t>
  </si>
  <si>
    <t>&gt;12</t>
  </si>
  <si>
    <t>https://boeing.mediaroom.com/2009-11-30-Boeing-EA-18G-Growler-to-Advance-to-Full-Rate-Production</t>
  </si>
  <si>
    <t>Used to protect Ukraine aircraft against Russian anti-aircraft missiles when they fly closer to frontlines or when they attack over the frontlines</t>
  </si>
  <si>
    <t>Ukraine will be able to use their aircraft to attack Russian targets at air or ground in airspace otherwise dominated by Russian anti-aircraft missiles</t>
  </si>
  <si>
    <t>I am not aware of any</t>
  </si>
  <si>
    <t>https://youtu.be/f0UGrqqRLi8?si=s6Ye--eCVSPO4UQb&amp;t=312</t>
  </si>
  <si>
    <t>This aircraft is capable of suppressing enemy radar systems so that they cant guide anti-aircraft missiles against your own aircraft. It is used to accompany other aircraft and protect them from being hit by anti-aircraft missiles. Three Growlers can triangulate enemy radar positions or cell phones and provide exact GPS coordinates about their location so other GPS guided weapons can be fired at them.</t>
  </si>
  <si>
    <t>Elaboration</t>
  </si>
  <si>
    <t>of rules and principles</t>
  </si>
  <si>
    <t xml:space="preserve">What NATO problem </t>
  </si>
  <si>
    <t>Three Growlers can triangulate enemy radar positions or cell phones and provide exact GPS coordinates about their location so other GPS guided weapons can be fired at them. They could also be used by Ukraine to launch airstrikes deep behind enemy lines to drop bombs on very important targets like the Crimea bridge</t>
  </si>
  <si>
    <t>Because aircraft carry heavy electronic warfare systems it cant also carry much weapons of its own so should fly together with other fighter jets like the F16 and the Super Hornet that can protect it when attacked by Russian jets</t>
  </si>
  <si>
    <t>This aircraft is capable of suppressing enemy radar systems so that they cant guide anti-aircraft missiles against your own aircraft. It is used to accompany other aircraft and protect them from being hit by anti-aircraft missiles. The Growler will enable Ukraine to attack Russian frontlines with inexpensive glider bombs in large numbers using their old F16s fighter jets that would otherwise be easy pray for Russian S300 and S400 anti-aircraft systems. Israel have proven in 2024 that it is possible to fly over enemy territory (Syria, Iraq and Iran) even with large fuel tankers if they are protected with adequete electronic warfare systems.</t>
  </si>
  <si>
    <t>The Super Hornet with the AN/APG-83 Scalable Agile Beam Radar (SABR) do not need data from Hawkeye to fire long-range anti-aircraft missiles but can use its own radar and communications link for that. The Super Hornet should fly together with the EA-18G Growler to be less likely to be shot down by enemy anti-aircraft missiles.</t>
  </si>
  <si>
    <t>Need data from Hawkeye airborne radar with minimum 600km radar range to be able to target Russian aircraft from a safe distance for Hawkeye and F16 using its AIM-120D missiles. Will also need the electronic warfare protection of the Growler if flying in territory where it is witin range of Russian S300 and S400 anti-aircraft missiles.</t>
  </si>
  <si>
    <t>Votes = current mil.</t>
  </si>
  <si>
    <t>Votes = minimum mil.</t>
  </si>
  <si>
    <t xml:space="preserve">Member countries must hold regular and fair elections. Preferable every 4 years for both central governments and regional governments. No suppression of opposition speech on social media or right to hold peaceful demonstrations/gatherings should be tolerated. </t>
  </si>
  <si>
    <t>minimum military spending in % of GDP (the higher this percentage the less likely the risk of war as predator nations will attack the weak not the strong)</t>
  </si>
  <si>
    <r>
      <t xml:space="preserve">Iran </t>
    </r>
    <r>
      <rPr>
        <sz val="11"/>
        <color theme="1"/>
        <rFont val="Calibri"/>
        <family val="2"/>
        <scheme val="minor"/>
      </rPr>
      <t>AK soon nuclear (enemy to all non-Muslims)</t>
    </r>
  </si>
  <si>
    <t>total GDaFed</t>
  </si>
  <si>
    <t>GDaFed minimum</t>
  </si>
  <si>
    <t>Sum of all enemy countries to GDaFed</t>
  </si>
  <si>
    <t xml:space="preserve">GDaFed rule is </t>
  </si>
  <si>
    <t>Transitioning from NATO to GDaFed</t>
  </si>
  <si>
    <t>You could set up GDaFed as an organization and have a founding charter that invites suited countries on the list above to join organization. When enough countries are considered to have joined by a parliamentary vote in each country say US, Canada, Israel and most countries in Europe and Asia the countries will hold a meeting to set a date for when the organization start doing its business and for the same member countries to end NATO as a defense alliance.</t>
  </si>
  <si>
    <t>Many of the structures that have been created in NATO should be rolled over in GDaFed. For example NATO headquarters could be taken over by GDaFed and NATO's shared forces like the one for the AWAC aircraft and missile defense will continue under GDaFed.</t>
  </si>
  <si>
    <t>Global alliance</t>
  </si>
  <si>
    <t>Voting rules for GDaFed</t>
  </si>
  <si>
    <t>https://en.wikipedia.org/wiki/RS-26_Rubezh</t>
  </si>
  <si>
    <t>90-250 m</t>
  </si>
  <si>
    <t>Used to fire at Ukraine on Nov, 2024. Accuracy is low so not likely that much serious damage was caused</t>
  </si>
  <si>
    <t>800</t>
  </si>
  <si>
    <t>RS-26 Rubezh Russian ICBM barely</t>
  </si>
  <si>
    <t>my guess based on the official cost of Israeli Jericho III</t>
  </si>
  <si>
    <t>units needed</t>
  </si>
  <si>
    <t>Cost of all</t>
  </si>
  <si>
    <t>Sum of entire GDaFed</t>
  </si>
  <si>
    <t xml:space="preserve">solving </t>
  </si>
  <si>
    <t>Other NATO problems</t>
  </si>
  <si>
    <t>Voting rights for each country by military spending</t>
  </si>
  <si>
    <t>Each country is assigned a number of voting rights equal to that country's annual military spending in USD in % of total military spending in USD for all of GDaFed member countries. See calculation in above table.</t>
  </si>
  <si>
    <t xml:space="preserve">NATO has become dysfunctional because all decisions has to be unanimous meaning every country has a veto right to block every decision NATO makes. All it takes for an enemy country of NATO to make NATO dysfunctional is to control the head of state in one member country using one or more of the following classic secret service methods 1) Find one head of state that is corrupt and who takes bribes either directly or indirectly by supporting head of state's political party or manipulation public opinion using massive numbers of fake social media accounts that use AI chatbots to sway voters for the party of that head of state. 2) Find one head of state and compromise person by acquiring incriminating evidence and use that for blackmailing person. Several methods can be used to obtain incriminating evidence for blackmail: A) spying to obtain documentation for criminal activity, B) if head of state is say pedophile set person up with a child prostitute and film it C) obtain other compromising evidence on head of state that might not be criminal but if revealed would make that state of head lose the next election. Current NATO countries that behave as if their head of state are compromised is Hungary. </t>
  </si>
  <si>
    <t>NATO's veto rule has also made NATO dysfunctional because some countries use their veto rule to blackmail all other members to give country extraordinary benefits they would not have obtained if it was not for their ability to obstruct NATO decisions with their veto power. An example is Turkey that kept blocking Sweden's admission as NATO member until Sweden agreed to suppress freedom for Kurdish people living in Sweden and US agreed to sell Turkey F35 fighter jets that caused a crucial NATO weapon to risk being compromised as Turkey also bought anti-aircraft system S400 from NATO enemy Russia that thereby is able to gain knowledge about how bad or good S400 is at detecting the F35 fighter.</t>
  </si>
  <si>
    <t>Any change of the founding rules can only happen if a proposal is approved with a 80% majority vote giving the US the only effective veto right in GDaFed as they got much more than 20% of the total votes currently. Japan and Germany got second most votes with about 7% of the votes each but that is not enough to bloc a change of founding rules.</t>
  </si>
  <si>
    <t>Freedom Egalitarianism and Democracy</t>
  </si>
  <si>
    <t>A) High level of individual freedom</t>
  </si>
  <si>
    <t>B) High level of egalitarianism</t>
  </si>
  <si>
    <t>C) High level of democracy</t>
  </si>
  <si>
    <t xml:space="preserve">The constitution and other legislation of the member countries must secure the right of its citizens to speak their mind on any topic in public within the limitations given below. People participating in illegal censorship of free speech are criminals that must be punished by fines or prison. </t>
  </si>
  <si>
    <t>NATO membership veto powers makes it impossible to change rules if just one member country is compromised (see above for elaboration about how countries can be compromised).</t>
  </si>
  <si>
    <t>NATO membership veto powers makes it impossible to change rules if just a few countries always use every opportunity to use their veto power to get unreasonably large concessions by other NATO members who want the vote to be approved like Turkey and Hungary always do. The veto power in NATO incentivizes opportunistic behavior and reward bad behavior making the organization far less attractive for non-opportunistic member countries.</t>
  </si>
  <si>
    <t xml:space="preserve">Any country in the world can ask GDaFed to become a member and the likely member states are listed in table above. An applicant will undergo a fit and proper test to see if country is qualified to become a member based on their legal protection of their principles for freedom, egalitarianism and democracy. This admission process may ask applying country to change some legislation in order to become fit and proper for membership. If that process end up approving the country as being fit and proper a vote is scheduled for approval of membership in the GDaFed general voting assembly. </t>
  </si>
  <si>
    <t>Problem with NATO is that it is only for North Atlantic countries and that limits how strong the military alliance can become and also prevents democratic countries outside the North Atlantic region to become members and receive military protection by the alliance.</t>
  </si>
  <si>
    <t xml:space="preserve">NATO was created at a time where Asia was not very important economically or militarily. That has changed dramatically with the economic and military rise of China. GDaFed will solve the military vacuum that exist in Asia to create a unified defense against NK and China aggression. </t>
  </si>
  <si>
    <t>Sweden and Finland's admission to NATO was stalled for years and only went through after unjust concessions was made to Hungary and Turkey. That problem will not exist in GDaFed obviously because neither Turkey or Hungary will qualify to become members of GDaFed and also because even if they were members they would not have enough votes to veto anything.</t>
  </si>
  <si>
    <t>Freedom, egalitarianism and democracy are considered basic human rights or values that are shared across all member states and that are worth fighting and dying for. Freedom, egalitarianism and democracy is the ethical and moral glue of the alliance that justifies ordering the soldiers of the membership countries to give their lives for the protection of the territory of any other membership country.</t>
  </si>
  <si>
    <t>NATO does not have a purpose that is worth fighting and dyeing for. That makes NATO unstable, fragmented and destined for failure. Most wars have been about fighting and dying for the country, King/Queen or for a religion as main motivation. NATO is an alliance of different countries with very different cultures so not reasonable anyone want to fight and die for another NATO country perhaps even having another religion. The only glue that will hold GDaFed together is the shared belief in the good of maintaining high levels of freedom, egalitarianism and democracy. The belief in these 3 principles for good is so important that they are explicitly stated in the name of GDaFed so that no one forget what GDaFed is all about.</t>
  </si>
  <si>
    <t>Permitted limitations of free speech is for 1) Anyone having points of views that are against a free, egalitarian and democratic society, 2) Anyone who make public threats of violence towards other people, 3) Anyone who have access to classified information say military info protected by law but who chose to make it public information regardless. 4) People spreading lies about important historical facts like holocaust denial or that spread lies about important medical facts like saying a medical treatment does not work when in fact it is well documented to work. 5) People spreading lies about other people with the intent to harm them socially like claiming someone is a rapist or a pedophile when they are not (unjustified defamation). 6) Ultra aggressive and disrespectful treatment of symbols that other people consider sacred like burning of flags, dolls of known people or deities, religious texts or other such symbols is not permitted under free speech because it unnecessarily is inciting violence among people. Citizens violating these 6 cases of illegal free speech can be criminalized and punished by fines or prison. There will likely be several more cases than these 6 instances where free speech should be limited and they will be added to this list as HM becomes aware of them.</t>
  </si>
  <si>
    <t>High level verification of all social media accounts</t>
  </si>
  <si>
    <t>Permitted limitations of free speech in GDaFed</t>
  </si>
  <si>
    <t>NATO does not have any formal procedure for exit</t>
  </si>
  <si>
    <t>Not permitted limitation of free speech in GDaFed</t>
  </si>
  <si>
    <t>Not permitted limitations of free speech 1) People are allowed to have religious convictions that are not supported by any scientifically established consensus facts. For instance some people wrongly believe humans was not a product of biological evolution but that they where created by a deity some 10,000 years ago. This is false but a permitted kind of nonsense protected by free speech. Others believe the earth is flat and if you go to its edge you will fall down and die. Again false but it is harmless nonsense by a few people so not worth making illegal. 2) Also people has the right to be angry with other people and call them unpleasant names in public like idiot, stupid, moron, imbecilic etc. 3) Mocking other people in public for their religious or political beliefs using words or theatrical acts is also permitted and protected by free speech. 4) Comedian/humorous expressions making fun of people's gender, obesity, religion, politics is also permitted under free speech. There will likely be several more cases than these 4 instances where free speech should not be limited and they will be added to this list as HM becomes aware of them.</t>
  </si>
  <si>
    <t>All people are equal to the law</t>
  </si>
  <si>
    <t>Ban on all social media accounts from enemy countries</t>
  </si>
  <si>
    <t>Discrimination of any kind is not legal</t>
  </si>
  <si>
    <t>https://en.wikipedia.org/wiki/Afghanistan</t>
  </si>
  <si>
    <t>Human social media accounts must be 100% human</t>
  </si>
  <si>
    <t>https://en.wikipedia.org/wiki/Afghan_Armed_Forces</t>
  </si>
  <si>
    <t>Owners of machine social media accounts are fully liable</t>
  </si>
  <si>
    <t>The constitutions and other legislation must protect the fundamental principle that all citizens are equal to the law. So apartheid is not allowed and slavery of any for is not allowed. Dictatorship where the word of one person at the top is the law is obviously not allowed either.</t>
  </si>
  <si>
    <t>Any country that wish to leave alliance can do so at any time. All they need to do is to inform GDaFed's general assembly that they want to leave and GDaFed staff will start implementing the departure immediately by barring country from access to GDaFed offices and military cooperation and also noticing alliance members that they are obligated to stop procuring arms energy products, food and raw materials from country that leaves see below.</t>
  </si>
  <si>
    <t>All member countries are required to have laws requiring that all social media companies verify the identity of their private users by e-mail, phone number, physical address and identity using valid ID like a passport driver license, social security card or other valid ID. For corporate accounts the identification must be stricter requiring IDs, telephone, email, physical address for all people in the top management of company. Also company must provide physical address for country of incorporation as well as tax ID and bank account IDs. This is needed to held people accountable for what they make public on social media as some of that content may be illegal and require criminal prosecution. We also need to identify who are humans and who are machines and it should be required that machine generated accounts are easily and visibly identified as such so all humans always knows if they converse with a machine or a human. Also machines should obey the same rules of free speech as humans and the owners of the machine accounts are criminally liable for what their machines are saying in public.</t>
  </si>
  <si>
    <t>Citizens of GDaFed countries are free not slaves</t>
  </si>
  <si>
    <t xml:space="preserve">All citizens of GDaFed countries have the right to chose their own education, job and partner in life. Slavery of any kind is not permitted. </t>
  </si>
  <si>
    <t xml:space="preserve">GDaFed's Founding Charter </t>
  </si>
  <si>
    <t>Enemy countries attacking, threatening or intimidating GDaFed member countries</t>
  </si>
  <si>
    <t>General support for freedom egalitarianism &amp; democracy</t>
  </si>
  <si>
    <r>
      <t>GDaFed - "The Global Defense Alliance for Freedom Egalitarianism and Democracy"</t>
    </r>
    <r>
      <rPr>
        <sz val="18"/>
        <color theme="1"/>
        <rFont val="Calibri"/>
        <family val="2"/>
        <scheme val="minor"/>
      </rPr>
      <t xml:space="preserve"> a stronger NATO with clear mission and effective governance</t>
    </r>
  </si>
  <si>
    <t>NATO = North Atlantic Treaty Organization</t>
  </si>
  <si>
    <t>NATO currently do not have a strategy or the means to fight a hybrid war where our enemies use massive manipulation of social media applying AI bots and control of other more traditional media to undermine our countries by promoting extremist views that splits us and by spreading propaganda against democracy, egalitarianism and democracy. GDaFed solves that problem by having a clear strategy and the means for how to fight such a hybrid war.</t>
  </si>
  <si>
    <t>GDaFed's likely member countries</t>
  </si>
  <si>
    <t>Global alliance, entry, exit, expulsion &amp; exceptions</t>
  </si>
  <si>
    <t>Level of military spending &amp; procurement of arms</t>
  </si>
  <si>
    <t>Both foreign policy and internal policy of member states should always show support for the principles of freedom, egalitarianism &amp; democracy. Internally no laws should exist that suppress free speech. All citizens are equal to the law. No discrimination based on race or gender. Religious and political beliefs should not be discriminated against unless they pose a threat to freedom, egalitarianism &amp; democracy.</t>
  </si>
  <si>
    <t>Change of rules for GDaFed by 80% in favor</t>
  </si>
  <si>
    <t>GDP in</t>
  </si>
  <si>
    <t>electricity</t>
  </si>
  <si>
    <t>% of global</t>
  </si>
  <si>
    <t>in % of global</t>
  </si>
  <si>
    <t>Ban on any ownership or support of media from enemy countries</t>
  </si>
  <si>
    <t xml:space="preserve">NATO cant expel a member state and that means it is impossible to get rid of a country that has changed after an election and has become an enemy state of the NATO alliance like Hungary being a Russian puppet and Turkey becoming an Islamist authoritarian state. </t>
  </si>
  <si>
    <t>Required minimum military spending by min. % of GDP</t>
  </si>
  <si>
    <t>Entry by 67% of votes</t>
  </si>
  <si>
    <t>Exit at any time</t>
  </si>
  <si>
    <t>New members can be accepted by a 67% votes in favor. Again only the US has a veto as it likely has over 33% of the votes.</t>
  </si>
  <si>
    <t>Expulsion of GDaFed member can happen if 80% are in favor</t>
  </si>
  <si>
    <t>Exceptions from GDaFed rules for member countries if 67% are in favor</t>
  </si>
  <si>
    <t>Non-compliance countries are expelled from alliance, no vote needed</t>
  </si>
  <si>
    <t xml:space="preserve">Exception to members about spending and arms procurement </t>
  </si>
  <si>
    <t>Each year the member countries vote on the needed level of required minimum military spending as given by a percentage of GDP. In peacetime it will normally be 2%. In times of conflict as we currently have it should be minimum 3% perhaps even 4%. Countries wanting to spend more can do that.</t>
  </si>
  <si>
    <t>67% of votes needed to change to new minimum military spending</t>
  </si>
  <si>
    <t>A new percentage level of military spending for all member states will require 67% of the total votes to be in favor. Member countries will be given 1 fiscal year to comply with changes in military spending.</t>
  </si>
  <si>
    <t>All arms procurement must be from member countries only</t>
  </si>
  <si>
    <t>All arms must be procured from member countries only. This rule is needed because 1) It secures that the supply chain for arms comes from friendly countries and 2) It creates a strong incentive to join alliance because it opens up the arms market for the domestic arms producers of the country that joins alliance.</t>
  </si>
  <si>
    <t>If a country fails to comply with GDaFed's rules or something else it can be expelled from the alliance by a 80% votes in favor of that. The 80% rule will give the US a veto right if they disapprove because they are the only GDaFed member that has over 20% of the votes. This rule is needed to incentivize the US to be a member as the US is badly needed for this alliance to stand any chance against an invasion by the enemy countries of freedom, egalitarianism and democracy.</t>
  </si>
  <si>
    <t>A member country who want to be excepted from one of GDaFed's rules can be granted such an exception for 1 year if over 2/3 of the votes of the member countries allow this exception to be granted. The vote on allowing for the exception can be repeated next year if needed by the member country. There can be a special situation of a member country that they are in a dire economic situation or they may have a chaotic parliamentary situation after an election that may be a good reason for a member country to be granted an exception from a GDaFed rule.</t>
  </si>
  <si>
    <t>Social media accounts that are designated as human not machine are not allowed to use machines to commend, like or repost any content. A violation of this law will be punished by a temporary ban to use account for say 3 months for first time a violation and longer if violation is repeated. This is difficult to enforce but one sign that a machine is controlling the account is that it interacts more rapidly than a human can physically do like over 500 likes, posts and reposts per day. If this happens the account is suspended while an investigation into the matter is done to determine if the social media account owner has violated the rules about not using machine bots on their human designated social media account.</t>
  </si>
  <si>
    <t xml:space="preserve">Private people or companies can set up avatar machine social media accounts to do various jobs on their behalf. These accounts are required to be easily and visibly identifiable by others as machine accounts. The owners of a machine social media account (be it people or corporations) are fully legally liable for whatever that machine social media account is doing and if it violates the rules say it begins to spew propaganda against freedom egalitarianism and democracy the machine account will be suspended and the owner will face legal prosecution and punishment in proportion to how grave this violation of the law is. </t>
  </si>
  <si>
    <t>No social media account from people or companies that have physical address in an enemy country (see list of enemy countries in sheet "StrongerNATO_Members") will be allowed to be visible in any GDaFed member country.</t>
  </si>
  <si>
    <t>No enemy country (see list of enemy countries in sheet "StrongerNATO_Members") are allowed to have any ownership either directly or indirectly in any media company that is licensed to operate in a GDaFed member country. This is needed for the obvious reason that the enemies to GDaFed members will use their control of media to undermine the freedom, egalitarianism and democracy of any GDaFed member countries. The war today between democracies and the enemies of democracy is not only fought physically as in Ukraine and Israel but also on social media and all other media platforms and we need effective ways of stopping enemy propaganda from people and machine bots from manipulating our populations and braking our societies apart.</t>
  </si>
  <si>
    <t xml:space="preserve">No people get any special treatment or have any privileges because of irrelevant characteristics such as gender, religion, political affiliation, race, ethnicity, or belonging to family/cast. Discriminatory practices that are not allowed include but not limited to 1) Affirmative action practices that promote one race over other races to a job position or something else (only real merits like education, previous job experience, etc. should be considered). 2) Gender discrimination that promote one gender over another. In democratic countries unfortunately some discriminatory practices have been seen popping up that discriminate against typically white men and Asians. No discrimination is allowed against anyone and this include groups that on average are doing better than the population average like white men and Asians. </t>
  </si>
  <si>
    <t>It solves the obvious problem that some NATO countries reap the benefit of alliance protection but do not contribute to the defense of the alliance as much as they should for the membership to be fair to other NATO countries spending far more on military expenses.</t>
  </si>
  <si>
    <t xml:space="preserve">A member country that want to spend less than the required minimum or that want to procure arms from a non-member country can put such a request to vote among member countries. If 67% of the votes approves it will be  granted. With regard to minimum military spending it will be allowed for 1 fiscal year. Vote can be repeated next year if needed by the member country. With regard to procurement of arms a vote is needed for each arms deal made. </t>
  </si>
  <si>
    <t>Countries not spending the required minimum and that are not granted an exception will automatically be expelled from alliance. Automatic expulsion is also the case for countries procuring weapons from non-member countries and that have not been granted an exception. Being expelled for not spending enough on military expenses or for procuring weapons from non-member countries does not require a vote of 80% in favor of expulsion.</t>
  </si>
  <si>
    <t>All fertilizers must come from GDaFed countries</t>
  </si>
  <si>
    <t>All important food items must come from GDaFed countries</t>
  </si>
  <si>
    <t>All ICs/Chips must come from GDaFed countries</t>
  </si>
  <si>
    <t>All important solar power products must come from GDaFed countries</t>
  </si>
  <si>
    <t>All important raw materials must come from GDaFed countries</t>
  </si>
  <si>
    <t>All fossil fuels must come from GDaFed countries</t>
  </si>
  <si>
    <t>All nuclear fuel must come from GDaFed countries</t>
  </si>
  <si>
    <t>All important wind power products must come from GDaFed countries</t>
  </si>
  <si>
    <t>All important supply chains must be internalized to GDaFed countries</t>
  </si>
  <si>
    <t>All important battery products must come from GDaFed countries</t>
  </si>
  <si>
    <t>All pesticides must come from GDaFed countries</t>
  </si>
  <si>
    <t>NATO is only about direct military power. It has no strategy for securing its vital supply chains in a global war with enemy countries.</t>
  </si>
  <si>
    <t xml:space="preserve">Sources for </t>
  </si>
  <si>
    <t>You need fertilizers to produce most food items so has to be regulated. Today Russia is a big exporter of fertilizer and no GDaFed country should be allowed to import Russian fertilizers.</t>
  </si>
  <si>
    <t>Food that is important by tonnage like grains, flowers, sugar, meat, oils, eggs, dairy products and some key vegetables like potato and cabbage. Soya sauce and candy are examples of food items that are not strategically important and therefore will not be regulated by GDaFed rules.</t>
  </si>
  <si>
    <t>Regulated items will be rare earth elements, cobalt, cobber, aluminum, iron etc.</t>
  </si>
  <si>
    <t>Taiwan will be forced to become a GDaFed member if they want to continue to make chips and export them to other GDaFed countries with zero tariff</t>
  </si>
  <si>
    <t>The US, Canada, Norway and Australia can supply 100% of all the fossil fuels that GDaFed countries need to import. It will only take a few years to make that change in current supply chains.</t>
  </si>
  <si>
    <t>Today only 20% of Uranium fuels come from Canada and Australia. The rest come from Russia or Russian controlled countries more or less. GDaFed need to buy 100% of their Uranium fuels from Canada and Australia obviously.</t>
  </si>
  <si>
    <t>Solar power panels made in China can produce electricity for &lt;0.02USD/kWh. This is cheaper than any other source of electricity. China has more scale and more elaborate supply chain for making solar power than any other country by a large margin so currently impossible for other countries to compete with Chinese solar. GDaFed countries must develop their own solar power supply chains because we need electricity that is cheap and that we are able to make ourselves. However, that industry cannot evolve if it has to compete with Chinees solar power so tariffs are needed.</t>
  </si>
  <si>
    <t>China also is fast becoming dominant in wind power that are needed because it is cheap like solar and also because wind power decrease problems of intermittency in the grid when combined with solar power. Tariffs are needed to be sure we make our own electricity from wind power.</t>
  </si>
  <si>
    <t>China is totally dominant in global production of batteries with over 80% of global production. They can make batteries for less than 50 USD /kWh. Outside of China batteries still cost over 100 USD/kWh to make. Only way to be sure GDaFed countries make their own all important batteries is by tariffs keeping the Chinese batteries out.</t>
  </si>
  <si>
    <r>
      <rPr>
        <b/>
        <sz val="11"/>
        <color theme="1"/>
        <rFont val="Calibri"/>
        <family val="2"/>
        <scheme val="minor"/>
      </rPr>
      <t>Turkey</t>
    </r>
    <r>
      <rPr>
        <sz val="11"/>
        <color theme="1"/>
        <rFont val="Calibri"/>
        <family val="2"/>
        <scheme val="minor"/>
      </rPr>
      <t xml:space="preserve"> N </t>
    </r>
    <r>
      <rPr>
        <sz val="11"/>
        <color theme="1"/>
        <rFont val="Calibri"/>
        <family val="2"/>
        <scheme val="minor"/>
      </rPr>
      <t>AK (enemy to Greece D, Cyprus D &amp; Israel D, adversary to all non-Muslim)</t>
    </r>
  </si>
  <si>
    <t>Number of likely GDaFed member countries</t>
  </si>
  <si>
    <t>All important financial services must come from GDaFed countries</t>
  </si>
  <si>
    <t>This will force Switzerland to become a member state or their economy will be ruined.</t>
  </si>
  <si>
    <t>Russia invaded parts of Georgia in August 2008 and has occupied that territory ever since and also ethnically displaced 192000 ethnic Georgians from Russian occupied areas.</t>
  </si>
  <si>
    <r>
      <t xml:space="preserve">Lebanon, all </t>
    </r>
    <r>
      <rPr>
        <sz val="11"/>
        <color theme="1"/>
        <rFont val="Calibri"/>
        <family val="2"/>
        <scheme val="minor"/>
      </rPr>
      <t>AK (a failed dysfunctional state)</t>
    </r>
  </si>
  <si>
    <r>
      <t xml:space="preserve">Hungary D N E </t>
    </r>
    <r>
      <rPr>
        <sz val="11"/>
        <color theme="1"/>
        <rFont val="Calibri"/>
        <family val="2"/>
        <scheme val="minor"/>
      </rPr>
      <t>(appears to be partially controlled by Russia through bribes (incl cheap oil and gas) and old school blackmail like compromising videos of people with power)</t>
    </r>
  </si>
  <si>
    <r>
      <t>Austria D E</t>
    </r>
    <r>
      <rPr>
        <sz val="11"/>
        <color theme="1"/>
        <rFont val="Calibri"/>
        <family val="2"/>
        <scheme val="minor"/>
      </rPr>
      <t xml:space="preserve"> (appears to be partially controlled by Russia through bribes (incl cheap oil and gas) and old school blackmail like compromising videos of people with power)</t>
    </r>
  </si>
  <si>
    <r>
      <t xml:space="preserve">Afghanistan </t>
    </r>
    <r>
      <rPr>
        <sz val="11"/>
        <color theme="1"/>
        <rFont val="Calibri"/>
        <family val="2"/>
        <scheme val="minor"/>
      </rPr>
      <t>AK (enemy to all non-Islamist people)</t>
    </r>
  </si>
  <si>
    <t>Number of enemy countries threatening invasion of GDaFed countries</t>
  </si>
  <si>
    <r>
      <t xml:space="preserve"> - Hungary </t>
    </r>
    <r>
      <rPr>
        <sz val="11"/>
        <color theme="1"/>
        <rFont val="Calibri"/>
        <family val="2"/>
        <scheme val="minor"/>
      </rPr>
      <t>D N E (appears to be partially controlled by Russia through bribes (incl cheap oil and gas) and old school blackmail like compromising videos of people with power)</t>
    </r>
  </si>
  <si>
    <r>
      <t xml:space="preserve"> - Austria </t>
    </r>
    <r>
      <rPr>
        <sz val="11"/>
        <color theme="1"/>
        <rFont val="Calibri"/>
        <family val="2"/>
        <scheme val="minor"/>
      </rPr>
      <t>D E (appears to be partially controlled by Russia through bribes (incl cheap oil and gas) and old school blackmail like compromising videos of people with power)</t>
    </r>
  </si>
  <si>
    <t>Rules and principles by category</t>
  </si>
  <si>
    <t>Some ideas for how to get started</t>
  </si>
  <si>
    <t>The mentioned founding members should iniciate a process for completing the Founding Charter for GDaFed and commit to get in done in 24 months at most because we don’t have more time as we a losing the war with our enemies on the media front rapidly meaning our democracies will turn authoritarian if nothing is done ASAP.</t>
  </si>
  <si>
    <t>About EU negotiating as a single country for its GDaFed members</t>
  </si>
  <si>
    <t>Founding members</t>
  </si>
  <si>
    <t>Important supply chains are those that would make GDaFed lose a global war (with conventional weapons) if the enemy countries manages to cut these supply chains. Obviously, if these supply chains exist between GDaFed members and enemies of GDaFed they will be cut from the moment the global war starts. Furthermore, if these important supply chains exist between GDaFed members and non-members that are also not explicit enemies they should be easier to cut by GDaFed's enemies because they could threaten war or economic sanctions on these countries if the supply lines are not cut. See list below for the kind of supply chains that should be regulated by GDaFed member rules. GDaFed should make an explicit list of all items traded that are considered strategically important for the defense of GDaFed's territory in case a multi-year long global war breaks out with GDaFed's enemies and all trade with non-GDaFed countries is abruptly ended. In that case GDaFed needs to be self supplied with all important items to maintain production needed to sustain itself for as long as it takes to win a global war with conventional weapons and push the enemy out of GDaFed territory.</t>
  </si>
  <si>
    <t>A simple low cost way to implement an import ban on all strategic supply chains from non-GDaFed member countries is to start with a 10% import tariff that all GDaFed countries must charge on imports from all non-GDaFed countries on the regulated item. Then year after year that mandatory import tariff is increased from the initial 10% to much higher like 200% that effectively should end all imports on regulation item.</t>
  </si>
  <si>
    <t>About Taiwan membership of GDaFed</t>
  </si>
  <si>
    <t>Process for making Founding Charter</t>
  </si>
  <si>
    <t>It is preferable that the Founding Members of GDaFed include as many of the listed potential members in sheet "StrongerNATO_Members" as possible. This is preferable because countries that are not GDaFed members will eventually be barred 100% from exporting arms to GDaFed countries and also GDaFed members will  eventually be 100% barred from importing any strategically important items and services from non GDaFed members. To ease compliance with these GDaFed rules they can be phased in gradually see below.</t>
  </si>
  <si>
    <t>Transition rules for arms procurement</t>
  </si>
  <si>
    <t xml:space="preserve">From the date GDaFed </t>
  </si>
  <si>
    <t>Any change to supply chain rules need a 67% majority vote approval</t>
  </si>
  <si>
    <t>Transition rules for supply chain rules</t>
  </si>
  <si>
    <t>If a member country of GDaFed want to have higher tariffs on imports of regulated items that required as minimum tariff by GDaFed rules they can do that as they please.</t>
  </si>
  <si>
    <t>GDaFed countries can charge higher tariffs than required minimum</t>
  </si>
  <si>
    <t>Adding a new supply chain product or service to list of regulated items require a 67% majority to be approved. Same for changes to mandatory minimum import tariffs for GDaFed countries on regulated items or making a rule that outright ban the import of an item from non-member countries to member countries.</t>
  </si>
  <si>
    <t>AQ Islamists advance to Hama, Putin replaces his top Syrian general &amp; much more #69/96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</si>
</sst>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164" formatCode="#,##0.0"/>
    <numFmt numFmtId="165" formatCode="0.0"/>
    <numFmt numFmtId="166" formatCode="[$-409]d\-mmm\-yy;@"/>
    <numFmt numFmtId="167" formatCode="0.000"/>
    <numFmt numFmtId="168" formatCode="#,##0.000"/>
    <numFmt numFmtId="169" formatCode="0.0%"/>
    <numFmt numFmtId="170" formatCode="&quot;$&quot;#,##0"/>
    <numFmt numFmtId="171" formatCode="&quot;$&quot;#,##0.0"/>
    <numFmt numFmtId="172" formatCode="&quot;$&quot;#,##0.00"/>
  </numFmts>
  <fonts count="18" x14ac:knownFonts="1">
    <font>
      <sz val="11"/>
      <color theme="1"/>
      <name val="Calibri"/>
      <family val="2"/>
      <scheme val="minor"/>
    </font>
    <font>
      <b/>
      <sz val="11"/>
      <color theme="1"/>
      <name val="Calibri"/>
      <family val="2"/>
      <scheme val="minor"/>
    </font>
    <font>
      <sz val="22"/>
      <color theme="1"/>
      <name val="Calibri"/>
      <family val="2"/>
      <scheme val="minor"/>
    </font>
    <font>
      <sz val="18"/>
      <color theme="1"/>
      <name val="Calibri"/>
      <family val="2"/>
      <scheme val="minor"/>
    </font>
    <font>
      <u/>
      <sz val="11"/>
      <color theme="10"/>
      <name val="Calibri"/>
      <family val="2"/>
      <scheme val="minor"/>
    </font>
    <font>
      <sz val="11"/>
      <name val="Calibri"/>
      <family val="2"/>
      <scheme val="minor"/>
    </font>
    <font>
      <sz val="11"/>
      <color theme="10"/>
      <name val="Calibri"/>
      <family val="2"/>
      <scheme val="minor"/>
    </font>
    <font>
      <sz val="9"/>
      <color theme="1"/>
      <name val="Calibri"/>
      <family val="2"/>
      <scheme val="minor"/>
    </font>
    <font>
      <sz val="8"/>
      <name val="Calibri"/>
      <family val="2"/>
      <scheme val="minor"/>
    </font>
    <font>
      <sz val="12"/>
      <color theme="1"/>
      <name val="Calibri"/>
      <family val="2"/>
      <scheme val="minor"/>
    </font>
    <font>
      <b/>
      <sz val="16"/>
      <color theme="1"/>
      <name val="Calibri"/>
      <family val="2"/>
      <scheme val="minor"/>
    </font>
    <font>
      <b/>
      <sz val="14"/>
      <color theme="1"/>
      <name val="Calibri"/>
      <family val="2"/>
      <scheme val="minor"/>
    </font>
    <font>
      <b/>
      <sz val="11"/>
      <name val="Calibri"/>
      <family val="2"/>
      <scheme val="minor"/>
    </font>
    <font>
      <b/>
      <sz val="9"/>
      <color theme="1"/>
      <name val="Calibri"/>
      <family val="2"/>
      <scheme val="minor"/>
    </font>
    <font>
      <b/>
      <sz val="18"/>
      <color theme="1"/>
      <name val="Calibri"/>
      <family val="2"/>
      <scheme val="minor"/>
    </font>
    <font>
      <b/>
      <sz val="12"/>
      <color theme="1"/>
      <name val="Calibri"/>
      <family val="2"/>
      <scheme val="minor"/>
    </font>
    <font>
      <sz val="10"/>
      <color theme="1"/>
      <name val="Calibri"/>
      <family val="2"/>
      <scheme val="minor"/>
    </font>
    <font>
      <b/>
      <u/>
      <sz val="11"/>
      <color theme="10"/>
      <name val="Calibri"/>
      <family val="2"/>
      <scheme val="minor"/>
    </font>
  </fonts>
  <fills count="21">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rgb="FF92D05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rgb="FFFF0000"/>
        <bgColor indexed="64"/>
      </patternFill>
    </fill>
    <fill>
      <patternFill patternType="solid">
        <fgColor theme="2" tint="-9.9978637043366805E-2"/>
        <bgColor indexed="64"/>
      </patternFill>
    </fill>
  </fills>
  <borders count="19">
    <border>
      <left/>
      <right/>
      <top/>
      <bottom/>
      <diagonal/>
    </border>
    <border>
      <left style="thick">
        <color auto="1"/>
      </left>
      <right/>
      <top style="thick">
        <color auto="1"/>
      </top>
      <bottom style="thick">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ck">
        <color auto="1"/>
      </left>
      <right/>
      <top style="medium">
        <color auto="1"/>
      </top>
      <bottom/>
      <diagonal/>
    </border>
    <border>
      <left/>
      <right/>
      <top style="medium">
        <color auto="1"/>
      </top>
      <bottom/>
      <diagonal/>
    </border>
    <border>
      <left/>
      <right style="thick">
        <color auto="1"/>
      </right>
      <top style="medium">
        <color auto="1"/>
      </top>
      <bottom/>
      <diagonal/>
    </border>
    <border>
      <left style="thick">
        <color auto="1"/>
      </left>
      <right style="thick">
        <color auto="1"/>
      </right>
      <top style="thick">
        <color auto="1"/>
      </top>
      <bottom style="thick">
        <color auto="1"/>
      </bottom>
      <diagonal/>
    </border>
  </borders>
  <cellStyleXfs count="2">
    <xf numFmtId="0" fontId="0" fillId="0" borderId="0"/>
    <xf numFmtId="0" fontId="4" fillId="0" borderId="0" applyNumberFormat="0" applyFill="0" applyBorder="0" applyAlignment="0" applyProtection="0"/>
  </cellStyleXfs>
  <cellXfs count="856">
    <xf numFmtId="0" fontId="0" fillId="0" borderId="0" xfId="0"/>
    <xf numFmtId="0" fontId="2" fillId="0" borderId="0" xfId="0" applyFont="1"/>
    <xf numFmtId="0" fontId="3" fillId="0" borderId="0" xfId="0" applyFont="1"/>
    <xf numFmtId="0" fontId="1" fillId="0" borderId="0" xfId="0" applyFont="1"/>
    <xf numFmtId="0" fontId="4" fillId="0" borderId="0" xfId="1"/>
    <xf numFmtId="0" fontId="0" fillId="0" borderId="2" xfId="0" applyBorder="1"/>
    <xf numFmtId="0" fontId="1" fillId="0" borderId="3" xfId="0" applyFont="1" applyBorder="1"/>
    <xf numFmtId="0" fontId="1" fillId="0" borderId="4" xfId="0" applyFont="1" applyBorder="1"/>
    <xf numFmtId="2" fontId="0" fillId="0" borderId="0" xfId="0" applyNumberFormat="1"/>
    <xf numFmtId="4" fontId="0" fillId="0" borderId="0" xfId="0" applyNumberFormat="1"/>
    <xf numFmtId="0" fontId="1" fillId="2" borderId="4" xfId="0" applyFont="1" applyFill="1" applyBorder="1"/>
    <xf numFmtId="2" fontId="0" fillId="2" borderId="0" xfId="0" applyNumberFormat="1" applyFill="1"/>
    <xf numFmtId="4" fontId="0" fillId="2" borderId="0" xfId="0" applyNumberFormat="1" applyFill="1"/>
    <xf numFmtId="0" fontId="1" fillId="0" borderId="5" xfId="0" applyFont="1" applyBorder="1"/>
    <xf numFmtId="0" fontId="0" fillId="0" borderId="6" xfId="0" applyBorder="1"/>
    <xf numFmtId="0" fontId="1" fillId="0" borderId="2" xfId="0" applyFont="1" applyBorder="1"/>
    <xf numFmtId="4" fontId="0" fillId="0" borderId="4" xfId="0" applyNumberFormat="1" applyBorder="1"/>
    <xf numFmtId="0" fontId="0" fillId="0" borderId="5" xfId="0" applyBorder="1"/>
    <xf numFmtId="0" fontId="1" fillId="0" borderId="6" xfId="0" applyFont="1" applyBorder="1"/>
    <xf numFmtId="0" fontId="0" fillId="0" borderId="3" xfId="0" applyBorder="1"/>
    <xf numFmtId="0" fontId="4" fillId="0" borderId="0" xfId="1" applyFill="1" applyBorder="1"/>
    <xf numFmtId="0" fontId="1" fillId="0" borderId="1" xfId="0" applyFont="1" applyBorder="1"/>
    <xf numFmtId="0" fontId="0" fillId="0" borderId="7" xfId="0" applyBorder="1"/>
    <xf numFmtId="2" fontId="4" fillId="0" borderId="3" xfId="1" applyNumberFormat="1" applyBorder="1"/>
    <xf numFmtId="0" fontId="0" fillId="0" borderId="9" xfId="0" applyBorder="1"/>
    <xf numFmtId="0" fontId="0" fillId="0" borderId="10" xfId="0" applyBorder="1"/>
    <xf numFmtId="2" fontId="4" fillId="0" borderId="0" xfId="1" applyNumberFormat="1" applyBorder="1"/>
    <xf numFmtId="2" fontId="4" fillId="0" borderId="6" xfId="1" applyNumberFormat="1" applyBorder="1"/>
    <xf numFmtId="0" fontId="0" fillId="0" borderId="11" xfId="0" applyBorder="1"/>
    <xf numFmtId="0" fontId="4" fillId="0" borderId="2" xfId="1" applyBorder="1"/>
    <xf numFmtId="2" fontId="0" fillId="0" borderId="4" xfId="0" applyNumberFormat="1" applyBorder="1"/>
    <xf numFmtId="0" fontId="4" fillId="0" borderId="4" xfId="1" applyBorder="1"/>
    <xf numFmtId="0" fontId="4" fillId="0" borderId="5" xfId="1" applyBorder="1"/>
    <xf numFmtId="0" fontId="4" fillId="0" borderId="7" xfId="1" applyFill="1" applyBorder="1"/>
    <xf numFmtId="0" fontId="4" fillId="2" borderId="0" xfId="1" applyFill="1" applyBorder="1"/>
    <xf numFmtId="2" fontId="0" fillId="2" borderId="4" xfId="0" applyNumberFormat="1" applyFill="1" applyBorder="1"/>
    <xf numFmtId="0" fontId="0" fillId="2" borderId="10" xfId="0" applyFill="1" applyBorder="1"/>
    <xf numFmtId="2" fontId="4" fillId="2" borderId="0" xfId="1" applyNumberFormat="1" applyFill="1" applyBorder="1"/>
    <xf numFmtId="0" fontId="4" fillId="2" borderId="4" xfId="1" applyFill="1" applyBorder="1"/>
    <xf numFmtId="0" fontId="1" fillId="0" borderId="9" xfId="0" applyFont="1" applyBorder="1"/>
    <xf numFmtId="0" fontId="1" fillId="0" borderId="11" xfId="0" applyFont="1" applyBorder="1"/>
    <xf numFmtId="10" fontId="0" fillId="0" borderId="10" xfId="0" applyNumberFormat="1" applyBorder="1"/>
    <xf numFmtId="0" fontId="0" fillId="0" borderId="0" xfId="0" applyAlignment="1">
      <alignment horizontal="right"/>
    </xf>
    <xf numFmtId="4" fontId="1" fillId="2" borderId="0" xfId="0" applyNumberFormat="1" applyFont="1" applyFill="1"/>
    <xf numFmtId="4" fontId="1" fillId="0" borderId="4" xfId="0" applyNumberFormat="1" applyFont="1" applyBorder="1"/>
    <xf numFmtId="10" fontId="1" fillId="0" borderId="10" xfId="0" applyNumberFormat="1" applyFont="1" applyBorder="1"/>
    <xf numFmtId="2" fontId="1" fillId="2" borderId="0" xfId="0" applyNumberFormat="1" applyFont="1" applyFill="1"/>
    <xf numFmtId="0" fontId="0" fillId="0" borderId="7" xfId="0" applyBorder="1" applyAlignment="1">
      <alignment horizontal="right"/>
    </xf>
    <xf numFmtId="0" fontId="0" fillId="0" borderId="3" xfId="0" applyBorder="1" applyAlignment="1">
      <alignment horizontal="right"/>
    </xf>
    <xf numFmtId="4" fontId="0" fillId="0" borderId="3" xfId="0" applyNumberFormat="1" applyBorder="1"/>
    <xf numFmtId="4" fontId="0" fillId="0" borderId="6" xfId="0" applyNumberFormat="1" applyBorder="1"/>
    <xf numFmtId="0" fontId="0" fillId="0" borderId="4" xfId="0" applyBorder="1"/>
    <xf numFmtId="4" fontId="4" fillId="0" borderId="3" xfId="1" applyNumberFormat="1" applyBorder="1"/>
    <xf numFmtId="4" fontId="5" fillId="0" borderId="0" xfId="1" applyNumberFormat="1" applyFont="1" applyBorder="1"/>
    <xf numFmtId="0" fontId="4" fillId="0" borderId="7" xfId="1" applyBorder="1"/>
    <xf numFmtId="4" fontId="1" fillId="0" borderId="6" xfId="0" applyNumberFormat="1" applyFont="1" applyBorder="1"/>
    <xf numFmtId="2" fontId="1" fillId="0" borderId="7" xfId="0" applyNumberFormat="1" applyFont="1" applyBorder="1"/>
    <xf numFmtId="4" fontId="1" fillId="0" borderId="7" xfId="0" applyNumberFormat="1" applyFont="1" applyBorder="1"/>
    <xf numFmtId="4" fontId="0" fillId="0" borderId="0" xfId="0" applyNumberFormat="1" applyAlignment="1">
      <alignment horizontal="right"/>
    </xf>
    <xf numFmtId="2" fontId="0" fillId="0" borderId="2" xfId="0" applyNumberFormat="1" applyBorder="1"/>
    <xf numFmtId="0" fontId="4" fillId="0" borderId="1" xfId="1" applyBorder="1"/>
    <xf numFmtId="2" fontId="1" fillId="0" borderId="11" xfId="0" applyNumberFormat="1" applyFont="1" applyBorder="1"/>
    <xf numFmtId="2" fontId="1" fillId="0" borderId="8" xfId="0" applyNumberFormat="1" applyFont="1" applyBorder="1"/>
    <xf numFmtId="4" fontId="1" fillId="0" borderId="1" xfId="0" applyNumberFormat="1" applyFont="1" applyBorder="1"/>
    <xf numFmtId="10" fontId="1" fillId="0" borderId="8" xfId="0" applyNumberFormat="1" applyFont="1" applyBorder="1"/>
    <xf numFmtId="0" fontId="1" fillId="3" borderId="4" xfId="0" applyFont="1" applyFill="1" applyBorder="1"/>
    <xf numFmtId="10" fontId="0" fillId="3" borderId="10" xfId="0" applyNumberFormat="1" applyFill="1" applyBorder="1"/>
    <xf numFmtId="0" fontId="5" fillId="0" borderId="5" xfId="1" applyFont="1" applyBorder="1"/>
    <xf numFmtId="2" fontId="0" fillId="0" borderId="6" xfId="0" applyNumberFormat="1" applyBorder="1" applyAlignment="1">
      <alignment horizontal="right"/>
    </xf>
    <xf numFmtId="2" fontId="0" fillId="0" borderId="3" xfId="0" applyNumberFormat="1" applyBorder="1" applyAlignment="1">
      <alignment horizontal="right"/>
    </xf>
    <xf numFmtId="2" fontId="0" fillId="0" borderId="0" xfId="0" applyNumberFormat="1" applyAlignment="1">
      <alignment horizontal="right"/>
    </xf>
    <xf numFmtId="2" fontId="0" fillId="2" borderId="0" xfId="0" applyNumberFormat="1" applyFill="1" applyAlignment="1">
      <alignment horizontal="right"/>
    </xf>
    <xf numFmtId="0" fontId="1" fillId="3" borderId="2" xfId="0" applyFont="1" applyFill="1" applyBorder="1"/>
    <xf numFmtId="4" fontId="1" fillId="3" borderId="0" xfId="0" applyNumberFormat="1" applyFont="1" applyFill="1"/>
    <xf numFmtId="2" fontId="1" fillId="3" borderId="0" xfId="0" applyNumberFormat="1" applyFont="1" applyFill="1"/>
    <xf numFmtId="2" fontId="1" fillId="3" borderId="11" xfId="0" applyNumberFormat="1" applyFont="1" applyFill="1" applyBorder="1"/>
    <xf numFmtId="10" fontId="1" fillId="3" borderId="10" xfId="0" applyNumberFormat="1" applyFont="1" applyFill="1" applyBorder="1"/>
    <xf numFmtId="0" fontId="0" fillId="0" borderId="8" xfId="0" applyBorder="1"/>
    <xf numFmtId="0" fontId="0" fillId="0" borderId="1" xfId="0" applyBorder="1"/>
    <xf numFmtId="0" fontId="1" fillId="0" borderId="3" xfId="0" applyFont="1" applyBorder="1" applyAlignment="1">
      <alignment horizontal="right"/>
    </xf>
    <xf numFmtId="0" fontId="1" fillId="0" borderId="12" xfId="0" applyFont="1" applyBorder="1"/>
    <xf numFmtId="4" fontId="1" fillId="0" borderId="0" xfId="0" applyNumberFormat="1" applyFont="1"/>
    <xf numFmtId="4" fontId="1" fillId="0" borderId="3" xfId="0" applyNumberFormat="1" applyFont="1" applyBorder="1"/>
    <xf numFmtId="4" fontId="1" fillId="0" borderId="9" xfId="0" applyNumberFormat="1" applyFont="1" applyBorder="1"/>
    <xf numFmtId="2" fontId="4" fillId="0" borderId="0" xfId="1" applyNumberFormat="1" applyFill="1" applyBorder="1"/>
    <xf numFmtId="0" fontId="4" fillId="0" borderId="4" xfId="1" applyFill="1" applyBorder="1"/>
    <xf numFmtId="2" fontId="0" fillId="0" borderId="9" xfId="0" applyNumberFormat="1" applyBorder="1" applyAlignment="1">
      <alignment horizontal="right"/>
    </xf>
    <xf numFmtId="2" fontId="0" fillId="0" borderId="10" xfId="0" applyNumberFormat="1" applyBorder="1" applyAlignment="1">
      <alignment horizontal="right"/>
    </xf>
    <xf numFmtId="2" fontId="0" fillId="0" borderId="11" xfId="0" applyNumberFormat="1" applyBorder="1" applyAlignment="1">
      <alignment horizontal="right"/>
    </xf>
    <xf numFmtId="0" fontId="5" fillId="0" borderId="2" xfId="1" applyFont="1" applyBorder="1"/>
    <xf numFmtId="0" fontId="5" fillId="0" borderId="4" xfId="1" applyFont="1" applyBorder="1"/>
    <xf numFmtId="4" fontId="1" fillId="0" borderId="3" xfId="0" applyNumberFormat="1" applyFont="1" applyBorder="1" applyAlignment="1">
      <alignment horizontal="right"/>
    </xf>
    <xf numFmtId="10" fontId="0" fillId="0" borderId="10" xfId="0" applyNumberFormat="1" applyBorder="1" applyAlignment="1">
      <alignment horizontal="right"/>
    </xf>
    <xf numFmtId="10" fontId="4" fillId="0" borderId="10" xfId="1" applyNumberFormat="1" applyBorder="1"/>
    <xf numFmtId="10" fontId="0" fillId="0" borderId="4" xfId="0" applyNumberFormat="1" applyBorder="1"/>
    <xf numFmtId="10" fontId="1" fillId="0" borderId="0" xfId="0" applyNumberFormat="1" applyFont="1"/>
    <xf numFmtId="10" fontId="0" fillId="0" borderId="0" xfId="0" applyNumberFormat="1"/>
    <xf numFmtId="0" fontId="4" fillId="0" borderId="0" xfId="1" applyBorder="1"/>
    <xf numFmtId="10" fontId="1" fillId="0" borderId="10" xfId="0" applyNumberFormat="1" applyFont="1" applyBorder="1" applyAlignment="1">
      <alignment horizontal="right"/>
    </xf>
    <xf numFmtId="3" fontId="0" fillId="0" borderId="4" xfId="0" applyNumberFormat="1" applyBorder="1"/>
    <xf numFmtId="3" fontId="1" fillId="0" borderId="4" xfId="0" applyNumberFormat="1" applyFont="1" applyBorder="1"/>
    <xf numFmtId="3" fontId="1" fillId="0" borderId="2" xfId="0" applyNumberFormat="1" applyFont="1" applyBorder="1"/>
    <xf numFmtId="10" fontId="1" fillId="0" borderId="11" xfId="0" applyNumberFormat="1" applyFont="1" applyBorder="1" applyAlignment="1">
      <alignment horizontal="right"/>
    </xf>
    <xf numFmtId="0" fontId="1" fillId="0" borderId="12" xfId="0" applyFont="1" applyBorder="1" applyAlignment="1">
      <alignment horizontal="right"/>
    </xf>
    <xf numFmtId="0" fontId="1" fillId="0" borderId="14" xfId="0" applyFont="1" applyBorder="1"/>
    <xf numFmtId="3" fontId="0" fillId="0" borderId="14" xfId="0" applyNumberFormat="1" applyBorder="1"/>
    <xf numFmtId="0" fontId="1" fillId="0" borderId="13" xfId="0" applyFont="1" applyBorder="1"/>
    <xf numFmtId="2" fontId="1" fillId="0" borderId="6" xfId="0" applyNumberFormat="1" applyFont="1" applyBorder="1" applyAlignment="1">
      <alignment horizontal="right"/>
    </xf>
    <xf numFmtId="0" fontId="0" fillId="0" borderId="6" xfId="0" applyBorder="1" applyAlignment="1">
      <alignment horizontal="right"/>
    </xf>
    <xf numFmtId="0" fontId="1" fillId="0" borderId="6" xfId="0" applyFont="1" applyBorder="1" applyAlignment="1">
      <alignment horizontal="right"/>
    </xf>
    <xf numFmtId="3" fontId="0" fillId="0" borderId="12" xfId="0" applyNumberFormat="1" applyBorder="1"/>
    <xf numFmtId="0" fontId="4" fillId="0" borderId="12" xfId="1" applyBorder="1"/>
    <xf numFmtId="0" fontId="0" fillId="0" borderId="13" xfId="0" applyBorder="1"/>
    <xf numFmtId="2" fontId="1" fillId="0" borderId="9" xfId="0" applyNumberFormat="1" applyFont="1" applyBorder="1" applyAlignment="1">
      <alignment horizontal="right"/>
    </xf>
    <xf numFmtId="10" fontId="1" fillId="0" borderId="9" xfId="0" applyNumberFormat="1" applyFont="1" applyBorder="1" applyAlignment="1">
      <alignment horizontal="right"/>
    </xf>
    <xf numFmtId="10" fontId="1" fillId="0" borderId="2" xfId="0" applyNumberFormat="1" applyFont="1" applyBorder="1"/>
    <xf numFmtId="10" fontId="1" fillId="0" borderId="3" xfId="0" applyNumberFormat="1" applyFont="1" applyBorder="1"/>
    <xf numFmtId="4" fontId="1" fillId="0" borderId="0" xfId="0" applyNumberFormat="1" applyFont="1" applyAlignment="1">
      <alignment horizontal="right"/>
    </xf>
    <xf numFmtId="2" fontId="1" fillId="0" borderId="0" xfId="0" applyNumberFormat="1" applyFont="1" applyAlignment="1">
      <alignment horizontal="right"/>
    </xf>
    <xf numFmtId="0" fontId="1" fillId="0" borderId="0" xfId="0" applyFont="1" applyAlignment="1">
      <alignment horizontal="right"/>
    </xf>
    <xf numFmtId="0" fontId="4" fillId="0" borderId="3" xfId="1" applyFill="1" applyBorder="1"/>
    <xf numFmtId="10" fontId="0" fillId="0" borderId="9" xfId="0" applyNumberFormat="1" applyBorder="1"/>
    <xf numFmtId="4" fontId="4" fillId="0" borderId="0" xfId="1" applyNumberFormat="1" applyBorder="1"/>
    <xf numFmtId="0" fontId="0" fillId="0" borderId="14" xfId="0" applyBorder="1"/>
    <xf numFmtId="10" fontId="0" fillId="0" borderId="2" xfId="0" applyNumberFormat="1" applyBorder="1" applyAlignment="1">
      <alignment horizontal="right"/>
    </xf>
    <xf numFmtId="10" fontId="0" fillId="0" borderId="3" xfId="0" applyNumberFormat="1" applyBorder="1" applyAlignment="1">
      <alignment horizontal="right"/>
    </xf>
    <xf numFmtId="10" fontId="0" fillId="0" borderId="0" xfId="0" applyNumberFormat="1" applyAlignment="1">
      <alignment horizontal="right"/>
    </xf>
    <xf numFmtId="10" fontId="1" fillId="0" borderId="4" xfId="0" applyNumberFormat="1" applyFont="1" applyBorder="1" applyAlignment="1">
      <alignment horizontal="right"/>
    </xf>
    <xf numFmtId="10" fontId="1" fillId="0" borderId="0" xfId="0" applyNumberFormat="1" applyFont="1" applyAlignment="1">
      <alignment horizontal="right"/>
    </xf>
    <xf numFmtId="3" fontId="0" fillId="0" borderId="5" xfId="0" applyNumberFormat="1" applyBorder="1"/>
    <xf numFmtId="10" fontId="0" fillId="0" borderId="5" xfId="0" applyNumberFormat="1" applyBorder="1"/>
    <xf numFmtId="10" fontId="0" fillId="0" borderId="6" xfId="0" applyNumberFormat="1" applyBorder="1"/>
    <xf numFmtId="10" fontId="0" fillId="0" borderId="11" xfId="0" applyNumberFormat="1" applyBorder="1"/>
    <xf numFmtId="3" fontId="1" fillId="0" borderId="0" xfId="0" applyNumberFormat="1" applyFont="1"/>
    <xf numFmtId="0" fontId="1" fillId="0" borderId="2" xfId="0" applyFont="1" applyBorder="1" applyAlignment="1">
      <alignment horizontal="right"/>
    </xf>
    <xf numFmtId="10" fontId="0" fillId="0" borderId="11" xfId="0" applyNumberFormat="1" applyBorder="1" applyAlignment="1">
      <alignment horizontal="right"/>
    </xf>
    <xf numFmtId="3" fontId="4" fillId="0" borderId="5" xfId="1" applyNumberFormat="1" applyBorder="1"/>
    <xf numFmtId="0" fontId="0" fillId="0" borderId="12" xfId="0" applyBorder="1"/>
    <xf numFmtId="0" fontId="1" fillId="3" borderId="14" xfId="0" applyFont="1" applyFill="1" applyBorder="1"/>
    <xf numFmtId="0" fontId="1" fillId="3" borderId="12" xfId="0" applyFont="1" applyFill="1" applyBorder="1"/>
    <xf numFmtId="0" fontId="1" fillId="0" borderId="10" xfId="0" applyFont="1" applyBorder="1"/>
    <xf numFmtId="0" fontId="1" fillId="0" borderId="14" xfId="0" applyFont="1" applyBorder="1" applyAlignment="1">
      <alignment horizontal="right"/>
    </xf>
    <xf numFmtId="2" fontId="0" fillId="0" borderId="10" xfId="0" applyNumberFormat="1" applyBorder="1"/>
    <xf numFmtId="4" fontId="0" fillId="0" borderId="10" xfId="0" applyNumberFormat="1" applyBorder="1"/>
    <xf numFmtId="4" fontId="1" fillId="0" borderId="10" xfId="0" applyNumberFormat="1" applyFont="1" applyBorder="1"/>
    <xf numFmtId="0" fontId="1" fillId="0" borderId="9" xfId="0" applyFont="1" applyBorder="1" applyAlignment="1">
      <alignment horizontal="right"/>
    </xf>
    <xf numFmtId="0" fontId="1" fillId="0" borderId="10" xfId="0" applyFont="1" applyBorder="1" applyAlignment="1">
      <alignment horizontal="right"/>
    </xf>
    <xf numFmtId="0" fontId="0" fillId="0" borderId="10" xfId="0" applyBorder="1" applyAlignment="1">
      <alignment horizontal="right"/>
    </xf>
    <xf numFmtId="0" fontId="0" fillId="0" borderId="11" xfId="0" applyBorder="1" applyAlignment="1">
      <alignment horizontal="right"/>
    </xf>
    <xf numFmtId="0" fontId="4" fillId="0" borderId="14" xfId="1" applyBorder="1"/>
    <xf numFmtId="4" fontId="0" fillId="0" borderId="4" xfId="0" applyNumberFormat="1" applyBorder="1" applyAlignment="1">
      <alignment horizontal="right"/>
    </xf>
    <xf numFmtId="4" fontId="1" fillId="0" borderId="2" xfId="0" applyNumberFormat="1" applyFont="1" applyBorder="1" applyAlignment="1">
      <alignment horizontal="right"/>
    </xf>
    <xf numFmtId="4" fontId="1" fillId="0" borderId="4" xfId="0" applyNumberFormat="1" applyFont="1" applyBorder="1" applyAlignment="1">
      <alignment horizontal="right"/>
    </xf>
    <xf numFmtId="4" fontId="0" fillId="0" borderId="5" xfId="0" applyNumberFormat="1" applyBorder="1" applyAlignment="1">
      <alignment horizontal="right"/>
    </xf>
    <xf numFmtId="2" fontId="0" fillId="0" borderId="2" xfId="0" applyNumberFormat="1" applyBorder="1" applyAlignment="1">
      <alignment horizontal="right"/>
    </xf>
    <xf numFmtId="2" fontId="0" fillId="0" borderId="4" xfId="0" applyNumberFormat="1" applyBorder="1" applyAlignment="1">
      <alignment horizontal="right"/>
    </xf>
    <xf numFmtId="2" fontId="0" fillId="0" borderId="5" xfId="0" applyNumberFormat="1" applyBorder="1" applyAlignment="1">
      <alignment horizontal="right"/>
    </xf>
    <xf numFmtId="4" fontId="1" fillId="0" borderId="5" xfId="0" applyNumberFormat="1" applyFont="1" applyBorder="1" applyAlignment="1">
      <alignment horizontal="right"/>
    </xf>
    <xf numFmtId="2" fontId="1" fillId="0" borderId="5" xfId="0" applyNumberFormat="1" applyFont="1" applyBorder="1" applyAlignment="1">
      <alignment horizontal="right"/>
    </xf>
    <xf numFmtId="3" fontId="0" fillId="0" borderId="0" xfId="0" applyNumberFormat="1"/>
    <xf numFmtId="3" fontId="0" fillId="0" borderId="6" xfId="0" applyNumberFormat="1" applyBorder="1"/>
    <xf numFmtId="0" fontId="4" fillId="0" borderId="3" xfId="1" applyBorder="1"/>
    <xf numFmtId="3" fontId="4" fillId="0" borderId="6" xfId="1" applyNumberFormat="1" applyBorder="1"/>
    <xf numFmtId="0" fontId="1" fillId="0" borderId="12" xfId="0" applyFont="1" applyBorder="1" applyAlignment="1">
      <alignment horizontal="left"/>
    </xf>
    <xf numFmtId="10" fontId="0" fillId="0" borderId="9" xfId="0" applyNumberFormat="1" applyBorder="1" applyAlignment="1">
      <alignment horizontal="right"/>
    </xf>
    <xf numFmtId="0" fontId="1" fillId="0" borderId="14" xfId="0" applyFont="1" applyBorder="1" applyAlignment="1">
      <alignment horizontal="left"/>
    </xf>
    <xf numFmtId="3" fontId="0" fillId="0" borderId="10" xfId="0" applyNumberFormat="1" applyBorder="1" applyAlignment="1">
      <alignment horizontal="right"/>
    </xf>
    <xf numFmtId="3" fontId="0" fillId="0" borderId="10" xfId="0" applyNumberFormat="1" applyBorder="1"/>
    <xf numFmtId="3" fontId="1" fillId="0" borderId="10" xfId="0" applyNumberFormat="1" applyFont="1" applyBorder="1"/>
    <xf numFmtId="3" fontId="0" fillId="0" borderId="11" xfId="0" applyNumberFormat="1" applyBorder="1"/>
    <xf numFmtId="3" fontId="0" fillId="0" borderId="2" xfId="0" applyNumberFormat="1" applyBorder="1" applyAlignment="1">
      <alignment horizontal="right"/>
    </xf>
    <xf numFmtId="1" fontId="0" fillId="0" borderId="10" xfId="0" applyNumberFormat="1" applyBorder="1"/>
    <xf numFmtId="3" fontId="0" fillId="0" borderId="0" xfId="0" applyNumberFormat="1" applyAlignment="1">
      <alignment horizontal="right"/>
    </xf>
    <xf numFmtId="164" fontId="0" fillId="0" borderId="0" xfId="0" applyNumberFormat="1"/>
    <xf numFmtId="164" fontId="0" fillId="0" borderId="0" xfId="0" applyNumberFormat="1" applyAlignment="1">
      <alignment horizontal="right"/>
    </xf>
    <xf numFmtId="0" fontId="0" fillId="0" borderId="14" xfId="0" applyBorder="1" applyAlignment="1">
      <alignment horizontal="right"/>
    </xf>
    <xf numFmtId="1" fontId="0" fillId="0" borderId="10" xfId="0" applyNumberFormat="1" applyBorder="1" applyAlignment="1">
      <alignment horizontal="right"/>
    </xf>
    <xf numFmtId="3" fontId="7" fillId="0" borderId="0" xfId="0" applyNumberFormat="1" applyFont="1"/>
    <xf numFmtId="165" fontId="0" fillId="0" borderId="14" xfId="0" applyNumberFormat="1" applyBorder="1" applyAlignment="1">
      <alignment horizontal="right"/>
    </xf>
    <xf numFmtId="49" fontId="0" fillId="0" borderId="14" xfId="0" applyNumberFormat="1" applyBorder="1" applyAlignment="1">
      <alignment horizontal="right"/>
    </xf>
    <xf numFmtId="0" fontId="5" fillId="0" borderId="0" xfId="1" applyFont="1"/>
    <xf numFmtId="0" fontId="1" fillId="4" borderId="4" xfId="0" applyFont="1" applyFill="1" applyBorder="1"/>
    <xf numFmtId="3" fontId="0" fillId="4" borderId="0" xfId="0" applyNumberFormat="1" applyFill="1" applyAlignment="1">
      <alignment horizontal="right"/>
    </xf>
    <xf numFmtId="3" fontId="0" fillId="4" borderId="0" xfId="0" applyNumberFormat="1" applyFill="1"/>
    <xf numFmtId="1" fontId="0" fillId="4" borderId="10" xfId="0" applyNumberFormat="1" applyFill="1" applyBorder="1"/>
    <xf numFmtId="0" fontId="0" fillId="4" borderId="14" xfId="0" applyFill="1" applyBorder="1"/>
    <xf numFmtId="3" fontId="0" fillId="4" borderId="4" xfId="0" applyNumberFormat="1" applyFill="1" applyBorder="1"/>
    <xf numFmtId="164" fontId="0" fillId="4" borderId="0" xfId="0" applyNumberFormat="1" applyFill="1"/>
    <xf numFmtId="4" fontId="0" fillId="4" borderId="0" xfId="0" applyNumberFormat="1" applyFill="1"/>
    <xf numFmtId="0" fontId="1" fillId="4" borderId="14" xfId="0" applyFont="1" applyFill="1" applyBorder="1"/>
    <xf numFmtId="49" fontId="0" fillId="4" borderId="14" xfId="0" applyNumberFormat="1" applyFill="1" applyBorder="1" applyAlignment="1">
      <alignment horizontal="right"/>
    </xf>
    <xf numFmtId="2" fontId="0" fillId="4" borderId="0" xfId="0" applyNumberFormat="1" applyFill="1" applyAlignment="1">
      <alignment horizontal="right"/>
    </xf>
    <xf numFmtId="0" fontId="0" fillId="4" borderId="0" xfId="0" applyFill="1"/>
    <xf numFmtId="4" fontId="0" fillId="4" borderId="0" xfId="0" applyNumberFormat="1" applyFill="1" applyAlignment="1">
      <alignment horizontal="right"/>
    </xf>
    <xf numFmtId="10" fontId="0" fillId="0" borderId="4" xfId="0" applyNumberFormat="1" applyBorder="1" applyAlignment="1">
      <alignment horizontal="right"/>
    </xf>
    <xf numFmtId="2" fontId="1" fillId="0" borderId="4" xfId="0" applyNumberFormat="1" applyFont="1" applyBorder="1" applyAlignment="1">
      <alignment horizontal="right"/>
    </xf>
    <xf numFmtId="10" fontId="1" fillId="0" borderId="4" xfId="0" applyNumberFormat="1" applyFont="1" applyBorder="1"/>
    <xf numFmtId="0" fontId="1" fillId="3" borderId="15" xfId="0" applyFont="1" applyFill="1" applyBorder="1"/>
    <xf numFmtId="4" fontId="0" fillId="0" borderId="15" xfId="0" applyNumberFormat="1" applyBorder="1"/>
    <xf numFmtId="4" fontId="0" fillId="0" borderId="16" xfId="0" applyNumberFormat="1" applyBorder="1"/>
    <xf numFmtId="4" fontId="1" fillId="0" borderId="15" xfId="0" applyNumberFormat="1" applyFont="1" applyBorder="1"/>
    <xf numFmtId="4" fontId="1" fillId="0" borderId="17" xfId="0" applyNumberFormat="1" applyFont="1" applyBorder="1"/>
    <xf numFmtId="3" fontId="1" fillId="0" borderId="16" xfId="0" applyNumberFormat="1" applyFont="1" applyBorder="1"/>
    <xf numFmtId="10" fontId="1" fillId="3" borderId="17" xfId="0" applyNumberFormat="1" applyFont="1" applyFill="1" applyBorder="1"/>
    <xf numFmtId="10" fontId="1" fillId="0" borderId="15" xfId="0" applyNumberFormat="1" applyFont="1" applyBorder="1" applyAlignment="1">
      <alignment horizontal="right"/>
    </xf>
    <xf numFmtId="10" fontId="1" fillId="0" borderId="16" xfId="0" applyNumberFormat="1" applyFont="1" applyBorder="1" applyAlignment="1">
      <alignment horizontal="right"/>
    </xf>
    <xf numFmtId="10" fontId="1" fillId="0" borderId="17" xfId="0" applyNumberFormat="1" applyFont="1" applyBorder="1" applyAlignment="1">
      <alignment horizontal="right"/>
    </xf>
    <xf numFmtId="3" fontId="1" fillId="0" borderId="15" xfId="0" applyNumberFormat="1" applyFont="1" applyBorder="1"/>
    <xf numFmtId="3" fontId="1" fillId="0" borderId="17" xfId="0" applyNumberFormat="1" applyFont="1" applyBorder="1"/>
    <xf numFmtId="4" fontId="4" fillId="0" borderId="6" xfId="1" applyNumberFormat="1" applyBorder="1"/>
    <xf numFmtId="0" fontId="4" fillId="0" borderId="6" xfId="1" applyBorder="1"/>
    <xf numFmtId="10" fontId="4" fillId="0" borderId="11" xfId="1" applyNumberFormat="1" applyBorder="1"/>
    <xf numFmtId="2" fontId="1" fillId="0" borderId="14" xfId="0" applyNumberFormat="1" applyFont="1" applyBorder="1" applyAlignment="1">
      <alignment horizontal="right"/>
    </xf>
    <xf numFmtId="2" fontId="1" fillId="0" borderId="13" xfId="0" applyNumberFormat="1" applyFont="1" applyBorder="1" applyAlignment="1">
      <alignment horizontal="right"/>
    </xf>
    <xf numFmtId="10" fontId="4" fillId="0" borderId="0" xfId="1" applyNumberFormat="1" applyBorder="1"/>
    <xf numFmtId="10" fontId="6" fillId="0" borderId="0" xfId="1" applyNumberFormat="1" applyFont="1" applyBorder="1" applyAlignment="1">
      <alignment horizontal="right"/>
    </xf>
    <xf numFmtId="10" fontId="4" fillId="0" borderId="6" xfId="1" applyNumberFormat="1" applyBorder="1"/>
    <xf numFmtId="3" fontId="1" fillId="0" borderId="4" xfId="0" applyNumberFormat="1" applyFont="1" applyBorder="1" applyAlignment="1">
      <alignment horizontal="right"/>
    </xf>
    <xf numFmtId="3" fontId="1" fillId="0" borderId="0" xfId="0" applyNumberFormat="1" applyFont="1" applyAlignment="1">
      <alignment horizontal="right"/>
    </xf>
    <xf numFmtId="3" fontId="1" fillId="0" borderId="10" xfId="0" applyNumberFormat="1" applyFont="1" applyBorder="1" applyAlignment="1">
      <alignment horizontal="right"/>
    </xf>
    <xf numFmtId="3" fontId="1" fillId="0" borderId="5" xfId="0" applyNumberFormat="1" applyFont="1" applyBorder="1" applyAlignment="1">
      <alignment horizontal="right"/>
    </xf>
    <xf numFmtId="3" fontId="1" fillId="0" borderId="6" xfId="0" applyNumberFormat="1" applyFont="1" applyBorder="1" applyAlignment="1">
      <alignment horizontal="right"/>
    </xf>
    <xf numFmtId="3" fontId="1" fillId="0" borderId="11" xfId="0" applyNumberFormat="1" applyFont="1" applyBorder="1" applyAlignment="1">
      <alignment horizontal="right"/>
    </xf>
    <xf numFmtId="9" fontId="1" fillId="5" borderId="5" xfId="0" applyNumberFormat="1" applyFont="1" applyFill="1" applyBorder="1"/>
    <xf numFmtId="9" fontId="1" fillId="5" borderId="11" xfId="0" applyNumberFormat="1" applyFont="1" applyFill="1" applyBorder="1"/>
    <xf numFmtId="164" fontId="1" fillId="0" borderId="0" xfId="0" applyNumberFormat="1" applyFont="1"/>
    <xf numFmtId="164" fontId="1" fillId="0" borderId="3" xfId="0" applyNumberFormat="1" applyFont="1" applyBorder="1"/>
    <xf numFmtId="164" fontId="1" fillId="0" borderId="0" xfId="0" applyNumberFormat="1" applyFont="1" applyAlignment="1">
      <alignment horizontal="right"/>
    </xf>
    <xf numFmtId="164" fontId="1" fillId="0" borderId="6" xfId="0" applyNumberFormat="1" applyFont="1" applyBorder="1" applyAlignment="1">
      <alignment horizontal="right"/>
    </xf>
    <xf numFmtId="164" fontId="0" fillId="0" borderId="6" xfId="0" applyNumberFormat="1" applyBorder="1"/>
    <xf numFmtId="10" fontId="0" fillId="0" borderId="15" xfId="0" applyNumberFormat="1" applyBorder="1"/>
    <xf numFmtId="0" fontId="1" fillId="4" borderId="2" xfId="0" applyFont="1" applyFill="1" applyBorder="1"/>
    <xf numFmtId="0" fontId="1" fillId="4" borderId="3" xfId="0" applyFont="1" applyFill="1" applyBorder="1"/>
    <xf numFmtId="0" fontId="1" fillId="4" borderId="12" xfId="0" applyFont="1" applyFill="1" applyBorder="1"/>
    <xf numFmtId="0" fontId="1" fillId="4" borderId="9" xfId="0" applyFont="1" applyFill="1" applyBorder="1"/>
    <xf numFmtId="0" fontId="9" fillId="0" borderId="0" xfId="0" applyFont="1"/>
    <xf numFmtId="0" fontId="0" fillId="7" borderId="2" xfId="0" applyFill="1" applyBorder="1" applyAlignment="1">
      <alignment horizontal="right"/>
    </xf>
    <xf numFmtId="0" fontId="1" fillId="7" borderId="3" xfId="0" applyFont="1" applyFill="1" applyBorder="1"/>
    <xf numFmtId="0" fontId="1" fillId="9" borderId="7" xfId="0" applyFont="1" applyFill="1" applyBorder="1"/>
    <xf numFmtId="0" fontId="0" fillId="9" borderId="7" xfId="0" applyFill="1" applyBorder="1"/>
    <xf numFmtId="0" fontId="1" fillId="10" borderId="1" xfId="0" applyFont="1" applyFill="1" applyBorder="1" applyAlignment="1">
      <alignment horizontal="left"/>
    </xf>
    <xf numFmtId="0" fontId="0" fillId="10" borderId="7" xfId="0" applyFill="1" applyBorder="1"/>
    <xf numFmtId="0" fontId="0" fillId="10" borderId="8" xfId="0" applyFill="1" applyBorder="1"/>
    <xf numFmtId="0" fontId="1" fillId="11" borderId="7" xfId="0" applyFont="1" applyFill="1" applyBorder="1"/>
    <xf numFmtId="0" fontId="0" fillId="11" borderId="7" xfId="0" applyFill="1" applyBorder="1"/>
    <xf numFmtId="0" fontId="0" fillId="11" borderId="8" xfId="0" applyFill="1" applyBorder="1"/>
    <xf numFmtId="0" fontId="1" fillId="8" borderId="2" xfId="0" applyFont="1" applyFill="1" applyBorder="1"/>
    <xf numFmtId="0" fontId="1" fillId="9" borderId="3" xfId="0" applyFont="1" applyFill="1" applyBorder="1"/>
    <xf numFmtId="0" fontId="1" fillId="9" borderId="9" xfId="0" applyFont="1" applyFill="1" applyBorder="1"/>
    <xf numFmtId="0" fontId="1" fillId="10" borderId="2" xfId="0" applyFont="1" applyFill="1" applyBorder="1"/>
    <xf numFmtId="0" fontId="1" fillId="10" borderId="3" xfId="0" applyFont="1" applyFill="1" applyBorder="1"/>
    <xf numFmtId="0" fontId="1" fillId="10" borderId="9" xfId="0" applyFont="1" applyFill="1" applyBorder="1"/>
    <xf numFmtId="0" fontId="1" fillId="11" borderId="2" xfId="0" applyFont="1" applyFill="1" applyBorder="1"/>
    <xf numFmtId="0" fontId="1" fillId="11" borderId="3" xfId="0" applyFont="1" applyFill="1" applyBorder="1"/>
    <xf numFmtId="0" fontId="1" fillId="11" borderId="9" xfId="0" applyFont="1" applyFill="1" applyBorder="1"/>
    <xf numFmtId="0" fontId="0" fillId="7" borderId="4" xfId="0" applyFill="1" applyBorder="1" applyAlignment="1">
      <alignment horizontal="center"/>
    </xf>
    <xf numFmtId="0" fontId="1" fillId="7" borderId="0" xfId="0" applyFont="1" applyFill="1"/>
    <xf numFmtId="0" fontId="1" fillId="8" borderId="4" xfId="0" applyFont="1" applyFill="1" applyBorder="1"/>
    <xf numFmtId="0" fontId="1" fillId="8" borderId="0" xfId="0" applyFont="1" applyFill="1"/>
    <xf numFmtId="0" fontId="1" fillId="8" borderId="10" xfId="0" applyFont="1" applyFill="1" applyBorder="1"/>
    <xf numFmtId="0" fontId="1" fillId="9" borderId="0" xfId="0" applyFont="1" applyFill="1"/>
    <xf numFmtId="0" fontId="1" fillId="9" borderId="10" xfId="0" applyFont="1" applyFill="1" applyBorder="1"/>
    <xf numFmtId="0" fontId="1" fillId="10" borderId="4" xfId="0" applyFont="1" applyFill="1" applyBorder="1"/>
    <xf numFmtId="0" fontId="1" fillId="10" borderId="0" xfId="0" applyFont="1" applyFill="1"/>
    <xf numFmtId="0" fontId="1" fillId="10" borderId="10" xfId="0" applyFont="1" applyFill="1" applyBorder="1"/>
    <xf numFmtId="0" fontId="1" fillId="11" borderId="4" xfId="0" applyFont="1" applyFill="1" applyBorder="1"/>
    <xf numFmtId="0" fontId="1" fillId="11" borderId="0" xfId="0" applyFont="1" applyFill="1"/>
    <xf numFmtId="0" fontId="1" fillId="11" borderId="10" xfId="0" applyFont="1" applyFill="1" applyBorder="1"/>
    <xf numFmtId="0" fontId="0" fillId="7" borderId="5" xfId="0" applyFill="1" applyBorder="1" applyAlignment="1">
      <alignment horizontal="center"/>
    </xf>
    <xf numFmtId="0" fontId="1" fillId="7" borderId="6" xfId="0" applyFont="1" applyFill="1" applyBorder="1"/>
    <xf numFmtId="0" fontId="1" fillId="8" borderId="6" xfId="0" applyFont="1" applyFill="1" applyBorder="1"/>
    <xf numFmtId="0" fontId="1" fillId="9" borderId="6" xfId="0" applyFont="1" applyFill="1" applyBorder="1"/>
    <xf numFmtId="0" fontId="1" fillId="9" borderId="11" xfId="0" applyFont="1" applyFill="1" applyBorder="1"/>
    <xf numFmtId="0" fontId="1" fillId="10" borderId="5" xfId="0" applyFont="1" applyFill="1" applyBorder="1"/>
    <xf numFmtId="0" fontId="1" fillId="10" borderId="6" xfId="0" applyFont="1" applyFill="1" applyBorder="1"/>
    <xf numFmtId="0" fontId="1" fillId="10" borderId="11" xfId="0" applyFont="1" applyFill="1" applyBorder="1"/>
    <xf numFmtId="0" fontId="1" fillId="11" borderId="5" xfId="0" applyFont="1" applyFill="1" applyBorder="1"/>
    <xf numFmtId="0" fontId="1" fillId="11" borderId="6" xfId="0" applyFont="1" applyFill="1" applyBorder="1"/>
    <xf numFmtId="0" fontId="1" fillId="11" borderId="11" xfId="0" applyFont="1" applyFill="1" applyBorder="1"/>
    <xf numFmtId="0" fontId="0" fillId="7" borderId="4" xfId="0" applyFill="1" applyBorder="1"/>
    <xf numFmtId="3" fontId="1" fillId="12" borderId="4" xfId="0" applyNumberFormat="1" applyFont="1" applyFill="1" applyBorder="1"/>
    <xf numFmtId="3" fontId="1" fillId="12" borderId="0" xfId="0" applyNumberFormat="1" applyFont="1" applyFill="1"/>
    <xf numFmtId="165" fontId="1" fillId="12" borderId="10" xfId="0" applyNumberFormat="1" applyFont="1" applyFill="1" applyBorder="1"/>
    <xf numFmtId="0" fontId="0" fillId="7" borderId="0" xfId="0" applyFill="1"/>
    <xf numFmtId="3" fontId="0" fillId="12" borderId="4" xfId="0" applyNumberFormat="1" applyFill="1" applyBorder="1"/>
    <xf numFmtId="3" fontId="0" fillId="12" borderId="0" xfId="0" applyNumberFormat="1" applyFill="1"/>
    <xf numFmtId="165" fontId="0" fillId="12" borderId="10" xfId="0" applyNumberFormat="1" applyFill="1" applyBorder="1"/>
    <xf numFmtId="165" fontId="0" fillId="12" borderId="10" xfId="0" applyNumberFormat="1" applyFill="1" applyBorder="1" applyAlignment="1">
      <alignment horizontal="right"/>
    </xf>
    <xf numFmtId="165" fontId="0" fillId="0" borderId="10" xfId="0" applyNumberFormat="1" applyBorder="1"/>
    <xf numFmtId="165" fontId="0" fillId="0" borderId="10" xfId="0" applyNumberFormat="1" applyBorder="1" applyAlignment="1">
      <alignment horizontal="right"/>
    </xf>
    <xf numFmtId="3" fontId="1" fillId="12" borderId="0" xfId="0" applyNumberFormat="1" applyFont="1" applyFill="1" applyAlignment="1">
      <alignment horizontal="right"/>
    </xf>
    <xf numFmtId="165" fontId="1" fillId="12" borderId="10" xfId="0" applyNumberFormat="1" applyFont="1" applyFill="1" applyBorder="1" applyAlignment="1">
      <alignment horizontal="right"/>
    </xf>
    <xf numFmtId="3" fontId="1" fillId="5" borderId="4" xfId="0" applyNumberFormat="1" applyFont="1" applyFill="1" applyBorder="1"/>
    <xf numFmtId="3" fontId="1" fillId="5" borderId="0" xfId="0" applyNumberFormat="1" applyFont="1" applyFill="1"/>
    <xf numFmtId="165" fontId="1" fillId="13" borderId="10" xfId="0" applyNumberFormat="1" applyFont="1" applyFill="1" applyBorder="1"/>
    <xf numFmtId="0" fontId="0" fillId="13" borderId="4" xfId="0" applyFill="1" applyBorder="1"/>
    <xf numFmtId="0" fontId="0" fillId="13" borderId="0" xfId="0" applyFill="1"/>
    <xf numFmtId="3" fontId="1" fillId="13" borderId="0" xfId="0" applyNumberFormat="1" applyFont="1" applyFill="1"/>
    <xf numFmtId="0" fontId="0" fillId="13" borderId="5" xfId="0" applyFill="1" applyBorder="1"/>
    <xf numFmtId="0" fontId="0" fillId="13" borderId="6" xfId="0" applyFill="1" applyBorder="1"/>
    <xf numFmtId="3" fontId="1" fillId="13" borderId="6" xfId="0" applyNumberFormat="1" applyFont="1" applyFill="1" applyBorder="1"/>
    <xf numFmtId="165" fontId="1" fillId="13" borderId="11" xfId="0" applyNumberFormat="1" applyFont="1" applyFill="1" applyBorder="1"/>
    <xf numFmtId="3" fontId="1" fillId="5" borderId="6" xfId="0" applyNumberFormat="1" applyFont="1" applyFill="1" applyBorder="1"/>
    <xf numFmtId="0" fontId="0" fillId="6" borderId="0" xfId="0" applyFill="1"/>
    <xf numFmtId="165" fontId="0" fillId="0" borderId="0" xfId="0" applyNumberFormat="1"/>
    <xf numFmtId="0" fontId="11" fillId="0" borderId="0" xfId="0" applyFont="1"/>
    <xf numFmtId="15" fontId="1" fillId="9" borderId="3" xfId="0" applyNumberFormat="1" applyFont="1" applyFill="1" applyBorder="1"/>
    <xf numFmtId="0" fontId="0" fillId="9" borderId="2" xfId="0" applyFill="1" applyBorder="1" applyAlignment="1">
      <alignment horizontal="center"/>
    </xf>
    <xf numFmtId="0" fontId="1" fillId="9" borderId="2" xfId="0" applyFont="1" applyFill="1" applyBorder="1"/>
    <xf numFmtId="0" fontId="0" fillId="9" borderId="4" xfId="0" applyFill="1" applyBorder="1" applyAlignment="1">
      <alignment horizontal="center"/>
    </xf>
    <xf numFmtId="0" fontId="1" fillId="9" borderId="4" xfId="0" applyFont="1" applyFill="1" applyBorder="1"/>
    <xf numFmtId="0" fontId="0" fillId="9" borderId="5" xfId="0" applyFill="1" applyBorder="1" applyAlignment="1">
      <alignment horizontal="center"/>
    </xf>
    <xf numFmtId="3" fontId="4" fillId="12" borderId="4" xfId="1" applyNumberFormat="1" applyFill="1" applyBorder="1"/>
    <xf numFmtId="3" fontId="4" fillId="12" borderId="0" xfId="1" applyNumberFormat="1" applyFill="1" applyBorder="1"/>
    <xf numFmtId="3" fontId="0" fillId="12" borderId="10" xfId="0" applyNumberFormat="1" applyFill="1" applyBorder="1"/>
    <xf numFmtId="3" fontId="6" fillId="12" borderId="0" xfId="1" applyNumberFormat="1" applyFont="1" applyFill="1" applyBorder="1"/>
    <xf numFmtId="3" fontId="12" fillId="0" borderId="4" xfId="1" applyNumberFormat="1" applyFont="1" applyFill="1" applyBorder="1"/>
    <xf numFmtId="165" fontId="1" fillId="12" borderId="0" xfId="0" applyNumberFormat="1" applyFont="1" applyFill="1"/>
    <xf numFmtId="3" fontId="0" fillId="12" borderId="6" xfId="0" applyNumberFormat="1" applyFill="1" applyBorder="1"/>
    <xf numFmtId="3" fontId="0" fillId="12" borderId="11" xfId="0" applyNumberFormat="1" applyFill="1" applyBorder="1"/>
    <xf numFmtId="0" fontId="1" fillId="6" borderId="3" xfId="0" applyFont="1" applyFill="1" applyBorder="1"/>
    <xf numFmtId="4" fontId="0" fillId="12" borderId="0" xfId="0" applyNumberFormat="1" applyFill="1"/>
    <xf numFmtId="0" fontId="0" fillId="0" borderId="0" xfId="0" applyAlignment="1">
      <alignment horizontal="center"/>
    </xf>
    <xf numFmtId="0" fontId="1" fillId="8" borderId="12" xfId="0" applyFont="1" applyFill="1" applyBorder="1"/>
    <xf numFmtId="0" fontId="1" fillId="8" borderId="14" xfId="0" applyFont="1" applyFill="1" applyBorder="1"/>
    <xf numFmtId="3" fontId="0" fillId="12" borderId="14" xfId="0" applyNumberFormat="1" applyFill="1" applyBorder="1"/>
    <xf numFmtId="3" fontId="1" fillId="12" borderId="14" xfId="0" applyNumberFormat="1" applyFont="1" applyFill="1" applyBorder="1"/>
    <xf numFmtId="3" fontId="1" fillId="12" borderId="14" xfId="0" applyNumberFormat="1" applyFont="1" applyFill="1" applyBorder="1" applyAlignment="1">
      <alignment horizontal="right"/>
    </xf>
    <xf numFmtId="3" fontId="1" fillId="5" borderId="14" xfId="0" applyNumberFormat="1" applyFont="1" applyFill="1" applyBorder="1"/>
    <xf numFmtId="0" fontId="0" fillId="13" borderId="13" xfId="0" applyFill="1" applyBorder="1"/>
    <xf numFmtId="164" fontId="1" fillId="12" borderId="0" xfId="0" applyNumberFormat="1" applyFont="1" applyFill="1"/>
    <xf numFmtId="3" fontId="1" fillId="12" borderId="3" xfId="0" applyNumberFormat="1" applyFont="1" applyFill="1" applyBorder="1"/>
    <xf numFmtId="164" fontId="1" fillId="12" borderId="9" xfId="0" applyNumberFormat="1" applyFont="1" applyFill="1" applyBorder="1"/>
    <xf numFmtId="164" fontId="1" fillId="12" borderId="10" xfId="0" applyNumberFormat="1" applyFont="1" applyFill="1" applyBorder="1"/>
    <xf numFmtId="164" fontId="1" fillId="12" borderId="10" xfId="0" applyNumberFormat="1" applyFont="1" applyFill="1" applyBorder="1" applyAlignment="1">
      <alignment horizontal="right"/>
    </xf>
    <xf numFmtId="164" fontId="1" fillId="5" borderId="10" xfId="0" applyNumberFormat="1" applyFont="1" applyFill="1" applyBorder="1"/>
    <xf numFmtId="164" fontId="1" fillId="5" borderId="11" xfId="0" applyNumberFormat="1" applyFont="1" applyFill="1" applyBorder="1"/>
    <xf numFmtId="166" fontId="1" fillId="8" borderId="5" xfId="0" applyNumberFormat="1" applyFont="1" applyFill="1" applyBorder="1"/>
    <xf numFmtId="166" fontId="1" fillId="8" borderId="6" xfId="0" applyNumberFormat="1" applyFont="1" applyFill="1" applyBorder="1"/>
    <xf numFmtId="166" fontId="1" fillId="8" borderId="11" xfId="0" applyNumberFormat="1" applyFont="1" applyFill="1" applyBorder="1"/>
    <xf numFmtId="0" fontId="5" fillId="0" borderId="0" xfId="1" applyFont="1" applyBorder="1"/>
    <xf numFmtId="166" fontId="1" fillId="8" borderId="13" xfId="0" applyNumberFormat="1" applyFont="1" applyFill="1" applyBorder="1"/>
    <xf numFmtId="0" fontId="1" fillId="7" borderId="0" xfId="0" applyFont="1" applyFill="1" applyAlignment="1">
      <alignment horizontal="left"/>
    </xf>
    <xf numFmtId="2" fontId="1" fillId="12" borderId="0" xfId="0" applyNumberFormat="1" applyFont="1" applyFill="1"/>
    <xf numFmtId="4" fontId="1" fillId="12" borderId="0" xfId="0" applyNumberFormat="1" applyFont="1" applyFill="1"/>
    <xf numFmtId="164" fontId="1" fillId="5" borderId="0" xfId="0" applyNumberFormat="1" applyFont="1" applyFill="1"/>
    <xf numFmtId="164" fontId="1" fillId="5" borderId="6" xfId="0" applyNumberFormat="1" applyFont="1" applyFill="1" applyBorder="1"/>
    <xf numFmtId="165" fontId="0" fillId="12" borderId="0" xfId="0" applyNumberFormat="1" applyFill="1"/>
    <xf numFmtId="165" fontId="1" fillId="5" borderId="0" xfId="0" applyNumberFormat="1" applyFont="1" applyFill="1"/>
    <xf numFmtId="165" fontId="1" fillId="5" borderId="6" xfId="0" applyNumberFormat="1" applyFont="1" applyFill="1" applyBorder="1"/>
    <xf numFmtId="164" fontId="1" fillId="12" borderId="3" xfId="0" applyNumberFormat="1" applyFont="1" applyFill="1" applyBorder="1"/>
    <xf numFmtId="0" fontId="0" fillId="7" borderId="4" xfId="0" applyFill="1" applyBorder="1" applyAlignment="1">
      <alignment horizontal="right"/>
    </xf>
    <xf numFmtId="0" fontId="1" fillId="7" borderId="9" xfId="0" applyFont="1" applyFill="1" applyBorder="1"/>
    <xf numFmtId="0" fontId="1" fillId="7" borderId="10" xfId="0" applyFont="1" applyFill="1" applyBorder="1"/>
    <xf numFmtId="0" fontId="11" fillId="8" borderId="3" xfId="0" applyFont="1" applyFill="1" applyBorder="1"/>
    <xf numFmtId="0" fontId="0" fillId="8" borderId="9" xfId="0" applyFill="1" applyBorder="1"/>
    <xf numFmtId="0" fontId="0" fillId="7" borderId="5" xfId="0" applyFill="1" applyBorder="1" applyAlignment="1">
      <alignment horizontal="right"/>
    </xf>
    <xf numFmtId="0" fontId="1" fillId="7" borderId="11" xfId="0" applyFont="1" applyFill="1" applyBorder="1"/>
    <xf numFmtId="0" fontId="1" fillId="8" borderId="3" xfId="0" applyFont="1" applyFill="1" applyBorder="1"/>
    <xf numFmtId="0" fontId="1" fillId="8" borderId="9" xfId="0" applyFont="1" applyFill="1" applyBorder="1"/>
    <xf numFmtId="0" fontId="11" fillId="7" borderId="11" xfId="0" applyFont="1" applyFill="1" applyBorder="1"/>
    <xf numFmtId="0" fontId="1" fillId="7" borderId="10" xfId="0" applyFont="1" applyFill="1" applyBorder="1" applyAlignment="1">
      <alignment horizontal="left"/>
    </xf>
    <xf numFmtId="0" fontId="1" fillId="7" borderId="2" xfId="0" applyFont="1" applyFill="1" applyBorder="1" applyAlignment="1">
      <alignment horizontal="left"/>
    </xf>
    <xf numFmtId="0" fontId="1" fillId="7" borderId="4" xfId="0" applyFont="1" applyFill="1" applyBorder="1" applyAlignment="1">
      <alignment horizontal="right"/>
    </xf>
    <xf numFmtId="0" fontId="0" fillId="7" borderId="10" xfId="0" applyFill="1" applyBorder="1" applyAlignment="1">
      <alignment horizontal="left"/>
    </xf>
    <xf numFmtId="0" fontId="0" fillId="7" borderId="9" xfId="0" applyFill="1" applyBorder="1"/>
    <xf numFmtId="0" fontId="13" fillId="6" borderId="3" xfId="0" applyFont="1" applyFill="1" applyBorder="1"/>
    <xf numFmtId="4" fontId="1" fillId="12" borderId="0" xfId="0" applyNumberFormat="1" applyFont="1" applyFill="1" applyAlignment="1">
      <alignment horizontal="right"/>
    </xf>
    <xf numFmtId="0" fontId="1" fillId="8" borderId="13" xfId="0" applyFont="1" applyFill="1" applyBorder="1"/>
    <xf numFmtId="3" fontId="1" fillId="12" borderId="2" xfId="0" applyNumberFormat="1" applyFont="1" applyFill="1" applyBorder="1"/>
    <xf numFmtId="3" fontId="1" fillId="12" borderId="4" xfId="0" applyNumberFormat="1" applyFont="1" applyFill="1" applyBorder="1" applyAlignment="1">
      <alignment horizontal="right"/>
    </xf>
    <xf numFmtId="0" fontId="1" fillId="10" borderId="7" xfId="0" applyFont="1" applyFill="1" applyBorder="1" applyAlignment="1">
      <alignment horizontal="left"/>
    </xf>
    <xf numFmtId="4" fontId="1" fillId="12" borderId="14" xfId="0" applyNumberFormat="1" applyFont="1" applyFill="1" applyBorder="1"/>
    <xf numFmtId="4" fontId="0" fillId="12" borderId="14" xfId="0" applyNumberFormat="1" applyFill="1" applyBorder="1"/>
    <xf numFmtId="4" fontId="0" fillId="0" borderId="14" xfId="0" applyNumberFormat="1" applyBorder="1"/>
    <xf numFmtId="4" fontId="1" fillId="12" borderId="14" xfId="0" applyNumberFormat="1" applyFont="1" applyFill="1" applyBorder="1" applyAlignment="1">
      <alignment horizontal="right"/>
    </xf>
    <xf numFmtId="164" fontId="0" fillId="12" borderId="0" xfId="0" applyNumberFormat="1" applyFill="1"/>
    <xf numFmtId="164" fontId="0" fillId="12" borderId="10" xfId="0" applyNumberFormat="1" applyFill="1" applyBorder="1" applyAlignment="1">
      <alignment horizontal="right"/>
    </xf>
    <xf numFmtId="164" fontId="0" fillId="0" borderId="10" xfId="0" applyNumberFormat="1" applyBorder="1"/>
    <xf numFmtId="164" fontId="0" fillId="0" borderId="10" xfId="0" applyNumberFormat="1" applyBorder="1" applyAlignment="1">
      <alignment horizontal="right"/>
    </xf>
    <xf numFmtId="164" fontId="0" fillId="12" borderId="10" xfId="0" applyNumberFormat="1" applyFill="1" applyBorder="1"/>
    <xf numFmtId="2" fontId="0" fillId="0" borderId="14" xfId="0" applyNumberFormat="1" applyBorder="1" applyAlignment="1">
      <alignment horizontal="right"/>
    </xf>
    <xf numFmtId="165" fontId="0" fillId="0" borderId="13" xfId="0" applyNumberFormat="1" applyBorder="1" applyAlignment="1">
      <alignment horizontal="right"/>
    </xf>
    <xf numFmtId="165" fontId="0" fillId="4" borderId="14" xfId="0" applyNumberFormat="1" applyFill="1" applyBorder="1"/>
    <xf numFmtId="165" fontId="0" fillId="4" borderId="14" xfId="0" applyNumberFormat="1" applyFill="1" applyBorder="1" applyAlignment="1">
      <alignment horizontal="right"/>
    </xf>
    <xf numFmtId="0" fontId="0" fillId="4" borderId="4" xfId="0" applyFill="1" applyBorder="1"/>
    <xf numFmtId="165" fontId="0" fillId="4" borderId="4" xfId="0" applyNumberFormat="1" applyFill="1" applyBorder="1" applyAlignment="1">
      <alignment horizontal="right"/>
    </xf>
    <xf numFmtId="0" fontId="0" fillId="4" borderId="14" xfId="0" applyFill="1" applyBorder="1" applyAlignment="1">
      <alignment horizontal="right"/>
    </xf>
    <xf numFmtId="2" fontId="0" fillId="4" borderId="14" xfId="0" applyNumberFormat="1" applyFill="1" applyBorder="1" applyAlignment="1">
      <alignment horizontal="right"/>
    </xf>
    <xf numFmtId="0" fontId="5" fillId="0" borderId="14" xfId="1" applyFont="1" applyBorder="1"/>
    <xf numFmtId="3" fontId="0" fillId="0" borderId="13" xfId="0" applyNumberFormat="1" applyBorder="1"/>
    <xf numFmtId="3" fontId="0" fillId="4" borderId="14" xfId="0" applyNumberFormat="1" applyFill="1" applyBorder="1"/>
    <xf numFmtId="3" fontId="0" fillId="0" borderId="14" xfId="0" applyNumberFormat="1" applyBorder="1" applyAlignment="1">
      <alignment horizontal="right"/>
    </xf>
    <xf numFmtId="3" fontId="0" fillId="4" borderId="14" xfId="0" applyNumberFormat="1" applyFill="1" applyBorder="1" applyAlignment="1">
      <alignment horizontal="right"/>
    </xf>
    <xf numFmtId="3" fontId="0" fillId="0" borderId="13" xfId="0" applyNumberFormat="1" applyBorder="1" applyAlignment="1">
      <alignment horizontal="right"/>
    </xf>
    <xf numFmtId="0" fontId="4" fillId="0" borderId="0" xfId="1" applyFill="1"/>
    <xf numFmtId="0" fontId="1" fillId="13" borderId="13" xfId="0" applyFont="1" applyFill="1" applyBorder="1"/>
    <xf numFmtId="4" fontId="1" fillId="5" borderId="0" xfId="0" applyNumberFormat="1" applyFont="1" applyFill="1"/>
    <xf numFmtId="4" fontId="1" fillId="5" borderId="14" xfId="0" applyNumberFormat="1" applyFont="1" applyFill="1" applyBorder="1"/>
    <xf numFmtId="14" fontId="1" fillId="9" borderId="5" xfId="0" applyNumberFormat="1" applyFont="1" applyFill="1" applyBorder="1"/>
    <xf numFmtId="14" fontId="1" fillId="9" borderId="6" xfId="0" applyNumberFormat="1" applyFont="1" applyFill="1" applyBorder="1"/>
    <xf numFmtId="3" fontId="0" fillId="12" borderId="0" xfId="0" applyNumberFormat="1" applyFill="1" applyAlignment="1">
      <alignment horizontal="right"/>
    </xf>
    <xf numFmtId="165" fontId="1" fillId="5" borderId="10" xfId="0" applyNumberFormat="1" applyFont="1" applyFill="1" applyBorder="1"/>
    <xf numFmtId="0" fontId="4" fillId="13" borderId="0" xfId="1" applyFill="1"/>
    <xf numFmtId="1" fontId="1" fillId="13" borderId="0" xfId="0" applyNumberFormat="1" applyFont="1" applyFill="1"/>
    <xf numFmtId="3" fontId="1" fillId="13" borderId="14" xfId="0" applyNumberFormat="1" applyFont="1" applyFill="1" applyBorder="1"/>
    <xf numFmtId="0" fontId="1" fillId="13" borderId="5" xfId="0" applyFont="1" applyFill="1" applyBorder="1"/>
    <xf numFmtId="3" fontId="1" fillId="13" borderId="4" xfId="0" applyNumberFormat="1" applyFont="1" applyFill="1" applyBorder="1"/>
    <xf numFmtId="1" fontId="1" fillId="13" borderId="14" xfId="0" applyNumberFormat="1" applyFont="1" applyFill="1" applyBorder="1"/>
    <xf numFmtId="164" fontId="0" fillId="12" borderId="6" xfId="0" applyNumberFormat="1" applyFill="1" applyBorder="1"/>
    <xf numFmtId="165" fontId="0" fillId="12" borderId="0" xfId="0" applyNumberFormat="1" applyFill="1" applyAlignment="1">
      <alignment horizontal="right"/>
    </xf>
    <xf numFmtId="165" fontId="1" fillId="12" borderId="0" xfId="0" applyNumberFormat="1" applyFont="1" applyFill="1" applyAlignment="1">
      <alignment horizontal="right"/>
    </xf>
    <xf numFmtId="167" fontId="1" fillId="12" borderId="0" xfId="0" applyNumberFormat="1" applyFont="1" applyFill="1"/>
    <xf numFmtId="168" fontId="1" fillId="12" borderId="0" xfId="0" applyNumberFormat="1" applyFont="1" applyFill="1"/>
    <xf numFmtId="164" fontId="0" fillId="4" borderId="0" xfId="0" applyNumberFormat="1" applyFill="1" applyAlignment="1">
      <alignment horizontal="right"/>
    </xf>
    <xf numFmtId="1" fontId="0" fillId="4" borderId="0" xfId="0" applyNumberFormat="1" applyFill="1" applyAlignment="1">
      <alignment horizontal="right"/>
    </xf>
    <xf numFmtId="0" fontId="0" fillId="0" borderId="14" xfId="0" applyBorder="1" applyAlignment="1">
      <alignment horizontal="left"/>
    </xf>
    <xf numFmtId="0" fontId="0" fillId="0" borderId="4" xfId="0" applyBorder="1" applyAlignment="1">
      <alignment horizontal="right"/>
    </xf>
    <xf numFmtId="0" fontId="5" fillId="0" borderId="14" xfId="1" applyFont="1" applyBorder="1" applyAlignment="1">
      <alignment horizontal="right"/>
    </xf>
    <xf numFmtId="0" fontId="5" fillId="0" borderId="14" xfId="0" applyFont="1" applyBorder="1"/>
    <xf numFmtId="0" fontId="4" fillId="0" borderId="14" xfId="1" applyFill="1" applyBorder="1"/>
    <xf numFmtId="2" fontId="5" fillId="0" borderId="0" xfId="0" applyNumberFormat="1" applyFont="1" applyAlignment="1">
      <alignment horizontal="right"/>
    </xf>
    <xf numFmtId="1" fontId="0" fillId="0" borderId="14" xfId="0" applyNumberFormat="1" applyBorder="1" applyAlignment="1">
      <alignment horizontal="right"/>
    </xf>
    <xf numFmtId="1" fontId="0" fillId="0" borderId="0" xfId="0" applyNumberFormat="1" applyAlignment="1">
      <alignment horizontal="right"/>
    </xf>
    <xf numFmtId="164" fontId="0" fillId="0" borderId="14" xfId="0" applyNumberFormat="1" applyBorder="1"/>
    <xf numFmtId="2" fontId="4" fillId="0" borderId="0" xfId="1" applyNumberFormat="1" applyAlignment="1">
      <alignment horizontal="left"/>
    </xf>
    <xf numFmtId="164" fontId="0" fillId="0" borderId="14" xfId="0" applyNumberFormat="1" applyBorder="1" applyAlignment="1">
      <alignment horizontal="right"/>
    </xf>
    <xf numFmtId="3" fontId="0" fillId="0" borderId="0" xfId="0" applyNumberFormat="1" applyAlignment="1">
      <alignment horizontal="left"/>
    </xf>
    <xf numFmtId="0" fontId="4" fillId="0" borderId="14" xfId="1" applyBorder="1" applyAlignment="1">
      <alignment horizontal="left"/>
    </xf>
    <xf numFmtId="3" fontId="0" fillId="0" borderId="10" xfId="0" applyNumberFormat="1" applyBorder="1" applyAlignment="1">
      <alignment horizontal="left"/>
    </xf>
    <xf numFmtId="0" fontId="5" fillId="0" borderId="4" xfId="0" applyFont="1" applyBorder="1"/>
    <xf numFmtId="49" fontId="0" fillId="4" borderId="4" xfId="0" applyNumberFormat="1" applyFill="1" applyBorder="1" applyAlignment="1">
      <alignment horizontal="right"/>
    </xf>
    <xf numFmtId="0" fontId="0" fillId="0" borderId="4" xfId="0" applyBorder="1" applyAlignment="1">
      <alignment horizontal="left"/>
    </xf>
    <xf numFmtId="0" fontId="0" fillId="4" borderId="2" xfId="0" applyFill="1" applyBorder="1"/>
    <xf numFmtId="0" fontId="7" fillId="0" borderId="0" xfId="0" applyFont="1"/>
    <xf numFmtId="0" fontId="14" fillId="10" borderId="0" xfId="0" applyFont="1" applyFill="1"/>
    <xf numFmtId="0" fontId="0" fillId="5" borderId="2" xfId="0" applyFill="1" applyBorder="1"/>
    <xf numFmtId="0" fontId="1" fillId="5" borderId="2" xfId="0" applyFont="1" applyFill="1" applyBorder="1"/>
    <xf numFmtId="0" fontId="1" fillId="5" borderId="3" xfId="0" applyFont="1" applyFill="1" applyBorder="1"/>
    <xf numFmtId="0" fontId="1" fillId="5" borderId="12" xfId="0" applyFont="1" applyFill="1" applyBorder="1"/>
    <xf numFmtId="0" fontId="0" fillId="5" borderId="4" xfId="0" applyFill="1" applyBorder="1"/>
    <xf numFmtId="0" fontId="1" fillId="5" borderId="0" xfId="0" applyFont="1" applyFill="1"/>
    <xf numFmtId="3" fontId="1" fillId="5" borderId="10" xfId="0" applyNumberFormat="1" applyFont="1" applyFill="1" applyBorder="1"/>
    <xf numFmtId="0" fontId="1" fillId="5" borderId="14" xfId="0" applyFont="1" applyFill="1" applyBorder="1"/>
    <xf numFmtId="0" fontId="0" fillId="5" borderId="5" xfId="0" applyFill="1" applyBorder="1"/>
    <xf numFmtId="0" fontId="1" fillId="5" borderId="6" xfId="0" applyFont="1" applyFill="1" applyBorder="1"/>
    <xf numFmtId="0" fontId="1" fillId="5" borderId="11" xfId="0" applyFont="1" applyFill="1" applyBorder="1"/>
    <xf numFmtId="0" fontId="10" fillId="5" borderId="0" xfId="0" applyFont="1" applyFill="1"/>
    <xf numFmtId="0" fontId="0" fillId="5" borderId="0" xfId="0" applyFill="1"/>
    <xf numFmtId="0" fontId="3" fillId="5" borderId="0" xfId="0" applyFont="1" applyFill="1"/>
    <xf numFmtId="3" fontId="0" fillId="0" borderId="4" xfId="0" applyNumberFormat="1" applyBorder="1" applyAlignment="1">
      <alignment horizontal="right"/>
    </xf>
    <xf numFmtId="0" fontId="5" fillId="0" borderId="0" xfId="1" applyFont="1" applyFill="1" applyBorder="1"/>
    <xf numFmtId="0" fontId="5" fillId="0" borderId="0" xfId="0" applyFont="1"/>
    <xf numFmtId="165" fontId="0" fillId="0" borderId="0" xfId="0" applyNumberFormat="1" applyAlignment="1">
      <alignment horizontal="right"/>
    </xf>
    <xf numFmtId="49" fontId="0" fillId="0" borderId="0" xfId="0" applyNumberFormat="1" applyAlignment="1">
      <alignment horizontal="right"/>
    </xf>
    <xf numFmtId="0" fontId="0" fillId="0" borderId="0" xfId="0" applyAlignment="1">
      <alignment horizontal="left"/>
    </xf>
    <xf numFmtId="0" fontId="13" fillId="14" borderId="0" xfId="0" applyFont="1" applyFill="1"/>
    <xf numFmtId="0" fontId="1" fillId="14" borderId="0" xfId="0" applyFont="1" applyFill="1"/>
    <xf numFmtId="0" fontId="0" fillId="14" borderId="0" xfId="0" applyFill="1"/>
    <xf numFmtId="0" fontId="15" fillId="14" borderId="0" xfId="0" applyFont="1" applyFill="1"/>
    <xf numFmtId="165" fontId="0" fillId="4" borderId="4" xfId="0" applyNumberFormat="1" applyFill="1" applyBorder="1"/>
    <xf numFmtId="0" fontId="4" fillId="0" borderId="4" xfId="1" applyBorder="1" applyAlignment="1">
      <alignment horizontal="left"/>
    </xf>
    <xf numFmtId="0" fontId="5" fillId="0" borderId="4" xfId="1" applyFont="1" applyFill="1" applyBorder="1"/>
    <xf numFmtId="0" fontId="1" fillId="4" borderId="4" xfId="0" applyFont="1" applyFill="1" applyBorder="1" applyAlignment="1">
      <alignment horizontal="right"/>
    </xf>
    <xf numFmtId="0" fontId="1" fillId="4" borderId="0" xfId="0" applyFont="1" applyFill="1" applyAlignment="1">
      <alignment horizontal="right"/>
    </xf>
    <xf numFmtId="4" fontId="0" fillId="0" borderId="0" xfId="0" applyNumberFormat="1" applyAlignment="1">
      <alignment horizontal="left"/>
    </xf>
    <xf numFmtId="3" fontId="0" fillId="5" borderId="14" xfId="0" applyNumberFormat="1" applyFill="1" applyBorder="1" applyAlignment="1">
      <alignment horizontal="right"/>
    </xf>
    <xf numFmtId="0" fontId="5" fillId="0" borderId="0" xfId="1" applyFont="1" applyFill="1"/>
    <xf numFmtId="3" fontId="4" fillId="0" borderId="0" xfId="1" applyNumberFormat="1" applyAlignment="1">
      <alignment horizontal="left"/>
    </xf>
    <xf numFmtId="3" fontId="1" fillId="4" borderId="0" xfId="0" applyNumberFormat="1" applyFont="1" applyFill="1"/>
    <xf numFmtId="3" fontId="1" fillId="4" borderId="0" xfId="0" applyNumberFormat="1" applyFont="1" applyFill="1" applyAlignment="1">
      <alignment horizontal="right"/>
    </xf>
    <xf numFmtId="3" fontId="1" fillId="4" borderId="14" xfId="0" applyNumberFormat="1" applyFont="1" applyFill="1" applyBorder="1"/>
    <xf numFmtId="3" fontId="1" fillId="4" borderId="14" xfId="0" applyNumberFormat="1" applyFont="1" applyFill="1" applyBorder="1" applyAlignment="1">
      <alignment horizontal="right"/>
    </xf>
    <xf numFmtId="0" fontId="1" fillId="4" borderId="0" xfId="0" applyFont="1" applyFill="1"/>
    <xf numFmtId="0" fontId="12" fillId="4" borderId="0" xfId="1" applyFont="1" applyFill="1"/>
    <xf numFmtId="4" fontId="1" fillId="4" borderId="0" xfId="0" applyNumberFormat="1" applyFont="1" applyFill="1" applyAlignment="1">
      <alignment horizontal="right"/>
    </xf>
    <xf numFmtId="2" fontId="1" fillId="4" borderId="0" xfId="0" applyNumberFormat="1" applyFont="1" applyFill="1" applyAlignment="1">
      <alignment horizontal="right"/>
    </xf>
    <xf numFmtId="0" fontId="0" fillId="8" borderId="4" xfId="0" applyFill="1" applyBorder="1"/>
    <xf numFmtId="0" fontId="0" fillId="8" borderId="4" xfId="0" applyFill="1" applyBorder="1" applyAlignment="1">
      <alignment horizontal="right"/>
    </xf>
    <xf numFmtId="3" fontId="0" fillId="8" borderId="0" xfId="0" applyNumberFormat="1" applyFill="1" applyAlignment="1">
      <alignment horizontal="right"/>
    </xf>
    <xf numFmtId="1" fontId="0" fillId="8" borderId="10" xfId="0" applyNumberFormat="1" applyFill="1" applyBorder="1" applyAlignment="1">
      <alignment horizontal="right"/>
    </xf>
    <xf numFmtId="3" fontId="0" fillId="8" borderId="14" xfId="0" applyNumberFormat="1" applyFill="1" applyBorder="1"/>
    <xf numFmtId="0" fontId="0" fillId="8" borderId="14" xfId="0" applyFill="1" applyBorder="1" applyAlignment="1">
      <alignment horizontal="right"/>
    </xf>
    <xf numFmtId="0" fontId="0" fillId="8" borderId="14" xfId="0" applyFill="1" applyBorder="1"/>
    <xf numFmtId="3" fontId="0" fillId="8" borderId="14" xfId="0" applyNumberFormat="1" applyFill="1" applyBorder="1" applyAlignment="1">
      <alignment horizontal="right"/>
    </xf>
    <xf numFmtId="0" fontId="0" fillId="8" borderId="0" xfId="0" applyFill="1" applyAlignment="1">
      <alignment horizontal="right"/>
    </xf>
    <xf numFmtId="2" fontId="0" fillId="8" borderId="0" xfId="0" applyNumberFormat="1" applyFill="1" applyAlignment="1">
      <alignment horizontal="right"/>
    </xf>
    <xf numFmtId="0" fontId="0" fillId="15" borderId="14" xfId="0" applyFill="1" applyBorder="1"/>
    <xf numFmtId="0" fontId="0" fillId="15" borderId="0" xfId="0" applyFill="1" applyAlignment="1">
      <alignment horizontal="right"/>
    </xf>
    <xf numFmtId="3" fontId="0" fillId="15" borderId="0" xfId="0" applyNumberFormat="1" applyFill="1" applyAlignment="1">
      <alignment horizontal="right"/>
    </xf>
    <xf numFmtId="1" fontId="0" fillId="15" borderId="10" xfId="0" applyNumberFormat="1" applyFill="1" applyBorder="1" applyAlignment="1">
      <alignment horizontal="right"/>
    </xf>
    <xf numFmtId="3" fontId="0" fillId="15" borderId="14" xfId="0" applyNumberFormat="1" applyFill="1" applyBorder="1"/>
    <xf numFmtId="165" fontId="0" fillId="15" borderId="14" xfId="0" applyNumberFormat="1" applyFill="1" applyBorder="1" applyAlignment="1">
      <alignment horizontal="right"/>
    </xf>
    <xf numFmtId="1" fontId="0" fillId="15" borderId="14" xfId="0" applyNumberFormat="1" applyFill="1" applyBorder="1" applyAlignment="1">
      <alignment horizontal="right"/>
    </xf>
    <xf numFmtId="3" fontId="0" fillId="15" borderId="14" xfId="0" applyNumberFormat="1" applyFill="1" applyBorder="1" applyAlignment="1">
      <alignment horizontal="right"/>
    </xf>
    <xf numFmtId="4" fontId="0" fillId="15" borderId="14" xfId="0" applyNumberFormat="1" applyFill="1" applyBorder="1" applyAlignment="1">
      <alignment horizontal="right"/>
    </xf>
    <xf numFmtId="0" fontId="0" fillId="15" borderId="14" xfId="0" applyFill="1" applyBorder="1" applyAlignment="1">
      <alignment horizontal="right"/>
    </xf>
    <xf numFmtId="49" fontId="0" fillId="15" borderId="14" xfId="0" applyNumberFormat="1" applyFill="1" applyBorder="1" applyAlignment="1">
      <alignment horizontal="right"/>
    </xf>
    <xf numFmtId="2" fontId="0" fillId="15" borderId="0" xfId="0" applyNumberFormat="1" applyFill="1" applyAlignment="1">
      <alignment horizontal="right"/>
    </xf>
    <xf numFmtId="165" fontId="0" fillId="8" borderId="14" xfId="0" applyNumberFormat="1" applyFill="1" applyBorder="1" applyAlignment="1">
      <alignment horizontal="right"/>
    </xf>
    <xf numFmtId="1" fontId="0" fillId="8" borderId="14" xfId="0" applyNumberFormat="1" applyFill="1" applyBorder="1" applyAlignment="1">
      <alignment horizontal="right"/>
    </xf>
    <xf numFmtId="3" fontId="0" fillId="8" borderId="14" xfId="0" applyNumberFormat="1" applyFill="1" applyBorder="1" applyAlignment="1">
      <alignment horizontal="left"/>
    </xf>
    <xf numFmtId="0" fontId="0" fillId="8" borderId="0" xfId="0" applyFill="1"/>
    <xf numFmtId="0" fontId="5" fillId="8" borderId="0" xfId="1" applyFont="1" applyFill="1"/>
    <xf numFmtId="4" fontId="0" fillId="8" borderId="0" xfId="0" applyNumberFormat="1" applyFill="1" applyAlignment="1">
      <alignment horizontal="right"/>
    </xf>
    <xf numFmtId="0" fontId="0" fillId="15" borderId="4" xfId="0" applyFill="1" applyBorder="1"/>
    <xf numFmtId="0" fontId="0" fillId="15" borderId="0" xfId="0" applyFill="1"/>
    <xf numFmtId="0" fontId="4" fillId="15" borderId="4" xfId="1" applyFill="1" applyBorder="1"/>
    <xf numFmtId="4" fontId="0" fillId="15" borderId="0" xfId="0" applyNumberFormat="1" applyFill="1" applyAlignment="1">
      <alignment horizontal="right"/>
    </xf>
    <xf numFmtId="2" fontId="0" fillId="15" borderId="14" xfId="0" applyNumberFormat="1" applyFill="1" applyBorder="1" applyAlignment="1">
      <alignment horizontal="right"/>
    </xf>
    <xf numFmtId="2" fontId="0" fillId="8" borderId="14" xfId="0" applyNumberFormat="1" applyFill="1" applyBorder="1" applyAlignment="1">
      <alignment horizontal="right"/>
    </xf>
    <xf numFmtId="0" fontId="4" fillId="8" borderId="0" xfId="1" applyFill="1"/>
    <xf numFmtId="0" fontId="4" fillId="8" borderId="4" xfId="1" applyFill="1" applyBorder="1"/>
    <xf numFmtId="0" fontId="4" fillId="8" borderId="14" xfId="1" applyFill="1" applyBorder="1"/>
    <xf numFmtId="0" fontId="7" fillId="8" borderId="0" xfId="0" applyFont="1" applyFill="1" applyAlignment="1">
      <alignment horizontal="right"/>
    </xf>
    <xf numFmtId="164" fontId="0" fillId="8" borderId="14" xfId="0" applyNumberFormat="1" applyFill="1" applyBorder="1"/>
    <xf numFmtId="49" fontId="0" fillId="8" borderId="14" xfId="0" applyNumberFormat="1" applyFill="1" applyBorder="1" applyAlignment="1">
      <alignment horizontal="right"/>
    </xf>
    <xf numFmtId="164" fontId="0" fillId="15" borderId="14" xfId="0" applyNumberFormat="1" applyFill="1" applyBorder="1"/>
    <xf numFmtId="4" fontId="4" fillId="8" borderId="0" xfId="1" applyNumberFormat="1" applyFill="1" applyBorder="1"/>
    <xf numFmtId="0" fontId="5" fillId="8" borderId="4" xfId="1" applyFont="1" applyFill="1" applyBorder="1"/>
    <xf numFmtId="0" fontId="5" fillId="8" borderId="14" xfId="1" applyFont="1" applyFill="1" applyBorder="1"/>
    <xf numFmtId="0" fontId="4" fillId="15" borderId="14" xfId="1" applyFill="1" applyBorder="1"/>
    <xf numFmtId="3" fontId="0" fillId="15" borderId="4" xfId="0" applyNumberFormat="1" applyFill="1" applyBorder="1" applyAlignment="1">
      <alignment horizontal="right"/>
    </xf>
    <xf numFmtId="0" fontId="4" fillId="15" borderId="0" xfId="1" applyFill="1"/>
    <xf numFmtId="0" fontId="0" fillId="15" borderId="4" xfId="0" applyFill="1" applyBorder="1" applyAlignment="1">
      <alignment horizontal="right"/>
    </xf>
    <xf numFmtId="3" fontId="0" fillId="8" borderId="4" xfId="0" applyNumberFormat="1" applyFill="1" applyBorder="1" applyAlignment="1">
      <alignment horizontal="right"/>
    </xf>
    <xf numFmtId="0" fontId="0" fillId="8" borderId="14" xfId="0" applyFill="1" applyBorder="1" applyAlignment="1">
      <alignment horizontal="left"/>
    </xf>
    <xf numFmtId="2" fontId="5" fillId="8" borderId="0" xfId="0" applyNumberFormat="1" applyFont="1" applyFill="1" applyAlignment="1">
      <alignment horizontal="right"/>
    </xf>
    <xf numFmtId="2" fontId="5" fillId="15" borderId="0" xfId="0" applyNumberFormat="1" applyFont="1" applyFill="1" applyAlignment="1">
      <alignment horizontal="right"/>
    </xf>
    <xf numFmtId="164" fontId="0" fillId="15" borderId="0" xfId="0" applyNumberFormat="1" applyFill="1" applyAlignment="1">
      <alignment horizontal="right"/>
    </xf>
    <xf numFmtId="4" fontId="4" fillId="15" borderId="0" xfId="1" applyNumberFormat="1" applyFill="1" applyAlignment="1">
      <alignment horizontal="right"/>
    </xf>
    <xf numFmtId="0" fontId="4" fillId="15" borderId="10" xfId="1" applyFill="1" applyBorder="1"/>
    <xf numFmtId="4" fontId="0" fillId="15" borderId="0" xfId="0" applyNumberFormat="1" applyFill="1" applyAlignment="1">
      <alignment horizontal="left"/>
    </xf>
    <xf numFmtId="0" fontId="0" fillId="15" borderId="4" xfId="0" applyFill="1" applyBorder="1" applyAlignment="1">
      <alignment horizontal="left"/>
    </xf>
    <xf numFmtId="0" fontId="0" fillId="15" borderId="14" xfId="0" applyFill="1" applyBorder="1" applyAlignment="1">
      <alignment horizontal="left"/>
    </xf>
    <xf numFmtId="1" fontId="0" fillId="15" borderId="0" xfId="0" applyNumberFormat="1" applyFill="1" applyAlignment="1">
      <alignment horizontal="right"/>
    </xf>
    <xf numFmtId="0" fontId="0" fillId="8" borderId="4" xfId="0" applyFill="1" applyBorder="1" applyAlignment="1">
      <alignment horizontal="left"/>
    </xf>
    <xf numFmtId="164" fontId="0" fillId="8" borderId="0" xfId="0" applyNumberFormat="1" applyFill="1" applyAlignment="1">
      <alignment horizontal="right"/>
    </xf>
    <xf numFmtId="0" fontId="4" fillId="8" borderId="4" xfId="1" applyFill="1" applyBorder="1" applyAlignment="1">
      <alignment horizontal="left"/>
    </xf>
    <xf numFmtId="3" fontId="4" fillId="8" borderId="0" xfId="1" applyNumberFormat="1" applyFill="1" applyBorder="1" applyAlignment="1">
      <alignment horizontal="left"/>
    </xf>
    <xf numFmtId="0" fontId="4" fillId="8" borderId="0" xfId="1" applyFill="1" applyBorder="1"/>
    <xf numFmtId="3" fontId="0" fillId="0" borderId="14" xfId="0" applyNumberFormat="1" applyBorder="1" applyAlignment="1">
      <alignment horizontal="left"/>
    </xf>
    <xf numFmtId="3" fontId="0" fillId="16" borderId="14" xfId="0" applyNumberFormat="1" applyFill="1" applyBorder="1" applyAlignment="1">
      <alignment horizontal="right"/>
    </xf>
    <xf numFmtId="1" fontId="0" fillId="0" borderId="0" xfId="0" applyNumberFormat="1"/>
    <xf numFmtId="0" fontId="1" fillId="5" borderId="13" xfId="0" applyFont="1" applyFill="1" applyBorder="1"/>
    <xf numFmtId="0" fontId="0" fillId="16" borderId="0" xfId="0" applyFill="1"/>
    <xf numFmtId="0" fontId="7" fillId="8" borderId="4" xfId="0" applyFont="1" applyFill="1" applyBorder="1" applyAlignment="1">
      <alignment horizontal="right"/>
    </xf>
    <xf numFmtId="10" fontId="4" fillId="0" borderId="0" xfId="1" applyNumberFormat="1"/>
    <xf numFmtId="10" fontId="4" fillId="0" borderId="4" xfId="1" applyNumberFormat="1" applyBorder="1"/>
    <xf numFmtId="10" fontId="1" fillId="0" borderId="2" xfId="0" applyNumberFormat="1" applyFont="1" applyBorder="1" applyAlignment="1">
      <alignment horizontal="right"/>
    </xf>
    <xf numFmtId="10" fontId="1" fillId="0" borderId="5" xfId="0" applyNumberFormat="1" applyFont="1" applyBorder="1" applyAlignment="1">
      <alignment horizontal="right"/>
    </xf>
    <xf numFmtId="3" fontId="4" fillId="0" borderId="0" xfId="1" applyNumberFormat="1"/>
    <xf numFmtId="3" fontId="4" fillId="0" borderId="4" xfId="1" applyNumberFormat="1" applyBorder="1"/>
    <xf numFmtId="10" fontId="1" fillId="0" borderId="6" xfId="0" applyNumberFormat="1" applyFont="1" applyBorder="1" applyAlignment="1">
      <alignment horizontal="right"/>
    </xf>
    <xf numFmtId="49" fontId="0" fillId="0" borderId="14" xfId="0" applyNumberFormat="1" applyBorder="1" applyAlignment="1">
      <alignment horizontal="left"/>
    </xf>
    <xf numFmtId="3" fontId="0" fillId="5" borderId="14" xfId="0" applyNumberFormat="1" applyFill="1" applyBorder="1" applyAlignment="1">
      <alignment horizontal="left"/>
    </xf>
    <xf numFmtId="0" fontId="4" fillId="0" borderId="0" xfId="1" applyBorder="1" applyAlignment="1">
      <alignment horizontal="left"/>
    </xf>
    <xf numFmtId="0" fontId="4" fillId="0" borderId="0" xfId="1" applyFill="1" applyBorder="1" applyAlignment="1">
      <alignment horizontal="left"/>
    </xf>
    <xf numFmtId="0" fontId="1" fillId="5" borderId="9" xfId="0" applyFont="1" applyFill="1" applyBorder="1"/>
    <xf numFmtId="0" fontId="1" fillId="5" borderId="10" xfId="0" applyFont="1" applyFill="1" applyBorder="1"/>
    <xf numFmtId="0" fontId="0" fillId="4" borderId="10" xfId="0" applyFill="1" applyBorder="1"/>
    <xf numFmtId="49" fontId="0" fillId="0" borderId="0" xfId="0" applyNumberFormat="1" applyAlignment="1">
      <alignment horizontal="left"/>
    </xf>
    <xf numFmtId="0" fontId="0" fillId="4" borderId="0" xfId="0" applyFill="1" applyAlignment="1">
      <alignment horizontal="right"/>
    </xf>
    <xf numFmtId="3" fontId="0" fillId="4" borderId="10" xfId="0" applyNumberFormat="1" applyFill="1" applyBorder="1" applyAlignment="1">
      <alignment horizontal="right"/>
    </xf>
    <xf numFmtId="0" fontId="1" fillId="5" borderId="4" xfId="0" applyFont="1" applyFill="1" applyBorder="1"/>
    <xf numFmtId="0" fontId="0" fillId="5" borderId="6" xfId="0" applyFill="1" applyBorder="1"/>
    <xf numFmtId="0" fontId="5" fillId="15" borderId="4" xfId="1" applyFont="1" applyFill="1" applyBorder="1"/>
    <xf numFmtId="0" fontId="5" fillId="15" borderId="14" xfId="1" applyFont="1" applyFill="1" applyBorder="1"/>
    <xf numFmtId="0" fontId="0" fillId="10" borderId="0" xfId="0" applyFill="1"/>
    <xf numFmtId="0" fontId="0" fillId="5" borderId="14" xfId="0" applyFill="1" applyBorder="1"/>
    <xf numFmtId="0" fontId="0" fillId="5" borderId="13" xfId="0" applyFill="1" applyBorder="1"/>
    <xf numFmtId="0" fontId="1" fillId="5" borderId="5" xfId="0" applyFont="1" applyFill="1" applyBorder="1"/>
    <xf numFmtId="0" fontId="3" fillId="10" borderId="0" xfId="0" applyFont="1" applyFill="1"/>
    <xf numFmtId="0" fontId="0" fillId="2" borderId="0" xfId="0" applyFill="1"/>
    <xf numFmtId="2" fontId="0" fillId="0" borderId="0" xfId="0" applyNumberFormat="1" applyAlignment="1">
      <alignment horizontal="left"/>
    </xf>
    <xf numFmtId="0" fontId="0" fillId="4" borderId="4" xfId="0" applyFill="1" applyBorder="1" applyAlignment="1">
      <alignment horizontal="left"/>
    </xf>
    <xf numFmtId="0" fontId="0" fillId="4" borderId="0" xfId="0" applyFill="1" applyAlignment="1">
      <alignment horizontal="left"/>
    </xf>
    <xf numFmtId="3" fontId="0" fillId="4" borderId="0" xfId="0" applyNumberFormat="1" applyFill="1" applyAlignment="1">
      <alignment horizontal="left"/>
    </xf>
    <xf numFmtId="3" fontId="0" fillId="4" borderId="10" xfId="0" applyNumberFormat="1" applyFill="1" applyBorder="1" applyAlignment="1">
      <alignment horizontal="left"/>
    </xf>
    <xf numFmtId="0" fontId="0" fillId="0" borderId="6" xfId="0" applyBorder="1" applyAlignment="1">
      <alignment horizontal="left"/>
    </xf>
    <xf numFmtId="0" fontId="0" fillId="0" borderId="5" xfId="0" applyBorder="1" applyAlignment="1">
      <alignment horizontal="left"/>
    </xf>
    <xf numFmtId="169" fontId="0" fillId="0" borderId="0" xfId="0" applyNumberFormat="1"/>
    <xf numFmtId="0" fontId="1" fillId="9" borderId="14" xfId="0" applyFont="1" applyFill="1" applyBorder="1"/>
    <xf numFmtId="164" fontId="0" fillId="9" borderId="0" xfId="0" applyNumberFormat="1" applyFill="1" applyAlignment="1">
      <alignment horizontal="right"/>
    </xf>
    <xf numFmtId="3" fontId="0" fillId="9" borderId="0" xfId="0" applyNumberFormat="1" applyFill="1" applyAlignment="1">
      <alignment horizontal="right"/>
    </xf>
    <xf numFmtId="2" fontId="0" fillId="9" borderId="0" xfId="0" applyNumberFormat="1" applyFill="1" applyAlignment="1">
      <alignment horizontal="right"/>
    </xf>
    <xf numFmtId="3" fontId="0" fillId="9" borderId="10" xfId="0" applyNumberFormat="1" applyFill="1" applyBorder="1" applyAlignment="1">
      <alignment horizontal="right"/>
    </xf>
    <xf numFmtId="0" fontId="1" fillId="15" borderId="14" xfId="0" applyFont="1" applyFill="1" applyBorder="1"/>
    <xf numFmtId="3" fontId="0" fillId="15" borderId="10" xfId="0" applyNumberFormat="1" applyFill="1" applyBorder="1" applyAlignment="1">
      <alignment horizontal="right"/>
    </xf>
    <xf numFmtId="0" fontId="4" fillId="15" borderId="0" xfId="1" applyFill="1" applyAlignment="1">
      <alignment horizontal="left"/>
    </xf>
    <xf numFmtId="0" fontId="0" fillId="15" borderId="0" xfId="0" applyFill="1" applyAlignment="1">
      <alignment horizontal="left"/>
    </xf>
    <xf numFmtId="3" fontId="0" fillId="15" borderId="0" xfId="0" applyNumberFormat="1" applyFill="1" applyAlignment="1">
      <alignment horizontal="left"/>
    </xf>
    <xf numFmtId="2" fontId="0" fillId="15" borderId="0" xfId="0" applyNumberFormat="1" applyFill="1" applyAlignment="1">
      <alignment horizontal="left"/>
    </xf>
    <xf numFmtId="49" fontId="0" fillId="15" borderId="0" xfId="0" applyNumberFormat="1" applyFill="1" applyAlignment="1">
      <alignment horizontal="left"/>
    </xf>
    <xf numFmtId="3" fontId="0" fillId="15" borderId="10" xfId="0" applyNumberFormat="1" applyFill="1" applyBorder="1" applyAlignment="1">
      <alignment horizontal="left"/>
    </xf>
    <xf numFmtId="0" fontId="4" fillId="9" borderId="0" xfId="1" applyFill="1" applyAlignment="1">
      <alignment horizontal="left"/>
    </xf>
    <xf numFmtId="3" fontId="0" fillId="9" borderId="0" xfId="0" applyNumberFormat="1" applyFill="1" applyAlignment="1">
      <alignment horizontal="left"/>
    </xf>
    <xf numFmtId="2" fontId="0" fillId="9" borderId="0" xfId="0" applyNumberFormat="1" applyFill="1" applyAlignment="1">
      <alignment horizontal="left"/>
    </xf>
    <xf numFmtId="49" fontId="0" fillId="9" borderId="0" xfId="0" applyNumberFormat="1" applyFill="1" applyAlignment="1">
      <alignment horizontal="left"/>
    </xf>
    <xf numFmtId="3" fontId="0" fillId="9" borderId="10" xfId="0" applyNumberFormat="1" applyFill="1" applyBorder="1" applyAlignment="1">
      <alignment horizontal="left"/>
    </xf>
    <xf numFmtId="0" fontId="0" fillId="9" borderId="0" xfId="0" applyFill="1" applyAlignment="1">
      <alignment horizontal="left"/>
    </xf>
    <xf numFmtId="169" fontId="0" fillId="0" borderId="0" xfId="0" applyNumberFormat="1" applyAlignment="1">
      <alignment horizontal="right"/>
    </xf>
    <xf numFmtId="169" fontId="0" fillId="4" borderId="0" xfId="0" applyNumberFormat="1" applyFill="1" applyAlignment="1">
      <alignment horizontal="right"/>
    </xf>
    <xf numFmtId="169" fontId="0" fillId="9" borderId="0" xfId="0" applyNumberFormat="1" applyFill="1" applyAlignment="1">
      <alignment horizontal="right"/>
    </xf>
    <xf numFmtId="169" fontId="0" fillId="15" borderId="0" xfId="0" applyNumberFormat="1" applyFill="1" applyAlignment="1">
      <alignment horizontal="right"/>
    </xf>
    <xf numFmtId="169" fontId="0" fillId="0" borderId="6" xfId="0" applyNumberFormat="1" applyBorder="1" applyAlignment="1">
      <alignment horizontal="right"/>
    </xf>
    <xf numFmtId="3" fontId="0" fillId="0" borderId="6" xfId="0" applyNumberFormat="1" applyBorder="1" applyAlignment="1">
      <alignment horizontal="left"/>
    </xf>
    <xf numFmtId="3" fontId="0" fillId="0" borderId="6" xfId="0" applyNumberFormat="1" applyBorder="1" applyAlignment="1">
      <alignment horizontal="right"/>
    </xf>
    <xf numFmtId="3" fontId="0" fillId="0" borderId="11" xfId="0" applyNumberFormat="1" applyBorder="1" applyAlignment="1">
      <alignment horizontal="right"/>
    </xf>
    <xf numFmtId="3" fontId="4" fillId="15" borderId="0" xfId="1" applyNumberFormat="1" applyFill="1" applyAlignment="1">
      <alignment horizontal="left"/>
    </xf>
    <xf numFmtId="169" fontId="0" fillId="2" borderId="0" xfId="0" applyNumberFormat="1" applyFill="1"/>
    <xf numFmtId="0" fontId="4" fillId="2" borderId="0" xfId="1" applyFill="1"/>
    <xf numFmtId="0" fontId="4" fillId="0" borderId="0" xfId="1" applyAlignment="1">
      <alignment horizontal="left"/>
    </xf>
    <xf numFmtId="3" fontId="0" fillId="10" borderId="0" xfId="0" applyNumberFormat="1" applyFill="1"/>
    <xf numFmtId="3" fontId="1" fillId="5" borderId="3" xfId="0" applyNumberFormat="1" applyFont="1" applyFill="1" applyBorder="1"/>
    <xf numFmtId="0" fontId="0" fillId="9" borderId="14" xfId="0" applyFill="1" applyBorder="1"/>
    <xf numFmtId="0" fontId="0" fillId="9" borderId="0" xfId="0" applyFill="1" applyAlignment="1">
      <alignment horizontal="right"/>
    </xf>
    <xf numFmtId="1" fontId="0" fillId="9" borderId="10" xfId="0" applyNumberFormat="1" applyFill="1" applyBorder="1" applyAlignment="1">
      <alignment horizontal="right"/>
    </xf>
    <xf numFmtId="3" fontId="0" fillId="9" borderId="14" xfId="0" applyNumberFormat="1" applyFill="1" applyBorder="1"/>
    <xf numFmtId="3" fontId="0" fillId="9" borderId="14" xfId="0" applyNumberFormat="1" applyFill="1" applyBorder="1" applyAlignment="1">
      <alignment horizontal="right"/>
    </xf>
    <xf numFmtId="2" fontId="0" fillId="9" borderId="14" xfId="0" applyNumberFormat="1" applyFill="1" applyBorder="1" applyAlignment="1">
      <alignment horizontal="right"/>
    </xf>
    <xf numFmtId="49" fontId="0" fillId="9" borderId="14" xfId="0" applyNumberFormat="1" applyFill="1" applyBorder="1" applyAlignment="1">
      <alignment horizontal="right"/>
    </xf>
    <xf numFmtId="49" fontId="0" fillId="9" borderId="14" xfId="0" applyNumberFormat="1" applyFill="1" applyBorder="1" applyAlignment="1">
      <alignment horizontal="left"/>
    </xf>
    <xf numFmtId="164" fontId="0" fillId="9" borderId="14" xfId="0" applyNumberFormat="1" applyFill="1" applyBorder="1" applyAlignment="1">
      <alignment horizontal="right"/>
    </xf>
    <xf numFmtId="0" fontId="0" fillId="9" borderId="14" xfId="0" applyFill="1" applyBorder="1" applyAlignment="1">
      <alignment horizontal="right"/>
    </xf>
    <xf numFmtId="165" fontId="0" fillId="9" borderId="14" xfId="0" applyNumberFormat="1" applyFill="1" applyBorder="1" applyAlignment="1">
      <alignment horizontal="right"/>
    </xf>
    <xf numFmtId="0" fontId="4" fillId="9" borderId="4" xfId="1" applyFill="1" applyBorder="1"/>
    <xf numFmtId="0" fontId="4" fillId="9" borderId="0" xfId="1" applyFill="1"/>
    <xf numFmtId="0" fontId="4" fillId="9" borderId="14" xfId="1" applyFill="1" applyBorder="1"/>
    <xf numFmtId="0" fontId="0" fillId="9" borderId="4" xfId="0" applyFill="1" applyBorder="1"/>
    <xf numFmtId="3" fontId="0" fillId="9" borderId="14" xfId="0" applyNumberFormat="1" applyFill="1" applyBorder="1" applyAlignment="1">
      <alignment horizontal="left"/>
    </xf>
    <xf numFmtId="0" fontId="0" fillId="9" borderId="0" xfId="0" applyFill="1"/>
    <xf numFmtId="0" fontId="0" fillId="9" borderId="4" xfId="0" applyFill="1" applyBorder="1" applyAlignment="1">
      <alignment horizontal="left"/>
    </xf>
    <xf numFmtId="0" fontId="0" fillId="9" borderId="4" xfId="0" applyFill="1" applyBorder="1" applyAlignment="1">
      <alignment horizontal="right"/>
    </xf>
    <xf numFmtId="0" fontId="4" fillId="9" borderId="14" xfId="1" applyFill="1" applyBorder="1" applyAlignment="1">
      <alignment horizontal="left"/>
    </xf>
    <xf numFmtId="0" fontId="0" fillId="9" borderId="14" xfId="0" applyFill="1" applyBorder="1" applyAlignment="1">
      <alignment horizontal="left"/>
    </xf>
    <xf numFmtId="0" fontId="0" fillId="8" borderId="0" xfId="0" applyFill="1" applyAlignment="1">
      <alignment horizontal="left"/>
    </xf>
    <xf numFmtId="0" fontId="5" fillId="9" borderId="0" xfId="1" applyFont="1" applyFill="1"/>
    <xf numFmtId="0" fontId="5" fillId="9" borderId="14" xfId="1" applyFont="1" applyFill="1" applyBorder="1"/>
    <xf numFmtId="0" fontId="4" fillId="9" borderId="0" xfId="1" applyFill="1" applyBorder="1"/>
    <xf numFmtId="0" fontId="5" fillId="9" borderId="0" xfId="1" applyFont="1" applyFill="1" applyBorder="1"/>
    <xf numFmtId="2" fontId="4" fillId="15" borderId="0" xfId="1" applyNumberFormat="1" applyFill="1" applyAlignment="1">
      <alignment horizontal="left"/>
    </xf>
    <xf numFmtId="169" fontId="1" fillId="0" borderId="0" xfId="0" applyNumberFormat="1" applyFont="1" applyAlignment="1">
      <alignment horizontal="right"/>
    </xf>
    <xf numFmtId="3" fontId="1" fillId="0" borderId="0" xfId="0" applyNumberFormat="1" applyFont="1" applyAlignment="1">
      <alignment horizontal="left"/>
    </xf>
    <xf numFmtId="3" fontId="1" fillId="0" borderId="10" xfId="0" applyNumberFormat="1" applyFont="1" applyBorder="1" applyAlignment="1">
      <alignment horizontal="left"/>
    </xf>
    <xf numFmtId="0" fontId="0" fillId="0" borderId="10" xfId="0" applyBorder="1" applyAlignment="1">
      <alignment horizontal="left"/>
    </xf>
    <xf numFmtId="0" fontId="0" fillId="4" borderId="3" xfId="0" applyFill="1" applyBorder="1" applyAlignment="1">
      <alignment horizontal="right"/>
    </xf>
    <xf numFmtId="164" fontId="0" fillId="4" borderId="3" xfId="0" applyNumberFormat="1" applyFill="1" applyBorder="1" applyAlignment="1">
      <alignment horizontal="right"/>
    </xf>
    <xf numFmtId="3" fontId="0" fillId="4" borderId="3" xfId="0" applyNumberFormat="1" applyFill="1" applyBorder="1" applyAlignment="1">
      <alignment horizontal="right"/>
    </xf>
    <xf numFmtId="169" fontId="0" fillId="4" borderId="3" xfId="0" applyNumberFormat="1" applyFill="1" applyBorder="1" applyAlignment="1">
      <alignment horizontal="right"/>
    </xf>
    <xf numFmtId="3" fontId="0" fillId="4" borderId="9" xfId="0" applyNumberFormat="1" applyFill="1" applyBorder="1" applyAlignment="1">
      <alignment horizontal="right"/>
    </xf>
    <xf numFmtId="164" fontId="0" fillId="0" borderId="6" xfId="0" applyNumberFormat="1" applyBorder="1" applyAlignment="1">
      <alignment horizontal="right"/>
    </xf>
    <xf numFmtId="0" fontId="0" fillId="4" borderId="3" xfId="0" applyFill="1" applyBorder="1" applyAlignment="1">
      <alignment horizontal="left"/>
    </xf>
    <xf numFmtId="3" fontId="0" fillId="4" borderId="3" xfId="0" applyNumberFormat="1" applyFill="1" applyBorder="1" applyAlignment="1">
      <alignment horizontal="left"/>
    </xf>
    <xf numFmtId="2" fontId="0" fillId="4" borderId="3" xfId="0" applyNumberFormat="1" applyFill="1" applyBorder="1" applyAlignment="1">
      <alignment horizontal="left"/>
    </xf>
    <xf numFmtId="49" fontId="0" fillId="4" borderId="3" xfId="0" applyNumberFormat="1" applyFill="1" applyBorder="1" applyAlignment="1">
      <alignment horizontal="left"/>
    </xf>
    <xf numFmtId="3" fontId="0" fillId="4" borderId="9" xfId="0" applyNumberFormat="1" applyFill="1" applyBorder="1" applyAlignment="1">
      <alignment horizontal="left"/>
    </xf>
    <xf numFmtId="3" fontId="0" fillId="4" borderId="3" xfId="0" applyNumberFormat="1" applyFill="1" applyBorder="1"/>
    <xf numFmtId="0" fontId="0" fillId="4" borderId="3" xfId="0" applyFill="1" applyBorder="1"/>
    <xf numFmtId="2" fontId="0" fillId="0" borderId="6" xfId="0" applyNumberFormat="1" applyBorder="1" applyAlignment="1">
      <alignment horizontal="left"/>
    </xf>
    <xf numFmtId="49" fontId="0" fillId="0" borderId="6" xfId="0" applyNumberFormat="1" applyBorder="1" applyAlignment="1">
      <alignment horizontal="left"/>
    </xf>
    <xf numFmtId="3" fontId="0" fillId="0" borderId="11" xfId="0" applyNumberFormat="1" applyBorder="1" applyAlignment="1">
      <alignment horizontal="left"/>
    </xf>
    <xf numFmtId="0" fontId="5" fillId="0" borderId="0" xfId="1" applyFont="1" applyAlignment="1">
      <alignment horizontal="left"/>
    </xf>
    <xf numFmtId="10" fontId="4" fillId="0" borderId="9" xfId="1" applyNumberFormat="1" applyBorder="1"/>
    <xf numFmtId="0" fontId="1" fillId="5" borderId="6" xfId="0" applyFont="1" applyFill="1" applyBorder="1" applyAlignment="1">
      <alignment horizontal="left"/>
    </xf>
    <xf numFmtId="49" fontId="0" fillId="15" borderId="14" xfId="0" applyNumberFormat="1" applyFill="1" applyBorder="1"/>
    <xf numFmtId="170" fontId="0" fillId="0" borderId="0" xfId="0" applyNumberFormat="1" applyAlignment="1">
      <alignment horizontal="right"/>
    </xf>
    <xf numFmtId="170" fontId="0" fillId="0" borderId="0" xfId="0" applyNumberFormat="1"/>
    <xf numFmtId="170" fontId="0" fillId="0" borderId="6" xfId="0" applyNumberFormat="1" applyBorder="1"/>
    <xf numFmtId="49" fontId="0" fillId="0" borderId="0" xfId="0" applyNumberFormat="1"/>
    <xf numFmtId="0" fontId="10" fillId="0" borderId="0" xfId="0" applyFont="1"/>
    <xf numFmtId="0" fontId="1" fillId="4" borderId="3" xfId="0" applyFont="1" applyFill="1" applyBorder="1" applyAlignment="1">
      <alignment horizontal="left"/>
    </xf>
    <xf numFmtId="170" fontId="0" fillId="4" borderId="3" xfId="0" applyNumberFormat="1" applyFill="1" applyBorder="1"/>
    <xf numFmtId="0" fontId="0" fillId="4" borderId="9" xfId="0" applyFill="1" applyBorder="1"/>
    <xf numFmtId="0" fontId="1" fillId="4" borderId="2" xfId="0" applyFont="1" applyFill="1" applyBorder="1" applyAlignment="1">
      <alignment horizontal="right"/>
    </xf>
    <xf numFmtId="0" fontId="1" fillId="4" borderId="3" xfId="0" applyFont="1" applyFill="1" applyBorder="1" applyAlignment="1">
      <alignment horizontal="right"/>
    </xf>
    <xf numFmtId="3" fontId="0" fillId="4" borderId="9" xfId="0" applyNumberFormat="1" applyFill="1" applyBorder="1"/>
    <xf numFmtId="0" fontId="0" fillId="17" borderId="14" xfId="0" applyFill="1" applyBorder="1"/>
    <xf numFmtId="0" fontId="0" fillId="17" borderId="0" xfId="0" applyFill="1" applyAlignment="1">
      <alignment horizontal="left"/>
    </xf>
    <xf numFmtId="3" fontId="0" fillId="17" borderId="0" xfId="0" applyNumberFormat="1" applyFill="1" applyAlignment="1">
      <alignment horizontal="right"/>
    </xf>
    <xf numFmtId="3" fontId="0" fillId="17" borderId="0" xfId="0" applyNumberFormat="1" applyFill="1"/>
    <xf numFmtId="0" fontId="0" fillId="17" borderId="0" xfId="0" applyFill="1"/>
    <xf numFmtId="0" fontId="0" fillId="17" borderId="0" xfId="0" applyFill="1" applyAlignment="1">
      <alignment horizontal="right"/>
    </xf>
    <xf numFmtId="3" fontId="0" fillId="17" borderId="10" xfId="0" applyNumberFormat="1" applyFill="1" applyBorder="1" applyAlignment="1">
      <alignment horizontal="right"/>
    </xf>
    <xf numFmtId="0" fontId="0" fillId="17" borderId="10" xfId="0" applyFill="1" applyBorder="1"/>
    <xf numFmtId="3" fontId="0" fillId="17" borderId="0" xfId="0" applyNumberFormat="1" applyFill="1" applyAlignment="1">
      <alignment horizontal="left"/>
    </xf>
    <xf numFmtId="0" fontId="4" fillId="17" borderId="0" xfId="1" applyFill="1" applyAlignment="1">
      <alignment horizontal="left"/>
    </xf>
    <xf numFmtId="170" fontId="1" fillId="4" borderId="3" xfId="0" applyNumberFormat="1" applyFont="1" applyFill="1" applyBorder="1"/>
    <xf numFmtId="0" fontId="0" fillId="17" borderId="10" xfId="0" applyFill="1" applyBorder="1" applyAlignment="1">
      <alignment horizontal="right"/>
    </xf>
    <xf numFmtId="44" fontId="0" fillId="0" borderId="14" xfId="0" applyNumberFormat="1" applyBorder="1"/>
    <xf numFmtId="44" fontId="1" fillId="4" borderId="12" xfId="0" applyNumberFormat="1" applyFont="1" applyFill="1" applyBorder="1"/>
    <xf numFmtId="0" fontId="1" fillId="4" borderId="4" xfId="0" applyFont="1" applyFill="1" applyBorder="1" applyAlignment="1">
      <alignment horizontal="left"/>
    </xf>
    <xf numFmtId="0" fontId="1" fillId="4" borderId="0" xfId="0" applyFont="1" applyFill="1" applyAlignment="1">
      <alignment horizontal="left"/>
    </xf>
    <xf numFmtId="0" fontId="0" fillId="4" borderId="10" xfId="0" applyFill="1" applyBorder="1" applyAlignment="1">
      <alignment horizontal="left"/>
    </xf>
    <xf numFmtId="0" fontId="1" fillId="4" borderId="10" xfId="0" applyFont="1" applyFill="1" applyBorder="1" applyAlignment="1">
      <alignment horizontal="left"/>
    </xf>
    <xf numFmtId="0" fontId="0" fillId="0" borderId="11" xfId="0" applyBorder="1" applyAlignment="1">
      <alignment horizontal="left"/>
    </xf>
    <xf numFmtId="3" fontId="0" fillId="4" borderId="10" xfId="0" applyNumberFormat="1" applyFill="1" applyBorder="1"/>
    <xf numFmtId="0" fontId="1" fillId="4" borderId="10" xfId="0" applyFont="1" applyFill="1" applyBorder="1"/>
    <xf numFmtId="0" fontId="0" fillId="4" borderId="9" xfId="0" applyFill="1" applyBorder="1" applyAlignment="1">
      <alignment horizontal="left"/>
    </xf>
    <xf numFmtId="0" fontId="1" fillId="18" borderId="4" xfId="0" applyFont="1" applyFill="1" applyBorder="1"/>
    <xf numFmtId="0" fontId="1" fillId="18" borderId="0" xfId="0" applyFont="1" applyFill="1"/>
    <xf numFmtId="3" fontId="0" fillId="18" borderId="0" xfId="0" applyNumberFormat="1" applyFill="1" applyAlignment="1">
      <alignment horizontal="right"/>
    </xf>
    <xf numFmtId="0" fontId="0" fillId="18" borderId="0" xfId="0" applyFill="1"/>
    <xf numFmtId="0" fontId="0" fillId="18" borderId="10" xfId="0" applyFill="1" applyBorder="1"/>
    <xf numFmtId="0" fontId="1" fillId="18" borderId="14" xfId="0" applyFont="1" applyFill="1" applyBorder="1"/>
    <xf numFmtId="3" fontId="0" fillId="18" borderId="0" xfId="0" applyNumberFormat="1" applyFill="1"/>
    <xf numFmtId="15" fontId="0" fillId="0" borderId="0" xfId="0" applyNumberFormat="1"/>
    <xf numFmtId="166" fontId="0" fillId="0" borderId="0" xfId="0" applyNumberFormat="1"/>
    <xf numFmtId="0" fontId="0" fillId="18" borderId="0" xfId="0" applyFill="1" applyAlignment="1">
      <alignment horizontal="right"/>
    </xf>
    <xf numFmtId="17" fontId="0" fillId="0" borderId="0" xfId="0" applyNumberFormat="1" applyAlignment="1">
      <alignment horizontal="right"/>
    </xf>
    <xf numFmtId="0" fontId="0" fillId="8" borderId="10" xfId="0" applyFill="1" applyBorder="1" applyAlignment="1">
      <alignment horizontal="right"/>
    </xf>
    <xf numFmtId="3" fontId="1" fillId="4" borderId="3" xfId="0" applyNumberFormat="1" applyFont="1" applyFill="1" applyBorder="1"/>
    <xf numFmtId="0" fontId="0" fillId="19" borderId="0" xfId="0" applyFill="1"/>
    <xf numFmtId="3" fontId="0" fillId="19" borderId="0" xfId="0" applyNumberFormat="1" applyFill="1"/>
    <xf numFmtId="0" fontId="13" fillId="0" borderId="0" xfId="0" applyFont="1"/>
    <xf numFmtId="0" fontId="10" fillId="5" borderId="2" xfId="0" applyFont="1" applyFill="1" applyBorder="1"/>
    <xf numFmtId="0" fontId="1" fillId="20" borderId="14" xfId="0" applyFont="1" applyFill="1" applyBorder="1"/>
    <xf numFmtId="3" fontId="0" fillId="20" borderId="10" xfId="0" applyNumberFormat="1" applyFill="1" applyBorder="1" applyAlignment="1">
      <alignment horizontal="right"/>
    </xf>
    <xf numFmtId="0" fontId="1" fillId="5" borderId="8" xfId="0" applyFont="1" applyFill="1" applyBorder="1"/>
    <xf numFmtId="0" fontId="1" fillId="5" borderId="1" xfId="0" applyFont="1" applyFill="1" applyBorder="1"/>
    <xf numFmtId="0" fontId="0" fillId="5" borderId="9" xfId="0" applyFill="1" applyBorder="1"/>
    <xf numFmtId="0" fontId="1" fillId="5" borderId="18" xfId="0" applyFont="1" applyFill="1" applyBorder="1"/>
    <xf numFmtId="0" fontId="0" fillId="5" borderId="8" xfId="0" applyFill="1" applyBorder="1"/>
    <xf numFmtId="0" fontId="10" fillId="5" borderId="12" xfId="0" applyFont="1" applyFill="1" applyBorder="1"/>
    <xf numFmtId="164" fontId="0" fillId="5" borderId="3" xfId="0" applyNumberFormat="1" applyFill="1" applyBorder="1"/>
    <xf numFmtId="164" fontId="1" fillId="5" borderId="1" xfId="0" applyNumberFormat="1" applyFont="1" applyFill="1" applyBorder="1"/>
    <xf numFmtId="3" fontId="1" fillId="5" borderId="7" xfId="0" applyNumberFormat="1" applyFont="1" applyFill="1" applyBorder="1"/>
    <xf numFmtId="164" fontId="1" fillId="4" borderId="0" xfId="0" applyNumberFormat="1" applyFont="1" applyFill="1" applyAlignment="1">
      <alignment horizontal="right"/>
    </xf>
    <xf numFmtId="164" fontId="1" fillId="5" borderId="1" xfId="0" applyNumberFormat="1" applyFont="1" applyFill="1" applyBorder="1" applyAlignment="1">
      <alignment horizontal="right"/>
    </xf>
    <xf numFmtId="3" fontId="1" fillId="5" borderId="7" xfId="0" applyNumberFormat="1" applyFont="1" applyFill="1" applyBorder="1" applyAlignment="1">
      <alignment horizontal="right"/>
    </xf>
    <xf numFmtId="169" fontId="1" fillId="5" borderId="7" xfId="0" applyNumberFormat="1" applyFont="1" applyFill="1" applyBorder="1" applyAlignment="1">
      <alignment horizontal="right"/>
    </xf>
    <xf numFmtId="164" fontId="1" fillId="0" borderId="7" xfId="0" applyNumberFormat="1" applyFont="1" applyBorder="1" applyAlignment="1">
      <alignment horizontal="right"/>
    </xf>
    <xf numFmtId="3" fontId="1" fillId="0" borderId="7" xfId="0" applyNumberFormat="1" applyFont="1" applyBorder="1" applyAlignment="1">
      <alignment horizontal="right"/>
    </xf>
    <xf numFmtId="169" fontId="1" fillId="0" borderId="7" xfId="0" applyNumberFormat="1" applyFont="1" applyBorder="1" applyAlignment="1">
      <alignment horizontal="right"/>
    </xf>
    <xf numFmtId="3" fontId="1" fillId="0" borderId="8" xfId="0" applyNumberFormat="1" applyFont="1" applyBorder="1" applyAlignment="1">
      <alignment horizontal="right"/>
    </xf>
    <xf numFmtId="3" fontId="0" fillId="5" borderId="3" xfId="0" applyNumberFormat="1" applyFill="1" applyBorder="1"/>
    <xf numFmtId="169" fontId="1" fillId="5" borderId="7" xfId="0" applyNumberFormat="1" applyFont="1" applyFill="1" applyBorder="1"/>
    <xf numFmtId="169" fontId="1" fillId="4" borderId="0" xfId="0" applyNumberFormat="1" applyFont="1" applyFill="1" applyAlignment="1">
      <alignment horizontal="right"/>
    </xf>
    <xf numFmtId="169" fontId="0" fillId="5" borderId="3" xfId="0" applyNumberFormat="1" applyFill="1" applyBorder="1"/>
    <xf numFmtId="169" fontId="0" fillId="0" borderId="6" xfId="0" applyNumberFormat="1" applyBorder="1"/>
    <xf numFmtId="170" fontId="1" fillId="5" borderId="7" xfId="0" applyNumberFormat="1" applyFont="1" applyFill="1" applyBorder="1"/>
    <xf numFmtId="170" fontId="1" fillId="4" borderId="0" xfId="0" applyNumberFormat="1" applyFont="1" applyFill="1" applyAlignment="1">
      <alignment horizontal="right"/>
    </xf>
    <xf numFmtId="170" fontId="0" fillId="5" borderId="3" xfId="0" applyNumberFormat="1" applyFill="1" applyBorder="1"/>
    <xf numFmtId="170" fontId="1" fillId="5" borderId="7" xfId="0" applyNumberFormat="1" applyFont="1" applyFill="1" applyBorder="1" applyAlignment="1">
      <alignment horizontal="right"/>
    </xf>
    <xf numFmtId="171" fontId="1" fillId="5" borderId="7" xfId="0" applyNumberFormat="1" applyFont="1" applyFill="1" applyBorder="1"/>
    <xf numFmtId="171" fontId="1" fillId="4" borderId="0" xfId="0" applyNumberFormat="1" applyFont="1" applyFill="1" applyAlignment="1">
      <alignment horizontal="right"/>
    </xf>
    <xf numFmtId="171" fontId="0" fillId="0" borderId="0" xfId="0" applyNumberFormat="1"/>
    <xf numFmtId="171" fontId="0" fillId="0" borderId="0" xfId="0" applyNumberFormat="1" applyAlignment="1">
      <alignment horizontal="right"/>
    </xf>
    <xf numFmtId="171" fontId="0" fillId="5" borderId="3" xfId="0" applyNumberFormat="1" applyFill="1" applyBorder="1"/>
    <xf numFmtId="171" fontId="1" fillId="5" borderId="7" xfId="0" applyNumberFormat="1" applyFont="1" applyFill="1" applyBorder="1" applyAlignment="1">
      <alignment horizontal="right"/>
    </xf>
    <xf numFmtId="171" fontId="0" fillId="0" borderId="6" xfId="0" applyNumberFormat="1" applyBorder="1" applyAlignment="1">
      <alignment horizontal="right"/>
    </xf>
    <xf numFmtId="171" fontId="1" fillId="0" borderId="0" xfId="0" applyNumberFormat="1" applyFont="1" applyAlignment="1">
      <alignment horizontal="right"/>
    </xf>
    <xf numFmtId="171" fontId="1" fillId="0" borderId="7" xfId="0" applyNumberFormat="1" applyFont="1" applyBorder="1" applyAlignment="1">
      <alignment horizontal="right"/>
    </xf>
    <xf numFmtId="171" fontId="0" fillId="4" borderId="0" xfId="0" applyNumberFormat="1" applyFill="1" applyAlignment="1">
      <alignment horizontal="right"/>
    </xf>
    <xf numFmtId="171" fontId="0" fillId="4" borderId="3" xfId="0" applyNumberFormat="1" applyFill="1" applyBorder="1" applyAlignment="1">
      <alignment horizontal="right"/>
    </xf>
    <xf numFmtId="171" fontId="0" fillId="9" borderId="0" xfId="0" applyNumberFormat="1" applyFill="1" applyAlignment="1">
      <alignment horizontal="right"/>
    </xf>
    <xf numFmtId="171" fontId="0" fillId="15" borderId="0" xfId="0" applyNumberFormat="1" applyFill="1" applyAlignment="1">
      <alignment horizontal="right"/>
    </xf>
    <xf numFmtId="170" fontId="1" fillId="0" borderId="4" xfId="0" applyNumberFormat="1" applyFont="1" applyBorder="1" applyAlignment="1">
      <alignment horizontal="right"/>
    </xf>
    <xf numFmtId="170" fontId="0" fillId="0" borderId="4" xfId="0" applyNumberFormat="1" applyBorder="1" applyAlignment="1">
      <alignment horizontal="right"/>
    </xf>
    <xf numFmtId="170" fontId="1" fillId="0" borderId="1" xfId="0" applyNumberFormat="1" applyFont="1" applyBorder="1" applyAlignment="1">
      <alignment horizontal="right"/>
    </xf>
    <xf numFmtId="170" fontId="0" fillId="4" borderId="3" xfId="0" applyNumberFormat="1" applyFill="1" applyBorder="1" applyAlignment="1">
      <alignment horizontal="right"/>
    </xf>
    <xf numFmtId="170" fontId="0" fillId="4" borderId="4" xfId="0" applyNumberFormat="1" applyFill="1" applyBorder="1" applyAlignment="1">
      <alignment horizontal="right"/>
    </xf>
    <xf numFmtId="170" fontId="0" fillId="9" borderId="0" xfId="0" applyNumberFormat="1" applyFill="1" applyAlignment="1">
      <alignment horizontal="right"/>
    </xf>
    <xf numFmtId="170" fontId="0" fillId="15" borderId="0" xfId="0" applyNumberFormat="1" applyFill="1" applyAlignment="1">
      <alignment horizontal="right"/>
    </xf>
    <xf numFmtId="170" fontId="0" fillId="0" borderId="6" xfId="0" applyNumberFormat="1" applyBorder="1" applyAlignment="1">
      <alignment horizontal="right"/>
    </xf>
    <xf numFmtId="170" fontId="0" fillId="8" borderId="0" xfId="0" applyNumberFormat="1" applyFill="1"/>
    <xf numFmtId="170" fontId="0" fillId="8" borderId="0" xfId="0" applyNumberFormat="1" applyFill="1" applyAlignment="1">
      <alignment horizontal="right"/>
    </xf>
    <xf numFmtId="170" fontId="0" fillId="9" borderId="0" xfId="0" applyNumberFormat="1" applyFill="1"/>
    <xf numFmtId="170" fontId="0" fillId="4" borderId="0" xfId="0" applyNumberFormat="1" applyFill="1"/>
    <xf numFmtId="170" fontId="0" fillId="15" borderId="0" xfId="0" applyNumberFormat="1" applyFill="1"/>
    <xf numFmtId="170" fontId="1" fillId="4" borderId="0" xfId="0" applyNumberFormat="1" applyFont="1" applyFill="1"/>
    <xf numFmtId="170" fontId="0" fillId="4" borderId="0" xfId="0" applyNumberFormat="1" applyFill="1" applyAlignment="1">
      <alignment horizontal="right"/>
    </xf>
    <xf numFmtId="172" fontId="0" fillId="8" borderId="0" xfId="0" applyNumberFormat="1" applyFill="1" applyAlignment="1">
      <alignment horizontal="right"/>
    </xf>
    <xf numFmtId="172" fontId="0" fillId="8" borderId="10" xfId="0" applyNumberFormat="1" applyFill="1" applyBorder="1" applyAlignment="1">
      <alignment horizontal="right"/>
    </xf>
    <xf numFmtId="172" fontId="0" fillId="15" borderId="0" xfId="0" applyNumberFormat="1" applyFill="1" applyAlignment="1">
      <alignment horizontal="right"/>
    </xf>
    <xf numFmtId="172" fontId="0" fillId="15" borderId="10" xfId="0" applyNumberFormat="1" applyFill="1" applyBorder="1" applyAlignment="1">
      <alignment horizontal="right"/>
    </xf>
    <xf numFmtId="172" fontId="0" fillId="0" borderId="0" xfId="0" applyNumberFormat="1" applyAlignment="1">
      <alignment horizontal="right"/>
    </xf>
    <xf numFmtId="172" fontId="0" fillId="0" borderId="10" xfId="0" applyNumberFormat="1" applyBorder="1" applyAlignment="1">
      <alignment horizontal="right"/>
    </xf>
    <xf numFmtId="172" fontId="0" fillId="9" borderId="0" xfId="0" applyNumberFormat="1" applyFill="1" applyAlignment="1">
      <alignment horizontal="right"/>
    </xf>
    <xf numFmtId="172" fontId="0" fillId="9" borderId="10" xfId="0" applyNumberFormat="1" applyFill="1" applyBorder="1" applyAlignment="1">
      <alignment horizontal="right"/>
    </xf>
    <xf numFmtId="172" fontId="0" fillId="4" borderId="0" xfId="0" applyNumberFormat="1" applyFill="1"/>
    <xf numFmtId="172" fontId="0" fillId="4" borderId="10" xfId="0" applyNumberFormat="1" applyFill="1" applyBorder="1"/>
    <xf numFmtId="172" fontId="0" fillId="0" borderId="0" xfId="0" applyNumberFormat="1"/>
    <xf numFmtId="172" fontId="0" fillId="0" borderId="10" xfId="0" applyNumberFormat="1" applyBorder="1"/>
    <xf numFmtId="172" fontId="0" fillId="15" borderId="0" xfId="0" applyNumberFormat="1" applyFill="1"/>
    <xf numFmtId="172" fontId="0" fillId="15" borderId="10" xfId="0" applyNumberFormat="1" applyFill="1" applyBorder="1"/>
    <xf numFmtId="172" fontId="1" fillId="4" borderId="0" xfId="0" applyNumberFormat="1" applyFont="1" applyFill="1"/>
    <xf numFmtId="172" fontId="1" fillId="4" borderId="10" xfId="0" applyNumberFormat="1" applyFont="1" applyFill="1" applyBorder="1"/>
    <xf numFmtId="172" fontId="0" fillId="4" borderId="0" xfId="0" applyNumberFormat="1" applyFill="1" applyAlignment="1">
      <alignment horizontal="right"/>
    </xf>
    <xf numFmtId="172" fontId="0" fillId="4" borderId="10" xfId="0" applyNumberFormat="1" applyFill="1" applyBorder="1" applyAlignment="1">
      <alignment horizontal="right"/>
    </xf>
    <xf numFmtId="172" fontId="0" fillId="8" borderId="0" xfId="0" applyNumberFormat="1" applyFill="1"/>
    <xf numFmtId="172" fontId="0" fillId="8" borderId="10" xfId="0" applyNumberFormat="1" applyFill="1" applyBorder="1"/>
    <xf numFmtId="172" fontId="0" fillId="0" borderId="6" xfId="0" applyNumberFormat="1" applyBorder="1"/>
    <xf numFmtId="172" fontId="0" fillId="0" borderId="11" xfId="0" applyNumberFormat="1" applyBorder="1"/>
    <xf numFmtId="170" fontId="0" fillId="18" borderId="0" xfId="0" applyNumberFormat="1" applyFill="1"/>
    <xf numFmtId="171" fontId="0" fillId="0" borderId="6" xfId="0" applyNumberFormat="1" applyBorder="1"/>
    <xf numFmtId="0" fontId="16" fillId="0" borderId="0" xfId="0" applyFont="1"/>
    <xf numFmtId="3" fontId="16" fillId="0" borderId="0" xfId="0" applyNumberFormat="1" applyFont="1"/>
    <xf numFmtId="10" fontId="1" fillId="4" borderId="0" xfId="0" applyNumberFormat="1" applyFont="1" applyFill="1" applyAlignment="1">
      <alignment horizontal="right"/>
    </xf>
    <xf numFmtId="10" fontId="1" fillId="5" borderId="7" xfId="0" applyNumberFormat="1" applyFont="1" applyFill="1" applyBorder="1"/>
    <xf numFmtId="0" fontId="5" fillId="15" borderId="14" xfId="0" applyFont="1" applyFill="1" applyBorder="1"/>
    <xf numFmtId="15" fontId="5" fillId="15" borderId="0" xfId="0" applyNumberFormat="1" applyFont="1" applyFill="1" applyAlignment="1">
      <alignment horizontal="right"/>
    </xf>
    <xf numFmtId="170" fontId="5" fillId="15" borderId="0" xfId="0" applyNumberFormat="1" applyFont="1" applyFill="1"/>
    <xf numFmtId="170" fontId="5" fillId="15" borderId="0" xfId="0" applyNumberFormat="1" applyFont="1" applyFill="1" applyAlignment="1">
      <alignment horizontal="right"/>
    </xf>
    <xf numFmtId="172" fontId="5" fillId="15" borderId="0" xfId="0" applyNumberFormat="1" applyFont="1" applyFill="1" applyAlignment="1">
      <alignment horizontal="right"/>
    </xf>
    <xf numFmtId="172" fontId="5" fillId="15" borderId="10" xfId="0" applyNumberFormat="1" applyFont="1" applyFill="1" applyBorder="1" applyAlignment="1">
      <alignment horizontal="right"/>
    </xf>
    <xf numFmtId="3" fontId="5" fillId="15" borderId="14" xfId="0" applyNumberFormat="1" applyFont="1" applyFill="1" applyBorder="1"/>
    <xf numFmtId="3" fontId="5" fillId="15" borderId="14" xfId="0" applyNumberFormat="1" applyFont="1" applyFill="1" applyBorder="1" applyAlignment="1">
      <alignment horizontal="right"/>
    </xf>
    <xf numFmtId="2" fontId="5" fillId="15" borderId="14" xfId="0" applyNumberFormat="1" applyFont="1" applyFill="1" applyBorder="1" applyAlignment="1">
      <alignment horizontal="right"/>
    </xf>
    <xf numFmtId="49" fontId="5" fillId="15" borderId="14" xfId="0" applyNumberFormat="1" applyFont="1" applyFill="1" applyBorder="1" applyAlignment="1">
      <alignment horizontal="left"/>
    </xf>
    <xf numFmtId="10" fontId="1" fillId="5" borderId="7" xfId="0" applyNumberFormat="1" applyFont="1" applyFill="1" applyBorder="1" applyAlignment="1">
      <alignment horizontal="right"/>
    </xf>
    <xf numFmtId="0" fontId="1" fillId="5" borderId="0" xfId="0" applyFont="1" applyFill="1" applyAlignment="1">
      <alignment horizontal="left"/>
    </xf>
    <xf numFmtId="170" fontId="1" fillId="5" borderId="0" xfId="0" applyNumberFormat="1" applyFont="1" applyFill="1"/>
    <xf numFmtId="0" fontId="17" fillId="0" borderId="14" xfId="1" applyFont="1" applyBorder="1"/>
    <xf numFmtId="0" fontId="5" fillId="9" borderId="4" xfId="0" applyFont="1" applyFill="1" applyBorder="1"/>
    <xf numFmtId="0" fontId="5" fillId="9" borderId="14" xfId="0" applyFont="1" applyFill="1" applyBorder="1"/>
    <xf numFmtId="0" fontId="5" fillId="9" borderId="4" xfId="1" applyFont="1" applyFill="1" applyBorder="1"/>
    <xf numFmtId="171" fontId="0" fillId="4" borderId="0" xfId="0" applyNumberFormat="1" applyFill="1"/>
    <xf numFmtId="171" fontId="0" fillId="18" borderId="0" xfId="0" applyNumberFormat="1" applyFill="1"/>
    <xf numFmtId="171" fontId="1" fillId="4" borderId="0" xfId="0" applyNumberFormat="1" applyFont="1" applyFill="1"/>
    <xf numFmtId="3" fontId="1" fillId="4" borderId="3" xfId="0" applyNumberFormat="1" applyFont="1" applyFill="1" applyBorder="1" applyAlignment="1">
      <alignment horizontal="right"/>
    </xf>
    <xf numFmtId="0" fontId="4" fillId="9" borderId="0" xfId="1" applyFill="1" applyBorder="1" applyAlignment="1">
      <alignment horizontal="left"/>
    </xf>
    <xf numFmtId="0" fontId="0" fillId="17" borderId="4" xfId="0" applyFill="1" applyBorder="1" applyAlignment="1">
      <alignment horizontal="left"/>
    </xf>
    <xf numFmtId="3" fontId="0" fillId="17" borderId="10" xfId="0" applyNumberFormat="1" applyFill="1" applyBorder="1"/>
    <xf numFmtId="2" fontId="0" fillId="17" borderId="0" xfId="0" applyNumberFormat="1" applyFill="1"/>
    <xf numFmtId="49" fontId="0" fillId="17" borderId="0" xfId="0" applyNumberFormat="1" applyFill="1"/>
    <xf numFmtId="0" fontId="0" fillId="17" borderId="4" xfId="0" applyFill="1" applyBorder="1"/>
    <xf numFmtId="3" fontId="0" fillId="0" borderId="3" xfId="0" applyNumberFormat="1" applyBorder="1"/>
    <xf numFmtId="3" fontId="0" fillId="0" borderId="3" xfId="0" applyNumberFormat="1" applyBorder="1" applyAlignment="1">
      <alignment horizontal="right"/>
    </xf>
    <xf numFmtId="3" fontId="0" fillId="0" borderId="9" xfId="0" applyNumberFormat="1" applyBorder="1" applyAlignment="1">
      <alignment horizontal="right"/>
    </xf>
    <xf numFmtId="0" fontId="4" fillId="9" borderId="4" xfId="1" applyFill="1" applyBorder="1" applyAlignment="1">
      <alignment horizontal="left"/>
    </xf>
    <xf numFmtId="170" fontId="0" fillId="17" borderId="0" xfId="0" applyNumberFormat="1" applyFill="1" applyAlignment="1">
      <alignment horizontal="right"/>
    </xf>
    <xf numFmtId="49" fontId="0" fillId="17" borderId="0" xfId="0" applyNumberFormat="1" applyFill="1" applyAlignment="1">
      <alignment horizontal="right"/>
    </xf>
    <xf numFmtId="170" fontId="0" fillId="17" borderId="0" xfId="0" applyNumberFormat="1" applyFill="1"/>
    <xf numFmtId="2" fontId="0" fillId="17" borderId="0" xfId="0" applyNumberFormat="1" applyFill="1" applyAlignment="1">
      <alignment horizontal="right"/>
    </xf>
    <xf numFmtId="3" fontId="0" fillId="4" borderId="4" xfId="0" applyNumberFormat="1" applyFill="1" applyBorder="1" applyAlignment="1">
      <alignment horizontal="right"/>
    </xf>
    <xf numFmtId="3" fontId="0" fillId="0" borderId="1" xfId="0" applyNumberFormat="1" applyBorder="1" applyAlignment="1">
      <alignment horizontal="right"/>
    </xf>
    <xf numFmtId="3" fontId="0" fillId="0" borderId="8" xfId="0" applyNumberFormat="1" applyBorder="1" applyAlignment="1">
      <alignment horizontal="right"/>
    </xf>
    <xf numFmtId="3" fontId="0" fillId="4" borderId="2" xfId="0" applyNumberFormat="1" applyFill="1" applyBorder="1" applyAlignment="1">
      <alignment horizontal="right"/>
    </xf>
    <xf numFmtId="3" fontId="0" fillId="0" borderId="5" xfId="0" applyNumberFormat="1" applyBorder="1" applyAlignment="1">
      <alignment horizontal="right"/>
    </xf>
    <xf numFmtId="3" fontId="0" fillId="9" borderId="4" xfId="0" applyNumberFormat="1" applyFill="1" applyBorder="1" applyAlignment="1">
      <alignment horizontal="right"/>
    </xf>
    <xf numFmtId="4" fontId="1" fillId="5" borderId="7" xfId="0" applyNumberFormat="1" applyFont="1" applyFill="1" applyBorder="1"/>
    <xf numFmtId="4" fontId="0" fillId="5" borderId="3" xfId="0" applyNumberFormat="1" applyFill="1" applyBorder="1"/>
    <xf numFmtId="4" fontId="1" fillId="5" borderId="7" xfId="0" applyNumberFormat="1" applyFont="1" applyFill="1" applyBorder="1" applyAlignment="1">
      <alignment horizontal="right"/>
    </xf>
    <xf numFmtId="164" fontId="1" fillId="5" borderId="5" xfId="0" applyNumberFormat="1" applyFont="1" applyFill="1" applyBorder="1"/>
    <xf numFmtId="0" fontId="1" fillId="5" borderId="6" xfId="0" applyFont="1" applyFill="1" applyBorder="1" applyAlignment="1">
      <alignment horizontal="right"/>
    </xf>
    <xf numFmtId="170" fontId="1" fillId="5" borderId="6" xfId="0" applyNumberFormat="1" applyFont="1" applyFill="1" applyBorder="1"/>
    <xf numFmtId="4" fontId="1" fillId="5" borderId="6" xfId="0" applyNumberFormat="1" applyFont="1" applyFill="1" applyBorder="1"/>
    <xf numFmtId="171" fontId="1" fillId="5" borderId="6" xfId="0" applyNumberFormat="1" applyFont="1" applyFill="1" applyBorder="1"/>
    <xf numFmtId="10" fontId="1" fillId="5" borderId="6" xfId="0" applyNumberFormat="1" applyFont="1" applyFill="1" applyBorder="1" applyAlignment="1">
      <alignment horizontal="right"/>
    </xf>
    <xf numFmtId="0" fontId="0" fillId="5" borderId="0" xfId="0" applyFill="1" applyAlignment="1">
      <alignment horizontal="left"/>
    </xf>
    <xf numFmtId="3" fontId="0" fillId="20" borderId="9" xfId="0" applyNumberFormat="1" applyFill="1" applyBorder="1"/>
    <xf numFmtId="10" fontId="1" fillId="5" borderId="6" xfId="0" applyNumberFormat="1" applyFont="1" applyFill="1" applyBorder="1"/>
    <xf numFmtId="10" fontId="0" fillId="5" borderId="3" xfId="0" applyNumberFormat="1" applyFill="1" applyBorder="1"/>
    <xf numFmtId="0" fontId="0" fillId="5" borderId="3" xfId="0" applyFill="1" applyBorder="1"/>
    <xf numFmtId="0" fontId="0" fillId="5" borderId="11" xfId="0"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en.wikipedia.org/wiki/Yemeni_Armed_Forces" TargetMode="External"/><Relationship Id="rId21" Type="http://schemas.openxmlformats.org/officeDocument/2006/relationships/hyperlink" Target="https://gulf2000.columbia.edu/images/maps/Syria_Group_Divisions_lg.png" TargetMode="External"/><Relationship Id="rId42" Type="http://schemas.openxmlformats.org/officeDocument/2006/relationships/hyperlink" Target="https://en.wikipedia.org/wiki/Republic_of_Korea_Armed_Forces" TargetMode="External"/><Relationship Id="rId47" Type="http://schemas.openxmlformats.org/officeDocument/2006/relationships/hyperlink" Target="https://en.wikipedia.org/wiki/Syrian_Air_Force" TargetMode="External"/><Relationship Id="rId63" Type="http://schemas.openxmlformats.org/officeDocument/2006/relationships/hyperlink" Target="https://en.wikipedia.org/wiki/Danish_Defence" TargetMode="External"/><Relationship Id="rId68" Type="http://schemas.openxmlformats.org/officeDocument/2006/relationships/hyperlink" Target="https://en.wikipedia.org/wiki/List_of_equipment_of_the_Romanian_Armed_Forces" TargetMode="External"/><Relationship Id="rId84" Type="http://schemas.openxmlformats.org/officeDocument/2006/relationships/hyperlink" Target="https://en.wikipedia.org/wiki/Serbia" TargetMode="External"/><Relationship Id="rId89" Type="http://schemas.openxmlformats.org/officeDocument/2006/relationships/hyperlink" Target="https://en.wikipedia.org/wiki/List_of_military_aid_to_Ukraine_during_the_Russo-Ukrainian_War" TargetMode="External"/><Relationship Id="rId16" Type="http://schemas.openxmlformats.org/officeDocument/2006/relationships/hyperlink" Target="https://en.wikipedia.org/wiki/Syrian_Navy" TargetMode="External"/><Relationship Id="rId107" Type="http://schemas.openxmlformats.org/officeDocument/2006/relationships/hyperlink" Target="https://en.wikipedia.org/wiki/Swedish_Air_Force" TargetMode="External"/><Relationship Id="rId11" Type="http://schemas.openxmlformats.org/officeDocument/2006/relationships/hyperlink" Target="https://en.wikipedia.org/wiki/Israeli_Air_Force" TargetMode="External"/><Relationship Id="rId32" Type="http://schemas.openxmlformats.org/officeDocument/2006/relationships/hyperlink" Target="https://en.wikipedia.org/wiki/Iraq" TargetMode="External"/><Relationship Id="rId37" Type="http://schemas.openxmlformats.org/officeDocument/2006/relationships/hyperlink" Target="https://en.wikipedia.org/wiki/Australian_Defence_Force" TargetMode="External"/><Relationship Id="rId53" Type="http://schemas.openxmlformats.org/officeDocument/2006/relationships/hyperlink" Target="https://en.wikipedia.org/wiki/List_of_ships_of_the_People%27s_Liberation_Army_Navy" TargetMode="External"/><Relationship Id="rId58" Type="http://schemas.openxmlformats.org/officeDocument/2006/relationships/hyperlink" Target="https://en.wikipedia.org/wiki/Moldova" TargetMode="External"/><Relationship Id="rId74" Type="http://schemas.openxmlformats.org/officeDocument/2006/relationships/hyperlink" Target="https://en.wikipedia.org/wiki/List_of_military_equipment_of_the_Czech_Army" TargetMode="External"/><Relationship Id="rId79" Type="http://schemas.openxmlformats.org/officeDocument/2006/relationships/hyperlink" Target="https://en.wikipedia.org/wiki/List_of_military_aid_to_Ukraine_during_the_Russo-Ukrainian_War" TargetMode="External"/><Relationship Id="rId102" Type="http://schemas.openxmlformats.org/officeDocument/2006/relationships/hyperlink" Target="https://en.wikipedia.org/wiki/Spanish_Air_and_Space_Force" TargetMode="External"/><Relationship Id="rId5" Type="http://schemas.openxmlformats.org/officeDocument/2006/relationships/hyperlink" Target="https://en.wikipedia.org/wiki/Syria" TargetMode="External"/><Relationship Id="rId90" Type="http://schemas.openxmlformats.org/officeDocument/2006/relationships/hyperlink" Target="https://en.wikipedia.org/wiki/List_of_military_aid_to_Ukraine_during_the_Russo-Ukrainian_War" TargetMode="External"/><Relationship Id="rId95" Type="http://schemas.openxmlformats.org/officeDocument/2006/relationships/hyperlink" Target="https://en.wikipedia.org/wiki/List_of_equipment_of_the_Royal_Netherlands_Army" TargetMode="External"/><Relationship Id="rId22" Type="http://schemas.openxmlformats.org/officeDocument/2006/relationships/hyperlink" Target="https://gulf2000.columbia.edu/maps.shtml" TargetMode="External"/><Relationship Id="rId27" Type="http://schemas.openxmlformats.org/officeDocument/2006/relationships/hyperlink" Target="https://en.wikipedia.org/wiki/Egyptian_Armed_Forces" TargetMode="External"/><Relationship Id="rId43" Type="http://schemas.openxmlformats.org/officeDocument/2006/relationships/hyperlink" Target="https://www.gao.gov/assets/gao-18-399.pdf" TargetMode="External"/><Relationship Id="rId48" Type="http://schemas.openxmlformats.org/officeDocument/2006/relationships/hyperlink" Target="https://en.wikipedia.org/wiki/Syrian_Armed_Forces" TargetMode="External"/><Relationship Id="rId64" Type="http://schemas.openxmlformats.org/officeDocument/2006/relationships/hyperlink" Target="https://en.wikipedia.org/wiki/Estonian_Air_Force" TargetMode="External"/><Relationship Id="rId69" Type="http://schemas.openxmlformats.org/officeDocument/2006/relationships/hyperlink" Target="https://en.wikipedia.org/wiki/Canadian_Armed_Forces" TargetMode="External"/><Relationship Id="rId80" Type="http://schemas.openxmlformats.org/officeDocument/2006/relationships/hyperlink" Target="https://en.wikipedia.org/wiki/List_of_military_aid_to_Ukraine_during_the_Russo-Ukrainian_War" TargetMode="External"/><Relationship Id="rId85" Type="http://schemas.openxmlformats.org/officeDocument/2006/relationships/hyperlink" Target="https://en.wikipedia.org/wiki/List_of_military_aid_to_Ukraine_during_the_Russo-Ukrainian_War" TargetMode="External"/><Relationship Id="rId12" Type="http://schemas.openxmlformats.org/officeDocument/2006/relationships/hyperlink" Target="https://en.wikipedia.org/wiki/List_of_equipment_of_the_Israel_Defense_Forces" TargetMode="External"/><Relationship Id="rId17" Type="http://schemas.openxmlformats.org/officeDocument/2006/relationships/hyperlink" Target="https://en.wikipedia.org/wiki/Australian_Defence_Force" TargetMode="External"/><Relationship Id="rId33" Type="http://schemas.openxmlformats.org/officeDocument/2006/relationships/hyperlink" Target="https://en.wikipedia.org/wiki/Republic_of_China_Armed_Forces" TargetMode="External"/><Relationship Id="rId38" Type="http://schemas.openxmlformats.org/officeDocument/2006/relationships/hyperlink" Target="https://en.wikipedia.org/wiki/Australian_Defence_Force" TargetMode="External"/><Relationship Id="rId59" Type="http://schemas.openxmlformats.org/officeDocument/2006/relationships/hyperlink" Target="https://en.wikipedia.org/wiki/British_Armed_Forces" TargetMode="External"/><Relationship Id="rId103" Type="http://schemas.openxmlformats.org/officeDocument/2006/relationships/hyperlink" Target="https://en.wikipedia.org/wiki/Portuguese_Air_Force" TargetMode="External"/><Relationship Id="rId108" Type="http://schemas.openxmlformats.org/officeDocument/2006/relationships/hyperlink" Target="https://en.wikipedia.org/wiki/Israeli_Air_Force" TargetMode="External"/><Relationship Id="rId20" Type="http://schemas.openxmlformats.org/officeDocument/2006/relationships/hyperlink" Target="https://en.wikipedia.org/wiki/Lebanon" TargetMode="External"/><Relationship Id="rId41" Type="http://schemas.openxmlformats.org/officeDocument/2006/relationships/hyperlink" Target="https://en.wikipedia.org/wiki/Korean_People%27s_Army" TargetMode="External"/><Relationship Id="rId54" Type="http://schemas.openxmlformats.org/officeDocument/2006/relationships/hyperlink" Target="https://kyivindependent.com/does-belarus-military-have-the-capacity-to-attack-ukraine/" TargetMode="External"/><Relationship Id="rId62" Type="http://schemas.openxmlformats.org/officeDocument/2006/relationships/hyperlink" Target="https://en.wikipedia.org/wiki/List_of_equipment_of_the_Finnish_Army" TargetMode="External"/><Relationship Id="rId70" Type="http://schemas.openxmlformats.org/officeDocument/2006/relationships/hyperlink" Target="https://en.wikipedia.org/wiki/Bulgaria" TargetMode="External"/><Relationship Id="rId75" Type="http://schemas.openxmlformats.org/officeDocument/2006/relationships/hyperlink" Target="https://en.wikipedia.org/wiki/Defence_Forces_of_Georgia" TargetMode="External"/><Relationship Id="rId83" Type="http://schemas.openxmlformats.org/officeDocument/2006/relationships/hyperlink" Target="https://carnegieendowment.org/russia-eurasia/politika/2023/09/russias-2024-budget-shows-its-planning-for-a-long-war-in-ukraine?lang=en" TargetMode="External"/><Relationship Id="rId88" Type="http://schemas.openxmlformats.org/officeDocument/2006/relationships/hyperlink" Target="https://en.wikipedia.org/wiki/Serbian_Armed_Forces" TargetMode="External"/><Relationship Id="rId91" Type="http://schemas.openxmlformats.org/officeDocument/2006/relationships/hyperlink" Target="https://en.wikipedia.org/wiki/Luxembourg_Armed_Forces" TargetMode="External"/><Relationship Id="rId96" Type="http://schemas.openxmlformats.org/officeDocument/2006/relationships/hyperlink" Target="https://en.wikipedia.org/wiki/Belgian_Air_Component" TargetMode="External"/><Relationship Id="rId1" Type="http://schemas.openxmlformats.org/officeDocument/2006/relationships/hyperlink" Target="https://en.wikipedia.org/wiki/Lebanon" TargetMode="External"/><Relationship Id="rId6" Type="http://schemas.openxmlformats.org/officeDocument/2006/relationships/hyperlink" Target="https://www.cfr.org/backgrounder/what-hezbollah" TargetMode="External"/><Relationship Id="rId15" Type="http://schemas.openxmlformats.org/officeDocument/2006/relationships/hyperlink" Target="https://en.wikipedia.org/wiki/Syrian_Armed_Forces" TargetMode="External"/><Relationship Id="rId23" Type="http://schemas.openxmlformats.org/officeDocument/2006/relationships/hyperlink" Target="https://gulf2000.columbia.edu/images/maps/Lebanon_Ethnic_summary_lg.png" TargetMode="External"/><Relationship Id="rId28" Type="http://schemas.openxmlformats.org/officeDocument/2006/relationships/hyperlink" Target="https://en.wikipedia.org/wiki/Jordanian_Armed_Forces" TargetMode="External"/><Relationship Id="rId36" Type="http://schemas.openxmlformats.org/officeDocument/2006/relationships/hyperlink" Target="https://en.wikipedia.org/wiki/Japan_Self-Defense_Forces" TargetMode="External"/><Relationship Id="rId49" Type="http://schemas.openxmlformats.org/officeDocument/2006/relationships/hyperlink" Target="https://en.wikipedia.org/wiki/Syrian_Air_Force" TargetMode="External"/><Relationship Id="rId57" Type="http://schemas.openxmlformats.org/officeDocument/2006/relationships/hyperlink" Target="https://en.wikipedia.org/wiki/Israel_Defense_Forces" TargetMode="External"/><Relationship Id="rId106" Type="http://schemas.openxmlformats.org/officeDocument/2006/relationships/hyperlink" Target="https://en.wikipedia.org/wiki/Turkish_Armed_Forces" TargetMode="External"/><Relationship Id="rId10" Type="http://schemas.openxmlformats.org/officeDocument/2006/relationships/hyperlink" Target="https://en.wikipedia.org/wiki/Beirut" TargetMode="External"/><Relationship Id="rId31" Type="http://schemas.openxmlformats.org/officeDocument/2006/relationships/hyperlink" Target="https://en.wikipedia.org/wiki/Iraqi_Armed_Forces" TargetMode="External"/><Relationship Id="rId44" Type="http://schemas.openxmlformats.org/officeDocument/2006/relationships/hyperlink" Target="https://en.wikipedia.org/wiki/Israeli_Air_Force" TargetMode="External"/><Relationship Id="rId52" Type="http://schemas.openxmlformats.org/officeDocument/2006/relationships/hyperlink" Target="https://en.wikipedia.org/wiki/Korean_People%27s_Army_Air_Force" TargetMode="External"/><Relationship Id="rId60" Type="http://schemas.openxmlformats.org/officeDocument/2006/relationships/hyperlink" Target="https://en.wikipedia.org/wiki/Spanish_Armed_Forces" TargetMode="External"/><Relationship Id="rId65" Type="http://schemas.openxmlformats.org/officeDocument/2006/relationships/hyperlink" Target="https://en.wikipedia.org/wiki/List_of_equipment_of_the_Estonian_Defence_Forces" TargetMode="External"/><Relationship Id="rId73" Type="http://schemas.openxmlformats.org/officeDocument/2006/relationships/hyperlink" Target="https://en.wikipedia.org/wiki/List_of_equipment_of_the_Hungarian_Ground_Forces" TargetMode="External"/><Relationship Id="rId78" Type="http://schemas.openxmlformats.org/officeDocument/2006/relationships/hyperlink" Target="https://en.wikipedia.org/wiki/Polish_Air_Force" TargetMode="External"/><Relationship Id="rId81" Type="http://schemas.openxmlformats.org/officeDocument/2006/relationships/hyperlink" Target="https://en.wikipedia.org/wiki/List_of_military_aid_to_Ukraine_during_the_Russo-Ukrainian_War" TargetMode="External"/><Relationship Id="rId86" Type="http://schemas.openxmlformats.org/officeDocument/2006/relationships/hyperlink" Target="https://en.wikipedia.org/wiki/Hellenic_Armed_Forces" TargetMode="External"/><Relationship Id="rId94" Type="http://schemas.openxmlformats.org/officeDocument/2006/relationships/hyperlink" Target="https://en.wikipedia.org/wiki/List_of_equipment_of_the_Albanian_Armed_Forces" TargetMode="External"/><Relationship Id="rId99" Type="http://schemas.openxmlformats.org/officeDocument/2006/relationships/hyperlink" Target="https://en.wikipedia.org/wiki/List_of_equipment_of_the_French_Army" TargetMode="External"/><Relationship Id="rId101" Type="http://schemas.openxmlformats.org/officeDocument/2006/relationships/hyperlink" Target="https://en.wikipedia.org/wiki/French_Armed_Forces" TargetMode="External"/><Relationship Id="rId4" Type="http://schemas.openxmlformats.org/officeDocument/2006/relationships/hyperlink" Target="https://en.wikipedia.org/wiki/Lebanon" TargetMode="External"/><Relationship Id="rId9" Type="http://schemas.openxmlformats.org/officeDocument/2006/relationships/hyperlink" Target="https://en.wikipedia.org/wiki/Beirut" TargetMode="External"/><Relationship Id="rId13" Type="http://schemas.openxmlformats.org/officeDocument/2006/relationships/hyperlink" Target="https://en.wikipedia.org/wiki/List_of_equipment_of_the_Israel_Defense_Forces" TargetMode="External"/><Relationship Id="rId18" Type="http://schemas.openxmlformats.org/officeDocument/2006/relationships/hyperlink" Target="https://en.wikipedia.org/wiki/Yemeni_Armed_Forces" TargetMode="External"/><Relationship Id="rId39" Type="http://schemas.openxmlformats.org/officeDocument/2006/relationships/hyperlink" Target="https://en.wikipedia.org/wiki/Australia" TargetMode="External"/><Relationship Id="rId34" Type="http://schemas.openxmlformats.org/officeDocument/2006/relationships/hyperlink" Target="https://en.wikipedia.org/wiki/People%27s_Liberation_Army" TargetMode="External"/><Relationship Id="rId50" Type="http://schemas.openxmlformats.org/officeDocument/2006/relationships/hyperlink" Target="https://en.wikipedia.org/wiki/Syrian_Air_Force" TargetMode="External"/><Relationship Id="rId55" Type="http://schemas.openxmlformats.org/officeDocument/2006/relationships/hyperlink" Target="https://en.wikipedia.org/wiki/List_of_equipment_of_the_Armed_Forces_of_Belarus" TargetMode="External"/><Relationship Id="rId76" Type="http://schemas.openxmlformats.org/officeDocument/2006/relationships/hyperlink" Target="https://en.wikipedia.org/wiki/List_of_equipment_of_the_Austrian_Armed_Forces" TargetMode="External"/><Relationship Id="rId97" Type="http://schemas.openxmlformats.org/officeDocument/2006/relationships/hyperlink" Target="https://en.wikipedia.org/wiki/Belgian_Navy" TargetMode="External"/><Relationship Id="rId104" Type="http://schemas.openxmlformats.org/officeDocument/2006/relationships/hyperlink" Target="https://en.wikipedia.org/wiki/List_of_equipment_of_the_Philippine_Air_Force" TargetMode="External"/><Relationship Id="rId7" Type="http://schemas.openxmlformats.org/officeDocument/2006/relationships/hyperlink" Target="https://en.wikipedia.org/wiki/Israel_Defense_Forces" TargetMode="External"/><Relationship Id="rId71" Type="http://schemas.openxmlformats.org/officeDocument/2006/relationships/hyperlink" Target="https://en.wikipedia.org/wiki/Hungary" TargetMode="External"/><Relationship Id="rId92" Type="http://schemas.openxmlformats.org/officeDocument/2006/relationships/hyperlink" Target="https://en.wikipedia.org/wiki/List_of_active_United_Kingdom_military_aircraft" TargetMode="External"/><Relationship Id="rId2" Type="http://schemas.openxmlformats.org/officeDocument/2006/relationships/hyperlink" Target="https://en.wikipedia.org/wiki/Lebanon" TargetMode="External"/><Relationship Id="rId29" Type="http://schemas.openxmlformats.org/officeDocument/2006/relationships/hyperlink" Target="https://en.wikipedia.org/wiki/Jordanian_Armed_Forces" TargetMode="External"/><Relationship Id="rId24" Type="http://schemas.openxmlformats.org/officeDocument/2006/relationships/hyperlink" Target="https://en.wikipedia.org/wiki/Islamic_Republic_of_Iran_Armed_Forces" TargetMode="External"/><Relationship Id="rId40" Type="http://schemas.openxmlformats.org/officeDocument/2006/relationships/hyperlink" Target="https://en.wikipedia.org/wiki/Armed_Forces_of_the_Philippines" TargetMode="External"/><Relationship Id="rId45" Type="http://schemas.openxmlformats.org/officeDocument/2006/relationships/hyperlink" Target="https://en.wikipedia.org/wiki/List_of_aircraft_of_the_Iranian_Air_Force" TargetMode="External"/><Relationship Id="rId66" Type="http://schemas.openxmlformats.org/officeDocument/2006/relationships/hyperlink" Target="https://en.wikipedia.org/wiki/List_of_equipment_of_the_Lithuanian_Armed_Forces" TargetMode="External"/><Relationship Id="rId87" Type="http://schemas.openxmlformats.org/officeDocument/2006/relationships/hyperlink" Target="https://en.wikipedia.org/wiki/List_of_active_Russian_military_aircraft" TargetMode="External"/><Relationship Id="rId61" Type="http://schemas.openxmlformats.org/officeDocument/2006/relationships/hyperlink" Target="https://en.wikipedia.org/wiki/Italian_Armed_Forces" TargetMode="External"/><Relationship Id="rId82" Type="http://schemas.openxmlformats.org/officeDocument/2006/relationships/hyperlink" Target="https://en.wikipedia.org/wiki/Russian_Armed_Forces" TargetMode="External"/><Relationship Id="rId19" Type="http://schemas.openxmlformats.org/officeDocument/2006/relationships/hyperlink" Target="https://en.wikipedia.org/wiki/Lebanon" TargetMode="External"/><Relationship Id="rId14" Type="http://schemas.openxmlformats.org/officeDocument/2006/relationships/hyperlink" Target="https://en.wikipedia.org/wiki/Syria" TargetMode="External"/><Relationship Id="rId30" Type="http://schemas.openxmlformats.org/officeDocument/2006/relationships/hyperlink" Target="https://en.wikipedia.org/wiki/Jordanian_Armed_Forces" TargetMode="External"/><Relationship Id="rId35" Type="http://schemas.openxmlformats.org/officeDocument/2006/relationships/hyperlink" Target="https://en.wikipedia.org/wiki/United_States_Armed_Forces" TargetMode="External"/><Relationship Id="rId56" Type="http://schemas.openxmlformats.org/officeDocument/2006/relationships/hyperlink" Target="https://en.wikipedia.org/wiki/Armed_Forces_of_Belarus" TargetMode="External"/><Relationship Id="rId77" Type="http://schemas.openxmlformats.org/officeDocument/2006/relationships/hyperlink" Target="https://en.wikipedia.org/wiki/List_of_equipment_of_the_Swiss_Army" TargetMode="External"/><Relationship Id="rId100" Type="http://schemas.openxmlformats.org/officeDocument/2006/relationships/hyperlink" Target="https://en.wikipedia.org/wiki/List_of_active_military_aircraft_of_the_French_Armed_Forces" TargetMode="External"/><Relationship Id="rId105" Type="http://schemas.openxmlformats.org/officeDocument/2006/relationships/hyperlink" Target="https://en.wikipedia.org/wiki/List_of_equipment_of_the_Australian_Army" TargetMode="External"/><Relationship Id="rId8" Type="http://schemas.openxmlformats.org/officeDocument/2006/relationships/hyperlink" Target="https://en.wikipedia.org/wiki/Lebanon" TargetMode="External"/><Relationship Id="rId51" Type="http://schemas.openxmlformats.org/officeDocument/2006/relationships/hyperlink" Target="https://en.wikipedia.org/wiki/Republic_of_China_Air_Force" TargetMode="External"/><Relationship Id="rId72" Type="http://schemas.openxmlformats.org/officeDocument/2006/relationships/hyperlink" Target="https://en.wikipedia.org/wiki/Hungarian_Air_Force" TargetMode="External"/><Relationship Id="rId93" Type="http://schemas.openxmlformats.org/officeDocument/2006/relationships/hyperlink" Target="https://en.wikipedia.org/wiki/List_of_Albanian_Air_Force_aircraft" TargetMode="External"/><Relationship Id="rId98" Type="http://schemas.openxmlformats.org/officeDocument/2006/relationships/hyperlink" Target="https://en.wikipedia.org/wiki/List_of_active_military_aircraft_of_the_French_Armed_Forces" TargetMode="External"/><Relationship Id="rId3" Type="http://schemas.openxmlformats.org/officeDocument/2006/relationships/hyperlink" Target="https://en.wikipedia.org/wiki/Syria" TargetMode="External"/><Relationship Id="rId25" Type="http://schemas.openxmlformats.org/officeDocument/2006/relationships/hyperlink" Target="https://en.wikipedia.org/wiki/Yemeni_Armed_Forces" TargetMode="External"/><Relationship Id="rId46" Type="http://schemas.openxmlformats.org/officeDocument/2006/relationships/hyperlink" Target="https://en.wikipedia.org/wiki/Syrian_Air_Force" TargetMode="External"/><Relationship Id="rId67" Type="http://schemas.openxmlformats.org/officeDocument/2006/relationships/hyperlink" Target="https://en.wikipedia.org/wiki/Lithuanian_Naval_Force" TargetMode="External"/></Relationships>
</file>

<file path=xl/worksheets/_rels/sheet10.xml.rels><?xml version="1.0" encoding="UTF-8" standalone="yes"?>
<Relationships xmlns="http://schemas.openxmlformats.org/package/2006/relationships"><Relationship Id="rId26" Type="http://schemas.openxmlformats.org/officeDocument/2006/relationships/hyperlink" Target="https://www.statista.com/chart/14636/defense-expenditures-of-nato-countries/" TargetMode="External"/><Relationship Id="rId21" Type="http://schemas.openxmlformats.org/officeDocument/2006/relationships/hyperlink" Target="https://tradingeconomics.com/ukraine/military-expenditure" TargetMode="External"/><Relationship Id="rId34" Type="http://schemas.openxmlformats.org/officeDocument/2006/relationships/hyperlink" Target="https://www.wilsoncenter.org/blog-post/russias-unprecedented-war-budget-explained" TargetMode="External"/><Relationship Id="rId42" Type="http://schemas.openxmlformats.org/officeDocument/2006/relationships/hyperlink" Target="https://en.wikipedia.org/wiki/List_of_countries_with_highest_military_expenditures" TargetMode="External"/><Relationship Id="rId47" Type="http://schemas.openxmlformats.org/officeDocument/2006/relationships/hyperlink" Target="https://tradingeconomics.com/iran/population" TargetMode="External"/><Relationship Id="rId50" Type="http://schemas.openxmlformats.org/officeDocument/2006/relationships/hyperlink" Target="https://tradingeconomics.com/china/population" TargetMode="External"/><Relationship Id="rId55" Type="http://schemas.openxmlformats.org/officeDocument/2006/relationships/hyperlink" Target="https://tradingeconomics.com/pakistan/population" TargetMode="External"/><Relationship Id="rId63" Type="http://schemas.openxmlformats.org/officeDocument/2006/relationships/hyperlink" Target="https://tradingeconomics.com/poland/exports-of-goods-and-services-percent-of-gdp-wb-data.html" TargetMode="External"/><Relationship Id="rId68" Type="http://schemas.openxmlformats.org/officeDocument/2006/relationships/printerSettings" Target="../printerSettings/printerSettings5.bin"/><Relationship Id="rId7" Type="http://schemas.openxmlformats.org/officeDocument/2006/relationships/hyperlink" Target="https://tradingeconomics.com/united-kingdom/gdp" TargetMode="External"/><Relationship Id="rId2" Type="http://schemas.openxmlformats.org/officeDocument/2006/relationships/hyperlink" Target="https://www.ifw-kiel.de/topics/war-against-ukraine/ukraine-support-tracker/" TargetMode="External"/><Relationship Id="rId16" Type="http://schemas.openxmlformats.org/officeDocument/2006/relationships/hyperlink" Target="https://tradingeconomics.com/finland/gdp" TargetMode="External"/><Relationship Id="rId29" Type="http://schemas.openxmlformats.org/officeDocument/2006/relationships/hyperlink" Target="https://tradingeconomics.com/ukraine/military-expenditure-percent-of-gdp-wb-data.html" TargetMode="External"/><Relationship Id="rId11" Type="http://schemas.openxmlformats.org/officeDocument/2006/relationships/hyperlink" Target="https://tradingeconomics.com/poland/gdp" TargetMode="External"/><Relationship Id="rId24" Type="http://schemas.openxmlformats.org/officeDocument/2006/relationships/hyperlink" Target="https://en.wikipedia.org/wiki/Economy_of_the_European_Union" TargetMode="External"/><Relationship Id="rId32" Type="http://schemas.openxmlformats.org/officeDocument/2006/relationships/hyperlink" Target="https://tradingeconomics.com/united-kingdom/military-expenditure-percent-of-gdp-wb-data.html" TargetMode="External"/><Relationship Id="rId37" Type="http://schemas.openxmlformats.org/officeDocument/2006/relationships/hyperlink" Target="https://tradingeconomics.com/china/gdp" TargetMode="External"/><Relationship Id="rId40" Type="http://schemas.openxmlformats.org/officeDocument/2006/relationships/hyperlink" Target="https://www.ifw-kiel.de/topics/war-against-ukraine/ukraine-support-tracker/" TargetMode="External"/><Relationship Id="rId45" Type="http://schemas.openxmlformats.org/officeDocument/2006/relationships/hyperlink" Target="https://tradingeconomics.com/india/population" TargetMode="External"/><Relationship Id="rId53" Type="http://schemas.openxmlformats.org/officeDocument/2006/relationships/hyperlink" Target="https://tradingeconomics.com/turkey/gdp" TargetMode="External"/><Relationship Id="rId58" Type="http://schemas.openxmlformats.org/officeDocument/2006/relationships/hyperlink" Target="https://tradingeconomics.com/turkey/military-expenditure-percent-of-gdp-wb-data.html" TargetMode="External"/><Relationship Id="rId66" Type="http://schemas.openxmlformats.org/officeDocument/2006/relationships/hyperlink" Target="https://en.wikipedia.org/wiki/Bundeswehr" TargetMode="External"/><Relationship Id="rId5" Type="http://schemas.openxmlformats.org/officeDocument/2006/relationships/hyperlink" Target="https://tradingeconomics.com/united-states/gdp" TargetMode="External"/><Relationship Id="rId61" Type="http://schemas.openxmlformats.org/officeDocument/2006/relationships/hyperlink" Target="https://tradingeconomics.com/euro-area/exports-of-goods-and-services-percent-of-gdp-wb-data.html" TargetMode="External"/><Relationship Id="rId19" Type="http://schemas.openxmlformats.org/officeDocument/2006/relationships/hyperlink" Target="https://www.ifw-kiel.de/topics/war-against-ukraine/ukraine-support-tracker/" TargetMode="External"/><Relationship Id="rId14" Type="http://schemas.openxmlformats.org/officeDocument/2006/relationships/hyperlink" Target="https://tradingeconomics.com/switzerland/gdp" TargetMode="External"/><Relationship Id="rId22" Type="http://schemas.openxmlformats.org/officeDocument/2006/relationships/hyperlink" Target="https://tradingeconomics.com/russia/gdp" TargetMode="External"/><Relationship Id="rId27" Type="http://schemas.openxmlformats.org/officeDocument/2006/relationships/hyperlink" Target="https://tradingeconomics.com/sweden/military-expenditure-percent-of-gdp-wb-data.html" TargetMode="External"/><Relationship Id="rId30" Type="http://schemas.openxmlformats.org/officeDocument/2006/relationships/hyperlink" Target="https://tradingeconomics.com/ukraine/military-expenditure-percent-of-gdp-wb-data.html" TargetMode="External"/><Relationship Id="rId35" Type="http://schemas.openxmlformats.org/officeDocument/2006/relationships/hyperlink" Target="https://www.wilsoncenter.org/blog-post/russias-unprecedented-war-budget-explained" TargetMode="External"/><Relationship Id="rId43" Type="http://schemas.openxmlformats.org/officeDocument/2006/relationships/hyperlink" Target="https://tradingeconomics.com/turkey/military-expenditure-percent-of-gdp-wb-data.html" TargetMode="External"/><Relationship Id="rId48" Type="http://schemas.openxmlformats.org/officeDocument/2006/relationships/hyperlink" Target="https://en.wikipedia.org/wiki/North_Korea" TargetMode="External"/><Relationship Id="rId56" Type="http://schemas.openxmlformats.org/officeDocument/2006/relationships/hyperlink" Target="https://tradingeconomics.com/south-korea/population" TargetMode="External"/><Relationship Id="rId64" Type="http://schemas.openxmlformats.org/officeDocument/2006/relationships/hyperlink" Target="https://en.wikipedia.org/wiki/Polish_Armed_Forces" TargetMode="External"/><Relationship Id="rId8" Type="http://schemas.openxmlformats.org/officeDocument/2006/relationships/hyperlink" Target="https://tradingeconomics.com/norway/gdp" TargetMode="External"/><Relationship Id="rId51" Type="http://schemas.openxmlformats.org/officeDocument/2006/relationships/hyperlink" Target="https://tradingeconomics.com/taiwan/gdp" TargetMode="External"/><Relationship Id="rId3" Type="http://schemas.openxmlformats.org/officeDocument/2006/relationships/hyperlink" Target="https://www.ifw-kiel.de/topics/war-against-ukraine/ukraine-support-tracker/" TargetMode="External"/><Relationship Id="rId12" Type="http://schemas.openxmlformats.org/officeDocument/2006/relationships/hyperlink" Target="https://tradingeconomics.com/netherlands/gdp" TargetMode="External"/><Relationship Id="rId17" Type="http://schemas.openxmlformats.org/officeDocument/2006/relationships/hyperlink" Target="https://tradingeconomics.com/czech-republic/gdp" TargetMode="External"/><Relationship Id="rId25" Type="http://schemas.openxmlformats.org/officeDocument/2006/relationships/hyperlink" Target="https://www.statista.com/chart/14636/defense-expenditures-of-nato-countries/" TargetMode="External"/><Relationship Id="rId33" Type="http://schemas.openxmlformats.org/officeDocument/2006/relationships/hyperlink" Target="https://tradingeconomics.com/united-kingdom/military-expenditure-percent-of-gdp-wb-data.html" TargetMode="External"/><Relationship Id="rId38" Type="http://schemas.openxmlformats.org/officeDocument/2006/relationships/hyperlink" Target="https://www.ifw-kiel.de/topics/war-against-ukraine/ukraine-support-tracker/" TargetMode="External"/><Relationship Id="rId46" Type="http://schemas.openxmlformats.org/officeDocument/2006/relationships/hyperlink" Target="https://tradingeconomics.com/india/gdp" TargetMode="External"/><Relationship Id="rId59" Type="http://schemas.openxmlformats.org/officeDocument/2006/relationships/hyperlink" Target="https://knoema.com/atlas/Taiwan-Province-of-China/Military-expenditure-as-a-share-of-GDP" TargetMode="External"/><Relationship Id="rId67" Type="http://schemas.openxmlformats.org/officeDocument/2006/relationships/hyperlink" Target="https://tradingeconomics.com/russia/military-expenditure-percent-of-gdp-wb-data.html" TargetMode="External"/><Relationship Id="rId20" Type="http://schemas.openxmlformats.org/officeDocument/2006/relationships/hyperlink" Target="https://www.ifw-kiel.de/topics/war-against-ukraine/ukraine-support-tracker/" TargetMode="External"/><Relationship Id="rId41" Type="http://schemas.openxmlformats.org/officeDocument/2006/relationships/hyperlink" Target="https://tradingeconomics.com/france/population" TargetMode="External"/><Relationship Id="rId54" Type="http://schemas.openxmlformats.org/officeDocument/2006/relationships/hyperlink" Target="https://tradingeconomics.com/israel/population" TargetMode="External"/><Relationship Id="rId62" Type="http://schemas.openxmlformats.org/officeDocument/2006/relationships/hyperlink" Target="https://tradingeconomics.com/china/exports-of-goods-and-services-percent-of-gdp-wb-data.html" TargetMode="External"/><Relationship Id="rId1" Type="http://schemas.openxmlformats.org/officeDocument/2006/relationships/hyperlink" Target="https://www.ifw-kiel.de/topics/war-against-ukraine/ukraine-support-tracker/" TargetMode="External"/><Relationship Id="rId6" Type="http://schemas.openxmlformats.org/officeDocument/2006/relationships/hyperlink" Target="https://tradingeconomics.com/germany/gdp" TargetMode="External"/><Relationship Id="rId15" Type="http://schemas.openxmlformats.org/officeDocument/2006/relationships/hyperlink" Target="https://tradingeconomics.com/france/gdp" TargetMode="External"/><Relationship Id="rId23" Type="http://schemas.openxmlformats.org/officeDocument/2006/relationships/hyperlink" Target="https://tradingeconomics.com/ukraine/gdp" TargetMode="External"/><Relationship Id="rId28" Type="http://schemas.openxmlformats.org/officeDocument/2006/relationships/hyperlink" Target="https://tradingeconomics.com/sweden/military-expenditure-percent-of-gdp-wb-data.html" TargetMode="External"/><Relationship Id="rId36" Type="http://schemas.openxmlformats.org/officeDocument/2006/relationships/hyperlink" Target="https://tradingeconomics.com/czech-republic/military-expenditure-percent-of-gdp-wb-data.html" TargetMode="External"/><Relationship Id="rId49" Type="http://schemas.openxmlformats.org/officeDocument/2006/relationships/hyperlink" Target="https://tradingeconomics.com/taiwan/population" TargetMode="External"/><Relationship Id="rId57" Type="http://schemas.openxmlformats.org/officeDocument/2006/relationships/hyperlink" Target="https://tradingeconomics.com/south-korea/gdp" TargetMode="External"/><Relationship Id="rId10" Type="http://schemas.openxmlformats.org/officeDocument/2006/relationships/hyperlink" Target="https://tradingeconomics.com/canada/gdp" TargetMode="External"/><Relationship Id="rId31" Type="http://schemas.openxmlformats.org/officeDocument/2006/relationships/hyperlink" Target="https://www.reuters.com/world/europe/ukraine-approves-increase-2023-defence-spending-2023-10-06/" TargetMode="External"/><Relationship Id="rId44" Type="http://schemas.openxmlformats.org/officeDocument/2006/relationships/hyperlink" Target="https://tradingeconomics.com/united-states/military-expenditure-percent-of-gdp-wb-data.html" TargetMode="External"/><Relationship Id="rId52" Type="http://schemas.openxmlformats.org/officeDocument/2006/relationships/hyperlink" Target="https://tradingeconomics.com/turkey/population" TargetMode="External"/><Relationship Id="rId60" Type="http://schemas.openxmlformats.org/officeDocument/2006/relationships/hyperlink" Target="https://tradingeconomics.com/united-states/exports-of-goods-and-services-percent-of-gdp-wb-data.html" TargetMode="External"/><Relationship Id="rId65" Type="http://schemas.openxmlformats.org/officeDocument/2006/relationships/hyperlink" Target="https://en.wikipedia.org/wiki/Islamic_Republic_of_Iran_Armed_Forces" TargetMode="External"/><Relationship Id="rId4" Type="http://schemas.openxmlformats.org/officeDocument/2006/relationships/hyperlink" Target="https://www.xe.com/currencyconverter/convert/?Amount=1&amp;From=USD&amp;To=EUR" TargetMode="External"/><Relationship Id="rId9" Type="http://schemas.openxmlformats.org/officeDocument/2006/relationships/hyperlink" Target="https://tradingeconomics.com/japan/gdp" TargetMode="External"/><Relationship Id="rId13" Type="http://schemas.openxmlformats.org/officeDocument/2006/relationships/hyperlink" Target="https://tradingeconomics.com/sweden/gdp" TargetMode="External"/><Relationship Id="rId18" Type="http://schemas.openxmlformats.org/officeDocument/2006/relationships/hyperlink" Target="https://tradingeconomics.com/italy/gdp" TargetMode="External"/><Relationship Id="rId39" Type="http://schemas.openxmlformats.org/officeDocument/2006/relationships/hyperlink" Target="https://tradingeconomics.com/denmark/gdp"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en.wikipedia.org/wiki/Northrop_B-2_Spirit" TargetMode="External"/><Relationship Id="rId299" Type="http://schemas.openxmlformats.org/officeDocument/2006/relationships/hyperlink" Target="https://www.youtube.com/watch?v=3f17uaCaaPA" TargetMode="External"/><Relationship Id="rId21" Type="http://schemas.openxmlformats.org/officeDocument/2006/relationships/hyperlink" Target="https://en.wikipedia.org/wiki/Panzerhaubitze_2000" TargetMode="External"/><Relationship Id="rId63" Type="http://schemas.openxmlformats.org/officeDocument/2006/relationships/hyperlink" Target="https://en.wikipedia.org/wiki/Joint_Direct_Attack_Munition" TargetMode="External"/><Relationship Id="rId159" Type="http://schemas.openxmlformats.org/officeDocument/2006/relationships/hyperlink" Target="https://en.m.wikipedia.org/wiki/Rapid_Dragon_(missile_system)" TargetMode="External"/><Relationship Id="rId324" Type="http://schemas.openxmlformats.org/officeDocument/2006/relationships/hyperlink" Target="https://en.wikipedia.org/wiki/IAI_Heron" TargetMode="External"/><Relationship Id="rId366" Type="http://schemas.openxmlformats.org/officeDocument/2006/relationships/hyperlink" Target="https://en.wikipedia.org/wiki/EXTRA_artillery_rocket_system" TargetMode="External"/><Relationship Id="rId170" Type="http://schemas.openxmlformats.org/officeDocument/2006/relationships/hyperlink" Target="https://en.wikipedia.org/wiki/Gryazev-Shipunov_GSh-30-1" TargetMode="External"/><Relationship Id="rId226" Type="http://schemas.openxmlformats.org/officeDocument/2006/relationships/hyperlink" Target="https://en.wikipedia.org/wiki/Baba_Yaga_(aircraft)" TargetMode="External"/><Relationship Id="rId268" Type="http://schemas.openxmlformats.org/officeDocument/2006/relationships/hyperlink" Target="https://en.wikipedia.org/wiki/AGM-179_JAGM" TargetMode="External"/><Relationship Id="rId32" Type="http://schemas.openxmlformats.org/officeDocument/2006/relationships/hyperlink" Target="https://en.wikipedia.org/wiki/HESA_Shahed_136" TargetMode="External"/><Relationship Id="rId74" Type="http://schemas.openxmlformats.org/officeDocument/2006/relationships/hyperlink" Target="https://en.wikipedia.org/wiki/AGM-65_Maverick" TargetMode="External"/><Relationship Id="rId128" Type="http://schemas.openxmlformats.org/officeDocument/2006/relationships/hyperlink" Target="https://en.wikipedia.org/wiki/Boeing_E-7_Wedgetail" TargetMode="External"/><Relationship Id="rId335" Type="http://schemas.openxmlformats.org/officeDocument/2006/relationships/hyperlink" Target="https://youtu.be/ES8-oRbZQfA?si=fEyOV6hhq1OLTpVN&amp;t=147" TargetMode="External"/><Relationship Id="rId377" Type="http://schemas.openxmlformats.org/officeDocument/2006/relationships/hyperlink" Target="https://en.wikipedia.org/wiki/ROCKS_(missile)" TargetMode="External"/><Relationship Id="rId5" Type="http://schemas.openxmlformats.org/officeDocument/2006/relationships/hyperlink" Target="https://en.wikipedia.org/wiki/M15_mine" TargetMode="External"/><Relationship Id="rId181" Type="http://schemas.openxmlformats.org/officeDocument/2006/relationships/hyperlink" Target="https://en.wikipedia.org/wiki/AGM-179_JAGM" TargetMode="External"/><Relationship Id="rId237" Type="http://schemas.openxmlformats.org/officeDocument/2006/relationships/hyperlink" Target="https://en.wikipedia.org/wiki/2S22_Bohdana" TargetMode="External"/><Relationship Id="rId402" Type="http://schemas.openxmlformats.org/officeDocument/2006/relationships/hyperlink" Target="https://en.wikipedia.org/wiki/List_of_active_Russian_military_aircraft" TargetMode="External"/><Relationship Id="rId279" Type="http://schemas.openxmlformats.org/officeDocument/2006/relationships/hyperlink" Target="https://thediplomat.com/2019/06/japan-takes-delivery-of-first-e-2d-advanced-hawkeye-aircraft/" TargetMode="External"/><Relationship Id="rId43" Type="http://schemas.openxmlformats.org/officeDocument/2006/relationships/hyperlink" Target="https://en.wikipedia.org/wiki/Sukhoi_Su-34" TargetMode="External"/><Relationship Id="rId139" Type="http://schemas.openxmlformats.org/officeDocument/2006/relationships/hyperlink" Target="https://en.wikipedia.org/wiki/Harpoon_(missile)" TargetMode="External"/><Relationship Id="rId290" Type="http://schemas.openxmlformats.org/officeDocument/2006/relationships/hyperlink" Target="https://www.bbc.com/news/articles/cz5drkr8l1ko" TargetMode="External"/><Relationship Id="rId304" Type="http://schemas.openxmlformats.org/officeDocument/2006/relationships/hyperlink" Target="https://en.wikipedia.org/wiki/AIM-260_JATM" TargetMode="External"/><Relationship Id="rId346" Type="http://schemas.openxmlformats.org/officeDocument/2006/relationships/hyperlink" Target="https://militarymachine.com/boeing-e-3-sentry/" TargetMode="External"/><Relationship Id="rId388" Type="http://schemas.openxmlformats.org/officeDocument/2006/relationships/hyperlink" Target="https://news.usni.org/2024/01/18/army-activates-latest-land-based-sm-6-tomahawk-battery-based-on-navy-tech" TargetMode="External"/><Relationship Id="rId85" Type="http://schemas.openxmlformats.org/officeDocument/2006/relationships/hyperlink" Target="https://en.wikipedia.org/wiki/M142_HIMARS" TargetMode="External"/><Relationship Id="rId150" Type="http://schemas.openxmlformats.org/officeDocument/2006/relationships/hyperlink" Target="https://en.wikipedia.org/wiki/P-800_Oniks" TargetMode="External"/><Relationship Id="rId192" Type="http://schemas.openxmlformats.org/officeDocument/2006/relationships/hyperlink" Target="https://en.wikipedia.org/wiki/Skyshield" TargetMode="External"/><Relationship Id="rId206" Type="http://schemas.openxmlformats.org/officeDocument/2006/relationships/hyperlink" Target="https://www.dday-overlord.com/en/material/artillery/m2-60mm-mortar" TargetMode="External"/><Relationship Id="rId248" Type="http://schemas.openxmlformats.org/officeDocument/2006/relationships/hyperlink" Target="https://en.wikipedia.org/wiki/MS400_turbofan_engine" TargetMode="External"/><Relationship Id="rId12" Type="http://schemas.openxmlformats.org/officeDocument/2006/relationships/hyperlink" Target="https://www.pmulcahy.com/ammunition/mortar_rounds.html" TargetMode="External"/><Relationship Id="rId108" Type="http://schemas.openxmlformats.org/officeDocument/2006/relationships/hyperlink" Target="https://en.wikipedia.org/wiki/Lockheed_Martin_F-35_Lightning_II" TargetMode="External"/><Relationship Id="rId315" Type="http://schemas.openxmlformats.org/officeDocument/2006/relationships/hyperlink" Target="https://youtu.be/qdKlPDfrxMo?si=1MIJIseWPLqzWK8A&amp;t=74" TargetMode="External"/><Relationship Id="rId357" Type="http://schemas.openxmlformats.org/officeDocument/2006/relationships/hyperlink" Target="https://en.wikipedia.org/wiki/AN/APG-83" TargetMode="External"/><Relationship Id="rId54" Type="http://schemas.openxmlformats.org/officeDocument/2006/relationships/hyperlink" Target="https://en.wikipedia.org/wiki/Northrop_B-2_Spirit" TargetMode="External"/><Relationship Id="rId96" Type="http://schemas.openxmlformats.org/officeDocument/2006/relationships/hyperlink" Target="https://en.wikipedia.org/wiki/M61_Vulcan" TargetMode="External"/><Relationship Id="rId161" Type="http://schemas.openxmlformats.org/officeDocument/2006/relationships/hyperlink" Target="https://x.com/HMexperienceDK/status/1828426791733592153" TargetMode="External"/><Relationship Id="rId217" Type="http://schemas.openxmlformats.org/officeDocument/2006/relationships/hyperlink" Target="https://www.iwavecomms.com/80km-long-range-drone-hdmi-and-sdi-video-transmitter-and-serial-data-downlink-product/" TargetMode="External"/><Relationship Id="rId399" Type="http://schemas.openxmlformats.org/officeDocument/2006/relationships/hyperlink" Target="https://www.colorado.edu/asmagazine/2023/10/13/israels-iron-dome-air-defense-system-works-well-heres-how-hamas-got-around-it" TargetMode="External"/><Relationship Id="rId259" Type="http://schemas.openxmlformats.org/officeDocument/2006/relationships/hyperlink" Target="https://en.wikipedia.org/wiki/Williams_F107" TargetMode="External"/><Relationship Id="rId23" Type="http://schemas.openxmlformats.org/officeDocument/2006/relationships/hyperlink" Target="https://en.wikipedia.org/wiki/Panzerhaubitze_2000" TargetMode="External"/><Relationship Id="rId119" Type="http://schemas.openxmlformats.org/officeDocument/2006/relationships/hyperlink" Target="https://en.wikipedia.org/wiki/Kh-69" TargetMode="External"/><Relationship Id="rId270" Type="http://schemas.openxmlformats.org/officeDocument/2006/relationships/hyperlink" Target="https://en.wikipedia.org/wiki/Williams_F107" TargetMode="External"/><Relationship Id="rId326" Type="http://schemas.openxmlformats.org/officeDocument/2006/relationships/hyperlink" Target="https://en.wikipedia.org/wiki/IAI_Eitan" TargetMode="External"/><Relationship Id="rId65" Type="http://schemas.openxmlformats.org/officeDocument/2006/relationships/hyperlink" Target="https://en.wikipedia.org/wiki/Sukhoi_Su-35" TargetMode="External"/><Relationship Id="rId130" Type="http://schemas.openxmlformats.org/officeDocument/2006/relationships/hyperlink" Target="https://en.wikipedia.org/wiki/Kamov_Ka-50" TargetMode="External"/><Relationship Id="rId368" Type="http://schemas.openxmlformats.org/officeDocument/2006/relationships/hyperlink" Target="https://thebulletin.org/2021/11/the-untold-story-of-the-worlds-biggest-nuclear-bomb/" TargetMode="External"/><Relationship Id="rId172" Type="http://schemas.openxmlformats.org/officeDocument/2006/relationships/hyperlink" Target="https://en.wikipedia.org/wiki/AGM-88_HARM" TargetMode="External"/><Relationship Id="rId228" Type="http://schemas.openxmlformats.org/officeDocument/2006/relationships/hyperlink" Target="https://en.wikipedia.org/wiki/Sypaq_Corvo_Precision_Payload_Delivery_System" TargetMode="External"/><Relationship Id="rId281" Type="http://schemas.openxmlformats.org/officeDocument/2006/relationships/hyperlink" Target="https://en.wikipedia.org/wiki/Grumman_E-2_Hawkeye" TargetMode="External"/><Relationship Id="rId337" Type="http://schemas.openxmlformats.org/officeDocument/2006/relationships/hyperlink" Target="https://youtu.be/JXz85MNVQ6o?si=OmC_2kVFx2yITqim&amp;t=153" TargetMode="External"/><Relationship Id="rId34" Type="http://schemas.openxmlformats.org/officeDocument/2006/relationships/hyperlink" Target="https://en.wikipedia.org/wiki/Tomahawk_(missile)" TargetMode="External"/><Relationship Id="rId76" Type="http://schemas.openxmlformats.org/officeDocument/2006/relationships/hyperlink" Target="https://en.wikipedia.org/wiki/AIM-9_Sidewinder" TargetMode="External"/><Relationship Id="rId141" Type="http://schemas.openxmlformats.org/officeDocument/2006/relationships/hyperlink" Target="https://en.wikipedia.org/wiki/MAGURA_V5" TargetMode="External"/><Relationship Id="rId379" Type="http://schemas.openxmlformats.org/officeDocument/2006/relationships/hyperlink" Target="https://breakingdefense.com/2023/06/rafael-announces-new-6th-gen-air-to-air-missile-sky-spear/" TargetMode="External"/><Relationship Id="rId7" Type="http://schemas.openxmlformats.org/officeDocument/2006/relationships/hyperlink" Target="https://en.defence-ua.com/analysis/how_much_155mm_ammunition_costs_now_an_example_of_the_rheinmetall_contract_for_10000_shells-5178.html" TargetMode="External"/><Relationship Id="rId183" Type="http://schemas.openxmlformats.org/officeDocument/2006/relationships/hyperlink" Target="https://en.wikipedia.org/wiki/NASAMS" TargetMode="External"/><Relationship Id="rId239" Type="http://schemas.openxmlformats.org/officeDocument/2006/relationships/hyperlink" Target="https://www.airforce-technology.com/projects/heron-uav/?cf-view" TargetMode="External"/><Relationship Id="rId390" Type="http://schemas.openxmlformats.org/officeDocument/2006/relationships/hyperlink" Target="https://en.wikipedia.org/wiki/David%27s_Sling" TargetMode="External"/><Relationship Id="rId404" Type="http://schemas.openxmlformats.org/officeDocument/2006/relationships/hyperlink" Target="https://breakingdefense.com/2023/09/raytheon-to-max-out-amraam-production-for-foreseeable-future-exec-says/" TargetMode="External"/><Relationship Id="rId250" Type="http://schemas.openxmlformats.org/officeDocument/2006/relationships/hyperlink" Target="https://www.youtube.com/watch?v=DZ5xoJfqXA4&amp;t=46s" TargetMode="External"/><Relationship Id="rId292" Type="http://schemas.openxmlformats.org/officeDocument/2006/relationships/hyperlink" Target="https://en.wikipedia.org/wiki/AIM-120_AMRAAM" TargetMode="External"/><Relationship Id="rId306" Type="http://schemas.openxmlformats.org/officeDocument/2006/relationships/hyperlink" Target="https://www.naval-technology.com/projects/standard-missile-6/" TargetMode="External"/><Relationship Id="rId45" Type="http://schemas.openxmlformats.org/officeDocument/2006/relationships/hyperlink" Target="https://en.wikipedia.org/wiki/Lockheed_Martin_F-35_Lightning_II" TargetMode="External"/><Relationship Id="rId87" Type="http://schemas.openxmlformats.org/officeDocument/2006/relationships/hyperlink" Target="https://en.wikipedia.org/wiki/General_Dynamics_F-16_Fighting_Falcon_variants" TargetMode="External"/><Relationship Id="rId110" Type="http://schemas.openxmlformats.org/officeDocument/2006/relationships/hyperlink" Target="https://en.wikipedia.org/wiki/Sukhoi_Su-35" TargetMode="External"/><Relationship Id="rId348" Type="http://schemas.openxmlformats.org/officeDocument/2006/relationships/hyperlink" Target="https://youtu.be/FEjhC-ejrEg?si=zMAqjH-z7qbJ4emo&amp;t=247" TargetMode="External"/><Relationship Id="rId152" Type="http://schemas.openxmlformats.org/officeDocument/2006/relationships/hyperlink" Target="https://en.wikipedia.org/wiki/Kalibr_(missile_family)" TargetMode="External"/><Relationship Id="rId194" Type="http://schemas.openxmlformats.org/officeDocument/2006/relationships/hyperlink" Target="https://en.wikipedia.org/wiki/M107_projectile" TargetMode="External"/><Relationship Id="rId208" Type="http://schemas.openxmlformats.org/officeDocument/2006/relationships/hyperlink" Target="https://en.wikipedia.org/wiki/Ground_Launched_Small_Diameter_Bomb" TargetMode="External"/><Relationship Id="rId261" Type="http://schemas.openxmlformats.org/officeDocument/2006/relationships/hyperlink" Target="https://en.wikipedia.org/wiki/AGM-158C_LRASM" TargetMode="External"/><Relationship Id="rId14" Type="http://schemas.openxmlformats.org/officeDocument/2006/relationships/hyperlink" Target="https://en.wikipedia.org/wiki/M982_Excalibur" TargetMode="External"/><Relationship Id="rId56" Type="http://schemas.openxmlformats.org/officeDocument/2006/relationships/hyperlink" Target="https://www.youtube.com/watch?v=1DXpPmpmcak" TargetMode="External"/><Relationship Id="rId317" Type="http://schemas.openxmlformats.org/officeDocument/2006/relationships/hyperlink" Target="https://youtu.be/sXrgfoSlUhI?si=LR1_TXgI0n8n54C1&amp;t=242" TargetMode="External"/><Relationship Id="rId359" Type="http://schemas.openxmlformats.org/officeDocument/2006/relationships/hyperlink" Target="https://youtu.be/asW47GIXEC4?si=qh2ANdxUExYNRpE9&amp;t=154" TargetMode="External"/><Relationship Id="rId98" Type="http://schemas.openxmlformats.org/officeDocument/2006/relationships/hyperlink" Target="https://en.wikipedia.org/wiki/CAESAR_self-propelled_howitzer" TargetMode="External"/><Relationship Id="rId121" Type="http://schemas.openxmlformats.org/officeDocument/2006/relationships/hyperlink" Target="https://en.wikipedia.org/wiki/Kh-35" TargetMode="External"/><Relationship Id="rId163" Type="http://schemas.openxmlformats.org/officeDocument/2006/relationships/hyperlink" Target="https://www.gd-ots.com/armaments/aircraft-guns-gun-systems/f-16/" TargetMode="External"/><Relationship Id="rId219" Type="http://schemas.openxmlformats.org/officeDocument/2006/relationships/hyperlink" Target="https://en.wikipedia.org/wiki/RPG-7" TargetMode="External"/><Relationship Id="rId370" Type="http://schemas.openxmlformats.org/officeDocument/2006/relationships/hyperlink" Target="https://en.wikipedia.org/wiki/Rampage_(missile)" TargetMode="External"/><Relationship Id="rId230" Type="http://schemas.openxmlformats.org/officeDocument/2006/relationships/hyperlink" Target="https://en.wikipedia.org/wiki/Bober_(drone)" TargetMode="External"/><Relationship Id="rId25" Type="http://schemas.openxmlformats.org/officeDocument/2006/relationships/hyperlink" Target="https://en.wikipedia.org/wiki/CAESAR_self-propelled_howitzer" TargetMode="External"/><Relationship Id="rId67" Type="http://schemas.openxmlformats.org/officeDocument/2006/relationships/hyperlink" Target="https://www.ukrainianworldcongress.org/belarus-partisans-blow-up-russias-330-million-beriev-a-50-aircraft/" TargetMode="External"/><Relationship Id="rId272" Type="http://schemas.openxmlformats.org/officeDocument/2006/relationships/hyperlink" Target="https://en.wikipedia.org/wiki/Virginia-class_submarine" TargetMode="External"/><Relationship Id="rId328" Type="http://schemas.openxmlformats.org/officeDocument/2006/relationships/hyperlink" Target="https://youtu.be/SGlkJERPmwo?si=7SghDfn3CNaaNeSE&amp;t=52" TargetMode="External"/><Relationship Id="rId132" Type="http://schemas.openxmlformats.org/officeDocument/2006/relationships/hyperlink" Target="https://en.wikipedia.org/wiki/LMUR" TargetMode="External"/><Relationship Id="rId174" Type="http://schemas.openxmlformats.org/officeDocument/2006/relationships/hyperlink" Target="https://en.wikipedia.org/wiki/Joint_Direct_Attack_Munition" TargetMode="External"/><Relationship Id="rId381" Type="http://schemas.openxmlformats.org/officeDocument/2006/relationships/hyperlink" Target="https://www.eurasiareview.com/14062024-lora-quasi-ballistic-missile-adding-more-teeth-to-israeli-aerial-arsenal-analysis/" TargetMode="External"/><Relationship Id="rId241" Type="http://schemas.openxmlformats.org/officeDocument/2006/relationships/hyperlink" Target="https://en.wikipedia.org/wiki/General_Atomics_MQ-1_Predator" TargetMode="External"/><Relationship Id="rId36" Type="http://schemas.openxmlformats.org/officeDocument/2006/relationships/hyperlink" Target="https://en.defence-ua.com/news/liutyi_uav_is_responsible_for_attacks_on_taganrog_russians_assume_drone_with_1000_km_range_finally_in_action-9779.html" TargetMode="External"/><Relationship Id="rId283" Type="http://schemas.openxmlformats.org/officeDocument/2006/relationships/hyperlink" Target="https://youtu.be/pdv5PeqtWfY?si=FZmitvImqwcq2MBX&amp;t=450" TargetMode="External"/><Relationship Id="rId339" Type="http://schemas.openxmlformats.org/officeDocument/2006/relationships/hyperlink" Target="https://en.wikipedia.org/wiki/RIM-161_Standard_Missile_3" TargetMode="External"/><Relationship Id="rId78" Type="http://schemas.openxmlformats.org/officeDocument/2006/relationships/hyperlink" Target="https://en.wikipedia.org/wiki/M61_Vulcan" TargetMode="External"/><Relationship Id="rId101" Type="http://schemas.openxmlformats.org/officeDocument/2006/relationships/hyperlink" Target="https://en.wikipedia.org/wiki/Mikoyan_MiG-29" TargetMode="External"/><Relationship Id="rId143" Type="http://schemas.openxmlformats.org/officeDocument/2006/relationships/hyperlink" Target="https://en.wikipedia.org/wiki/HESA_Shahed_136" TargetMode="External"/><Relationship Id="rId185" Type="http://schemas.openxmlformats.org/officeDocument/2006/relationships/hyperlink" Target="https://en.wikipedia.org/wiki/NASAMS" TargetMode="External"/><Relationship Id="rId350" Type="http://schemas.openxmlformats.org/officeDocument/2006/relationships/hyperlink" Target="https://en.wikipedia.org/wiki/Buk_missile_system" TargetMode="External"/><Relationship Id="rId406" Type="http://schemas.openxmlformats.org/officeDocument/2006/relationships/hyperlink" Target="https://en.wikipedia.org/wiki/Meteor_(missile)" TargetMode="External"/><Relationship Id="rId9" Type="http://schemas.openxmlformats.org/officeDocument/2006/relationships/hyperlink" Target="https://en.wikipedia.org/wiki/M15_mine" TargetMode="External"/><Relationship Id="rId210" Type="http://schemas.openxmlformats.org/officeDocument/2006/relationships/hyperlink" Target="https://en.wikipedia.org/wiki/RPG-7" TargetMode="External"/><Relationship Id="rId392" Type="http://schemas.openxmlformats.org/officeDocument/2006/relationships/hyperlink" Target="https://www.navalnews.com/naval-news/2024/04/south-korea-approves-procurement-of-sm-3-for-ballistic-missile-defense/" TargetMode="External"/><Relationship Id="rId252" Type="http://schemas.openxmlformats.org/officeDocument/2006/relationships/hyperlink" Target="https://www.youtube.com/watch?v=ycP05g-clX8&amp;list=FLZCT9hB-Visphsp0Ne3D-xA" TargetMode="External"/><Relationship Id="rId294" Type="http://schemas.openxmlformats.org/officeDocument/2006/relationships/hyperlink" Target="https://en.wikipedia.org/wiki/MS400_turbofan_engine" TargetMode="External"/><Relationship Id="rId308" Type="http://schemas.openxmlformats.org/officeDocument/2006/relationships/hyperlink" Target="https://en.wikipedia.org/wiki/Iron_Dome%20each%20battery%20cover%20a%20circle%20area%20of%20150km2.%20Ask%20chat%20GPT%20what%20is%20the%20radius%20of%20circle%20with%20150%20km2%20area%20.You%20get%207km%20which%20is%20correct.%20That%20means%20range%20is%20about%2010km" TargetMode="External"/><Relationship Id="rId47" Type="http://schemas.openxmlformats.org/officeDocument/2006/relationships/hyperlink" Target="https://en.wikipedia.org/wiki/Lockheed_Martin_F-35_Lightning_II" TargetMode="External"/><Relationship Id="rId89" Type="http://schemas.openxmlformats.org/officeDocument/2006/relationships/hyperlink" Target="https://en.wikipedia.org/wiki/Lockheed_Martin_F-35_Lightning_II" TargetMode="External"/><Relationship Id="rId112" Type="http://schemas.openxmlformats.org/officeDocument/2006/relationships/hyperlink" Target="https://en.wikipedia.org/wiki/Krasukha" TargetMode="External"/><Relationship Id="rId154" Type="http://schemas.openxmlformats.org/officeDocument/2006/relationships/hyperlink" Target="https://en.wikipedia.org/wiki/S-200_missile_system" TargetMode="External"/><Relationship Id="rId361" Type="http://schemas.openxmlformats.org/officeDocument/2006/relationships/hyperlink" Target="https://en.wikipedia.org/wiki/M142_HIMARS" TargetMode="External"/><Relationship Id="rId196" Type="http://schemas.openxmlformats.org/officeDocument/2006/relationships/hyperlink" Target="https://en.wikipedia.org/wiki/Base_bleed" TargetMode="External"/><Relationship Id="rId16" Type="http://schemas.openxmlformats.org/officeDocument/2006/relationships/hyperlink" Target="https://en.wikipedia.org/wiki/Archer_Artillery_System" TargetMode="External"/><Relationship Id="rId221" Type="http://schemas.openxmlformats.org/officeDocument/2006/relationships/hyperlink" Target="https://www.nextbigfuture.com/2024/01/ukraines-one-million-fpv-drones-will-be-outnumbered-by-5-million-russian-drones.html" TargetMode="External"/><Relationship Id="rId263" Type="http://schemas.openxmlformats.org/officeDocument/2006/relationships/hyperlink" Target="https://en.wikipedia.org/wiki/9K720_Iskander" TargetMode="External"/><Relationship Id="rId319" Type="http://schemas.openxmlformats.org/officeDocument/2006/relationships/hyperlink" Target="https://youtu.be/sXrgfoSlUhI?si=m6I-WCgpSQpEzxHw&amp;t=384" TargetMode="External"/><Relationship Id="rId58" Type="http://schemas.openxmlformats.org/officeDocument/2006/relationships/hyperlink" Target="https://www.msn.com/en-us/news/world/german-skynex-air-defense-systems-start-protecting-ukrainian-skies/ar-AA1ofiEM?ocid=BingNewsSerp" TargetMode="External"/><Relationship Id="rId123" Type="http://schemas.openxmlformats.org/officeDocument/2006/relationships/hyperlink" Target="https://en.wikipedia.org/wiki/Boeing_C-17_Globemaster_III" TargetMode="External"/><Relationship Id="rId330" Type="http://schemas.openxmlformats.org/officeDocument/2006/relationships/hyperlink" Target="https://en.wikipedia.org/wiki/S-400_missile_system" TargetMode="External"/><Relationship Id="rId165" Type="http://schemas.openxmlformats.org/officeDocument/2006/relationships/hyperlink" Target="https://en.wikipedia.org/wiki/Skif_(anti-tank_guided_missile)" TargetMode="External"/><Relationship Id="rId372" Type="http://schemas.openxmlformats.org/officeDocument/2006/relationships/hyperlink" Target="https://en.wikipedia.org/wiki/Rampage_(missile)" TargetMode="External"/><Relationship Id="rId232" Type="http://schemas.openxmlformats.org/officeDocument/2006/relationships/hyperlink" Target="https://www.nationaldefensemagazine.org/articles/2023/5/22/us-made--counter-drone-trucks-head-for-ukraine" TargetMode="External"/><Relationship Id="rId274" Type="http://schemas.openxmlformats.org/officeDocument/2006/relationships/hyperlink" Target="https://en.wikipedia.org/wiki/RIM-174_Standard_ERAM" TargetMode="External"/><Relationship Id="rId27" Type="http://schemas.openxmlformats.org/officeDocument/2006/relationships/hyperlink" Target="https://weaponsystems.net/system/171-60mm%2BM224" TargetMode="External"/><Relationship Id="rId48" Type="http://schemas.openxmlformats.org/officeDocument/2006/relationships/hyperlink" Target="https://www.nextbigfuture.com/2024/01/ukraines-one-million-fpv-drones-will-be-outnumbered-by-5-million-russian-drones.html" TargetMode="External"/><Relationship Id="rId69" Type="http://schemas.openxmlformats.org/officeDocument/2006/relationships/hyperlink" Target="https://en.wikipedia.org/wiki/List_of_active_Russian_military_aircraft" TargetMode="External"/><Relationship Id="rId113" Type="http://schemas.openxmlformats.org/officeDocument/2006/relationships/hyperlink" Target="https://en.wikipedia.org/wiki/Storm_Shadow" TargetMode="External"/><Relationship Id="rId134" Type="http://schemas.openxmlformats.org/officeDocument/2006/relationships/hyperlink" Target="https://en.wikipedia.org/wiki/Mil_Mi-26" TargetMode="External"/><Relationship Id="rId320" Type="http://schemas.openxmlformats.org/officeDocument/2006/relationships/hyperlink" Target="https://en.wikipedia.org/wiki/RIM-161_Standard_Missile_3" TargetMode="External"/><Relationship Id="rId80" Type="http://schemas.openxmlformats.org/officeDocument/2006/relationships/hyperlink" Target="https://en.wikipedia.org/wiki/CAESAR_self-propelled_howitzer" TargetMode="External"/><Relationship Id="rId155" Type="http://schemas.openxmlformats.org/officeDocument/2006/relationships/hyperlink" Target="https://en.wikipedia.org/wiki/S-400_missile_system" TargetMode="External"/><Relationship Id="rId176" Type="http://schemas.openxmlformats.org/officeDocument/2006/relationships/hyperlink" Target="https://en.wikipedia.org/wiki/Joint_Strike_Missile" TargetMode="External"/><Relationship Id="rId197" Type="http://schemas.openxmlformats.org/officeDocument/2006/relationships/hyperlink" Target="https://en.wikipedia.org/wiki/155_mm_caliber" TargetMode="External"/><Relationship Id="rId341" Type="http://schemas.openxmlformats.org/officeDocument/2006/relationships/hyperlink" Target="https://missilethreat.csis.org/defsys/arrow-2/" TargetMode="External"/><Relationship Id="rId362" Type="http://schemas.openxmlformats.org/officeDocument/2006/relationships/hyperlink" Target="https://en.wikipedia.org/wiki/M142_HIMARS" TargetMode="External"/><Relationship Id="rId383" Type="http://schemas.openxmlformats.org/officeDocument/2006/relationships/hyperlink" Target="https://youtu.be/VE5ZU429c4A?si=iWBWfPsG5wD1hPgR&amp;t=319" TargetMode="External"/><Relationship Id="rId201" Type="http://schemas.openxmlformats.org/officeDocument/2006/relationships/hyperlink" Target="https://man.fas.org/dod-101/sys/land/m933.htm" TargetMode="External"/><Relationship Id="rId222" Type="http://schemas.openxmlformats.org/officeDocument/2006/relationships/hyperlink" Target="https://www.reuters.com/graphics/UKRAINE-CRISIS/DRONES/dwpkeyjwkpm/" TargetMode="External"/><Relationship Id="rId243" Type="http://schemas.openxmlformats.org/officeDocument/2006/relationships/hyperlink" Target="https://en.wikipedia.org/wiki/Bober_(drone)" TargetMode="External"/><Relationship Id="rId264" Type="http://schemas.openxmlformats.org/officeDocument/2006/relationships/hyperlink" Target="https://en.wikipedia.org/wiki/Typhon_missile_launcher" TargetMode="External"/><Relationship Id="rId285" Type="http://schemas.openxmlformats.org/officeDocument/2006/relationships/hyperlink" Target="https://en.wikipedia.org/wiki/Communication_with_submarines" TargetMode="External"/><Relationship Id="rId17" Type="http://schemas.openxmlformats.org/officeDocument/2006/relationships/hyperlink" Target="https://en.wikipedia.org/wiki/CAESAR_self-propelled_howitzer" TargetMode="External"/><Relationship Id="rId38" Type="http://schemas.openxmlformats.org/officeDocument/2006/relationships/hyperlink" Target="https://en.wikipedia.org/wiki/General_Dynamics_F-16_Fighting_Falcon_variants" TargetMode="External"/><Relationship Id="rId59" Type="http://schemas.openxmlformats.org/officeDocument/2006/relationships/hyperlink" Target="https://en.wikipedia.org/wiki/Oerlikon_GDF" TargetMode="External"/><Relationship Id="rId103" Type="http://schemas.openxmlformats.org/officeDocument/2006/relationships/hyperlink" Target="https://en.wikipedia.org/wiki/M142_HIMARS" TargetMode="External"/><Relationship Id="rId124" Type="http://schemas.openxmlformats.org/officeDocument/2006/relationships/hyperlink" Target="https://en.wikipedia.org/wiki/Lockheed_C-130_Hercules" TargetMode="External"/><Relationship Id="rId310" Type="http://schemas.openxmlformats.org/officeDocument/2006/relationships/hyperlink" Target="https://en.wikipedia.org/wiki/Arrow_(missile_family)" TargetMode="External"/><Relationship Id="rId70" Type="http://schemas.openxmlformats.org/officeDocument/2006/relationships/hyperlink" Target="https://en.wikipedia.org/wiki/Krasukha" TargetMode="External"/><Relationship Id="rId91" Type="http://schemas.openxmlformats.org/officeDocument/2006/relationships/hyperlink" Target="https://en.wikipedia.org/wiki/Sukhoi_Su-35" TargetMode="External"/><Relationship Id="rId145" Type="http://schemas.openxmlformats.org/officeDocument/2006/relationships/hyperlink" Target="https://www.reuters.com/world/europe/inside-ukraines-scramble-game-changer-drone-fleet-2023-03-24/" TargetMode="External"/><Relationship Id="rId166" Type="http://schemas.openxmlformats.org/officeDocument/2006/relationships/hyperlink" Target="https://en.wikipedia.org/wiki/M15_mine" TargetMode="External"/><Relationship Id="rId187" Type="http://schemas.openxmlformats.org/officeDocument/2006/relationships/hyperlink" Target="https://en.wikipedia.org/wiki/IRIS-T" TargetMode="External"/><Relationship Id="rId331" Type="http://schemas.openxmlformats.org/officeDocument/2006/relationships/hyperlink" Target="https://en.wikipedia.org/wiki/S-400_missile_system%20missile%20cost%20is%20my%20guess" TargetMode="External"/><Relationship Id="rId352" Type="http://schemas.openxmlformats.org/officeDocument/2006/relationships/hyperlink" Target="https://en.wikipedia.org/wiki/AIM-7_Sparrow" TargetMode="External"/><Relationship Id="rId373" Type="http://schemas.openxmlformats.org/officeDocument/2006/relationships/hyperlink" Target="https://en.wikipedia.org/wiki/Rampage_(missile)" TargetMode="External"/><Relationship Id="rId394" Type="http://schemas.openxmlformats.org/officeDocument/2006/relationships/hyperlink" Target="https://en.wikipedia.org/wiki/AGM-158C_LRASM" TargetMode="External"/><Relationship Id="rId408" Type="http://schemas.openxmlformats.org/officeDocument/2006/relationships/hyperlink" Target="https://theaviationist.com/2021/10/01/australia-cleared-to-buy-one-ea-18g/" TargetMode="External"/><Relationship Id="rId1" Type="http://schemas.openxmlformats.org/officeDocument/2006/relationships/hyperlink" Target="https://en.wikipedia.org/wiki/Harpoon_(missile)" TargetMode="External"/><Relationship Id="rId212" Type="http://schemas.openxmlformats.org/officeDocument/2006/relationships/hyperlink" Target="https://en.wikipedia.org/wiki/Skif_(anti-tank_guided_missile)" TargetMode="External"/><Relationship Id="rId233" Type="http://schemas.openxmlformats.org/officeDocument/2006/relationships/hyperlink" Target="https://www.nationaldefensemagazine.org/articles/2023/5/22/us-made--counter-drone-trucks-head-for-ukraine" TargetMode="External"/><Relationship Id="rId254" Type="http://schemas.openxmlformats.org/officeDocument/2006/relationships/hyperlink" Target="https://en.wikipedia.org/wiki/MS400_turbofan_engine" TargetMode="External"/><Relationship Id="rId28" Type="http://schemas.openxmlformats.org/officeDocument/2006/relationships/hyperlink" Target="https://en.wikipedia.org/wiki/Mikoyan_MiG-29" TargetMode="External"/><Relationship Id="rId49" Type="http://schemas.openxmlformats.org/officeDocument/2006/relationships/hyperlink" Target="https://en.wikipedia.org/wiki/LMUR" TargetMode="External"/><Relationship Id="rId114" Type="http://schemas.openxmlformats.org/officeDocument/2006/relationships/hyperlink" Target="https://en.wikipedia.org/wiki/Taurus_KEPD_350" TargetMode="External"/><Relationship Id="rId275" Type="http://schemas.openxmlformats.org/officeDocument/2006/relationships/hyperlink" Target="https://www.airandspaceforces.com/usaf-to-start-buying-extreme-range-jassms-in-2021/" TargetMode="External"/><Relationship Id="rId296" Type="http://schemas.openxmlformats.org/officeDocument/2006/relationships/hyperlink" Target="https://www.youtube.com/watch?v=ycP05g-clX8&amp;t=22s" TargetMode="External"/><Relationship Id="rId300" Type="http://schemas.openxmlformats.org/officeDocument/2006/relationships/hyperlink" Target="https://youtu.be/3f17uaCaaPA?si=sJReTQJNf_Y1wnw8&amp;t=389" TargetMode="External"/><Relationship Id="rId60" Type="http://schemas.openxmlformats.org/officeDocument/2006/relationships/hyperlink" Target="https://en.wikipedia.org/wiki/Oerlikon_GDF" TargetMode="External"/><Relationship Id="rId81" Type="http://schemas.openxmlformats.org/officeDocument/2006/relationships/hyperlink" Target="https://en.wikipedia.org/wiki/CAESAR_self-propelled_howitzer" TargetMode="External"/><Relationship Id="rId135" Type="http://schemas.openxmlformats.org/officeDocument/2006/relationships/hyperlink" Target="https://en.wikipedia.org/wiki/List_of_active_Russian_military_aircraft" TargetMode="External"/><Relationship Id="rId156" Type="http://schemas.openxmlformats.org/officeDocument/2006/relationships/hyperlink" Target="https://en.wikipedia.org/wiki/S-500_missile_system" TargetMode="External"/><Relationship Id="rId177" Type="http://schemas.openxmlformats.org/officeDocument/2006/relationships/hyperlink" Target="https://en.wikipedia.org/wiki/AGM-65_Maverick" TargetMode="External"/><Relationship Id="rId198" Type="http://schemas.openxmlformats.org/officeDocument/2006/relationships/hyperlink" Target="https://en.wikipedia.org/wiki/M982_Excalibur" TargetMode="External"/><Relationship Id="rId321" Type="http://schemas.openxmlformats.org/officeDocument/2006/relationships/hyperlink" Target="https://en.wikipedia.org/wiki/LORA_(missile)" TargetMode="External"/><Relationship Id="rId342" Type="http://schemas.openxmlformats.org/officeDocument/2006/relationships/hyperlink" Target="https://youtu.be/VE5ZU429c4A?si=q_Q8rVQQ8rNp8BwY&amp;t=319" TargetMode="External"/><Relationship Id="rId363" Type="http://schemas.openxmlformats.org/officeDocument/2006/relationships/hyperlink" Target="https://www.iiss.org/online-analysis/online-analysis/2024/08/the-return-of-long-range-us-missiles-to-europe/" TargetMode="External"/><Relationship Id="rId384" Type="http://schemas.openxmlformats.org/officeDocument/2006/relationships/hyperlink" Target="https://youtu.be/A7Cb1bpy0ww?si=wWp0nZiR1U6yr78A&amp;t=39" TargetMode="External"/><Relationship Id="rId202" Type="http://schemas.openxmlformats.org/officeDocument/2006/relationships/hyperlink" Target="https://en.wikipedia.org/wiki/M142_HIMARS" TargetMode="External"/><Relationship Id="rId223" Type="http://schemas.openxmlformats.org/officeDocument/2006/relationships/hyperlink" Target="https://www.dji.com/dk/mavic-3-pro/specs" TargetMode="External"/><Relationship Id="rId244" Type="http://schemas.openxmlformats.org/officeDocument/2006/relationships/hyperlink" Target="https://www.kyivpost.com/post/20129" TargetMode="External"/><Relationship Id="rId18" Type="http://schemas.openxmlformats.org/officeDocument/2006/relationships/hyperlink" Target="https://en.wikipedia.org/wiki/MAGURA_V5" TargetMode="External"/><Relationship Id="rId39" Type="http://schemas.openxmlformats.org/officeDocument/2006/relationships/hyperlink" Target="https://en.wikipedia.org/wiki/Mikoyan_MiG-29" TargetMode="External"/><Relationship Id="rId265" Type="http://schemas.openxmlformats.org/officeDocument/2006/relationships/hyperlink" Target="https://en.wikipedia.org/wiki/RIM-174_Standard_ERAM" TargetMode="External"/><Relationship Id="rId286" Type="http://schemas.openxmlformats.org/officeDocument/2006/relationships/hyperlink" Target="https://en.wikipedia.org/wiki/Boeing_MQ-25_Stingray" TargetMode="External"/><Relationship Id="rId50" Type="http://schemas.openxmlformats.org/officeDocument/2006/relationships/hyperlink" Target="https://en.wikipedia.org/wiki/FGM-148_Javelin" TargetMode="External"/><Relationship Id="rId104" Type="http://schemas.openxmlformats.org/officeDocument/2006/relationships/hyperlink" Target="https://en.wikipedia.org/wiki/M142_HIMARS" TargetMode="External"/><Relationship Id="rId125" Type="http://schemas.openxmlformats.org/officeDocument/2006/relationships/hyperlink" Target="https://en.wikipedia.org/wiki/Ilyushin_Il-78" TargetMode="External"/><Relationship Id="rId146" Type="http://schemas.openxmlformats.org/officeDocument/2006/relationships/hyperlink" Target="https://en.wikipedia.org/wiki/Northrop_Grumman_RQ-180" TargetMode="External"/><Relationship Id="rId167" Type="http://schemas.openxmlformats.org/officeDocument/2006/relationships/hyperlink" Target="https://en.wikipedia.org/wiki/VS-50_mine" TargetMode="External"/><Relationship Id="rId188" Type="http://schemas.openxmlformats.org/officeDocument/2006/relationships/hyperlink" Target="https://en.wikipedia.org/wiki/MIM-23_Hawk" TargetMode="External"/><Relationship Id="rId311" Type="http://schemas.openxmlformats.org/officeDocument/2006/relationships/hyperlink" Target="https://en.wikipedia.org/wiki/Arrow_3" TargetMode="External"/><Relationship Id="rId332" Type="http://schemas.openxmlformats.org/officeDocument/2006/relationships/hyperlink" Target="https://www.armyrecognition.com/military-products/army/air-defense-systems/air-defense-vehicles/arrow-3-or-hetz-3?highlight=WyJmaXJzdCIsInVuaXQiLCJpbiJd" TargetMode="External"/><Relationship Id="rId353" Type="http://schemas.openxmlformats.org/officeDocument/2006/relationships/hyperlink" Target="https://www.state.gov/u-s-security-cooperation-with-ukraine/" TargetMode="External"/><Relationship Id="rId374" Type="http://schemas.openxmlformats.org/officeDocument/2006/relationships/hyperlink" Target="https://youtu.be/sXrgfoSlUhI?si=Qdy3efHJjqhQqiL7&amp;t=290" TargetMode="External"/><Relationship Id="rId395" Type="http://schemas.openxmlformats.org/officeDocument/2006/relationships/hyperlink" Target="https://youtu.be/3f17uaCaaPA?si=M9wPwwAS0ePsexsB&amp;t=434" TargetMode="External"/><Relationship Id="rId409" Type="http://schemas.openxmlformats.org/officeDocument/2006/relationships/hyperlink" Target="https://boeing.mediaroom.com/2009-11-30-Boeing-EA-18G-Growler-to-Advance-to-Full-Rate-Production" TargetMode="External"/><Relationship Id="rId71" Type="http://schemas.openxmlformats.org/officeDocument/2006/relationships/hyperlink" Target="https://en.wikipedia.org/wiki/Storm_Shadow" TargetMode="External"/><Relationship Id="rId92" Type="http://schemas.openxmlformats.org/officeDocument/2006/relationships/hyperlink" Target="https://en.wikipedia.org/wiki/Beriev_A-50" TargetMode="External"/><Relationship Id="rId213" Type="http://schemas.openxmlformats.org/officeDocument/2006/relationships/hyperlink" Target="https://en.wikipedia.org/wiki/NLAW" TargetMode="External"/><Relationship Id="rId234" Type="http://schemas.openxmlformats.org/officeDocument/2006/relationships/hyperlink" Target="https://x.com/EuromaidanPress/status/1736559427866464628" TargetMode="External"/><Relationship Id="rId2" Type="http://schemas.openxmlformats.org/officeDocument/2006/relationships/hyperlink" Target="https://en.wikipedia.org/wiki/Soltam_K6" TargetMode="External"/><Relationship Id="rId29" Type="http://schemas.openxmlformats.org/officeDocument/2006/relationships/hyperlink" Target="https://en.wikipedia.org/wiki/M142_HIMARS" TargetMode="External"/><Relationship Id="rId255" Type="http://schemas.openxmlformats.org/officeDocument/2006/relationships/hyperlink" Target="https://en.wikipedia.org/wiki/MS400_turbofan_engine" TargetMode="External"/><Relationship Id="rId276" Type="http://schemas.openxmlformats.org/officeDocument/2006/relationships/hyperlink" Target="https://en.wikipedia.org/wiki/Williams_F107" TargetMode="External"/><Relationship Id="rId297" Type="http://schemas.openxmlformats.org/officeDocument/2006/relationships/hyperlink" Target="https://www.youtube.com/watch?v=DZ5xoJfqXA4&amp;t=79s" TargetMode="External"/><Relationship Id="rId40" Type="http://schemas.openxmlformats.org/officeDocument/2006/relationships/hyperlink" Target="https://en.wikipedia.org/wiki/General_Dynamics_F-16_Fighting_Falcon" TargetMode="External"/><Relationship Id="rId115" Type="http://schemas.openxmlformats.org/officeDocument/2006/relationships/hyperlink" Target="https://en.wikipedia.org/wiki/M61_Vulcan" TargetMode="External"/><Relationship Id="rId136" Type="http://schemas.openxmlformats.org/officeDocument/2006/relationships/hyperlink" Target="https://en.wikipedia.org/wiki/List_of_active_Russian_military_aircraft" TargetMode="External"/><Relationship Id="rId157" Type="http://schemas.openxmlformats.org/officeDocument/2006/relationships/hyperlink" Target="https://www.youtube.com/watch?v=a0jL1d7MscM&amp;t=256s" TargetMode="External"/><Relationship Id="rId178" Type="http://schemas.openxmlformats.org/officeDocument/2006/relationships/hyperlink" Target="https://en.wikipedia.org/wiki/AIM-120_AMRAAM" TargetMode="External"/><Relationship Id="rId301" Type="http://schemas.openxmlformats.org/officeDocument/2006/relationships/hyperlink" Target="https://en.wikipedia.org/wiki/AIM-174B" TargetMode="External"/><Relationship Id="rId322" Type="http://schemas.openxmlformats.org/officeDocument/2006/relationships/hyperlink" Target="https://en.wikipedia.org/wiki/Jericho_(missile)" TargetMode="External"/><Relationship Id="rId343" Type="http://schemas.openxmlformats.org/officeDocument/2006/relationships/hyperlink" Target="https://en.wikipedia.org/wiki/Boeing_F/A-18E/F_Super_Hornet" TargetMode="External"/><Relationship Id="rId364" Type="http://schemas.openxmlformats.org/officeDocument/2006/relationships/hyperlink" Target="https://youtu.be/3f17uaCaaPA?si=M9wPwwAS0ePsexsB&amp;t=434" TargetMode="External"/><Relationship Id="rId61" Type="http://schemas.openxmlformats.org/officeDocument/2006/relationships/hyperlink" Target="https://en.wikipedia.org/wiki/Oerlikon_GDF" TargetMode="External"/><Relationship Id="rId82" Type="http://schemas.openxmlformats.org/officeDocument/2006/relationships/hyperlink" Target="https://en.wikipedia.org/wiki/Panzerhaubitze_2000" TargetMode="External"/><Relationship Id="rId199" Type="http://schemas.openxmlformats.org/officeDocument/2006/relationships/hyperlink" Target="https://en.wikipedia.org/wiki/RCH_155" TargetMode="External"/><Relationship Id="rId203" Type="http://schemas.openxmlformats.org/officeDocument/2006/relationships/hyperlink" Target="https://en.wikipedia.org/wiki/M270_Multiple_Launch_Rocket_System" TargetMode="External"/><Relationship Id="rId385" Type="http://schemas.openxmlformats.org/officeDocument/2006/relationships/hyperlink" Target="https://en.wikipedia.org/wiki/David%27s_Sling" TargetMode="External"/><Relationship Id="rId19" Type="http://schemas.openxmlformats.org/officeDocument/2006/relationships/hyperlink" Target="https://en.wikipedia.org/wiki/MAGURA_V5" TargetMode="External"/><Relationship Id="rId224" Type="http://schemas.openxmlformats.org/officeDocument/2006/relationships/hyperlink" Target="https://en.wikipedia.org/wiki/Shark_(drone)" TargetMode="External"/><Relationship Id="rId245" Type="http://schemas.openxmlformats.org/officeDocument/2006/relationships/hyperlink" Target="https://en.wikipedia.org/wiki/Teledyne_CAE_J402" TargetMode="External"/><Relationship Id="rId266" Type="http://schemas.openxmlformats.org/officeDocument/2006/relationships/hyperlink" Target="https://www.leonardodrs.com/what-we-do/products-and-services/m1000-heavy-equipment-transport-semi-trailer/" TargetMode="External"/><Relationship Id="rId287" Type="http://schemas.openxmlformats.org/officeDocument/2006/relationships/hyperlink" Target="https://www.youtube.com/watch?app=desktop&amp;si=gD0n1t8T9_PivR9Q&amp;v=GqZOaUpORjo&amp;feature=youtu.be" TargetMode="External"/><Relationship Id="rId410" Type="http://schemas.openxmlformats.org/officeDocument/2006/relationships/hyperlink" Target="https://en.wikipedia.org/wiki/Jericho_(missile)" TargetMode="External"/><Relationship Id="rId30" Type="http://schemas.openxmlformats.org/officeDocument/2006/relationships/hyperlink" Target="https://en.wikipedia.org/wiki/M142_HIMARS" TargetMode="External"/><Relationship Id="rId105" Type="http://schemas.openxmlformats.org/officeDocument/2006/relationships/hyperlink" Target="https://en.defence-ua.com/news/liutyi_uav_is_responsible_for_attacks_on_taganrog_russians_assume_drone_with_1000_km_range_finally_in_action-9779.html" TargetMode="External"/><Relationship Id="rId126" Type="http://schemas.openxmlformats.org/officeDocument/2006/relationships/hyperlink" Target="https://en.wikipedia.org/wiki/Boeing_KC-46_Pegasus" TargetMode="External"/><Relationship Id="rId147" Type="http://schemas.openxmlformats.org/officeDocument/2006/relationships/hyperlink" Target="https://en.wikipedia.org/wiki/AGM-158_JASSM" TargetMode="External"/><Relationship Id="rId168" Type="http://schemas.openxmlformats.org/officeDocument/2006/relationships/hyperlink" Target="https://youtu.be/TSZ3Gl4QqQ0?si=V_GH0N0qpqsz5xFu&amp;t=56" TargetMode="External"/><Relationship Id="rId312" Type="http://schemas.openxmlformats.org/officeDocument/2006/relationships/hyperlink" Target="https://www.boeing.com/defense/ah-64-apache" TargetMode="External"/><Relationship Id="rId333" Type="http://schemas.openxmlformats.org/officeDocument/2006/relationships/hyperlink" Target="https://youtu.be/JXz85MNVQ6o?si=OmC_2kVFx2yITqim&amp;t=153" TargetMode="External"/><Relationship Id="rId354" Type="http://schemas.openxmlformats.org/officeDocument/2006/relationships/hyperlink" Target="https://www.northropgrumman.com/what-we-do/air/sabr-scalable-agile-beam-radar-apg-83-aesa" TargetMode="External"/><Relationship Id="rId51" Type="http://schemas.openxmlformats.org/officeDocument/2006/relationships/hyperlink" Target="https://en.wikipedia.org/wiki/IAI_Heron" TargetMode="External"/><Relationship Id="rId72" Type="http://schemas.openxmlformats.org/officeDocument/2006/relationships/hyperlink" Target="https://en.wikipedia.org/wiki/Taurus_KEPD_350" TargetMode="External"/><Relationship Id="rId93" Type="http://schemas.openxmlformats.org/officeDocument/2006/relationships/hyperlink" Target="https://en.wikipedia.org/wiki/Krasukha" TargetMode="External"/><Relationship Id="rId189" Type="http://schemas.openxmlformats.org/officeDocument/2006/relationships/hyperlink" Target="https://en.wikipedia.org/wiki/IRIS-T" TargetMode="External"/><Relationship Id="rId375" Type="http://schemas.openxmlformats.org/officeDocument/2006/relationships/hyperlink" Target="https://en.wikipedia.org/wiki/LORA_(missile)" TargetMode="External"/><Relationship Id="rId396" Type="http://schemas.openxmlformats.org/officeDocument/2006/relationships/hyperlink" Target="https://www.independent.co.uk/news/world/europe/storm-shadow-missiles-ukraine-uk-weapons-b2339703.html" TargetMode="External"/><Relationship Id="rId3" Type="http://schemas.openxmlformats.org/officeDocument/2006/relationships/hyperlink" Target="https://www.newsweek.com/ukraine-fpv-drones-mykhailo-fedorov-russia-avdiivka-1853646" TargetMode="External"/><Relationship Id="rId214" Type="http://schemas.openxmlformats.org/officeDocument/2006/relationships/hyperlink" Target="https://en.wikipedia.org/wiki/M2_Bradley" TargetMode="External"/><Relationship Id="rId235" Type="http://schemas.openxmlformats.org/officeDocument/2006/relationships/hyperlink" Target="https://en.wikipedia.org/wiki/AQ-400_Scythe" TargetMode="External"/><Relationship Id="rId256" Type="http://schemas.openxmlformats.org/officeDocument/2006/relationships/hyperlink" Target="https://en.wikipedia.org/wiki/R-360_Neptune" TargetMode="External"/><Relationship Id="rId277" Type="http://schemas.openxmlformats.org/officeDocument/2006/relationships/hyperlink" Target="https://en.wikipedia.org/wiki/AGM-158C_LRASM" TargetMode="External"/><Relationship Id="rId298" Type="http://schemas.openxmlformats.org/officeDocument/2006/relationships/hyperlink" Target="https://youtu.be/pdv5PeqtWfY?si=FZmitvImqwcq2MBX&amp;t=450" TargetMode="External"/><Relationship Id="rId400" Type="http://schemas.openxmlformats.org/officeDocument/2006/relationships/hyperlink" Target="https://www.newsweek.com/russia-only-has-six-50-spy-planes-left-kyiv-1873164" TargetMode="External"/><Relationship Id="rId116" Type="http://schemas.openxmlformats.org/officeDocument/2006/relationships/hyperlink" Target="https://en.wikipedia.org/wiki/Boeing_B-52_Stratofortress" TargetMode="External"/><Relationship Id="rId137" Type="http://schemas.openxmlformats.org/officeDocument/2006/relationships/hyperlink" Target="https://en.wikipedia.org/wiki/AGM-158_JASSM" TargetMode="External"/><Relationship Id="rId158" Type="http://schemas.openxmlformats.org/officeDocument/2006/relationships/hyperlink" Target="https://en.wikipedia.org/wiki/R-360_Neptune" TargetMode="External"/><Relationship Id="rId302" Type="http://schemas.openxmlformats.org/officeDocument/2006/relationships/hyperlink" Target="https://youtu.be/oIpgDR6IgKM?si=wObzHlmIhape9wZY&amp;t=387" TargetMode="External"/><Relationship Id="rId323" Type="http://schemas.openxmlformats.org/officeDocument/2006/relationships/hyperlink" Target="https://en.wikipedia.org/wiki/Delilah_(missile)" TargetMode="External"/><Relationship Id="rId344" Type="http://schemas.openxmlformats.org/officeDocument/2006/relationships/hyperlink" Target="https://www.youtube.com/watch?v=4VJA2R0Xp7Q&amp;t=29s" TargetMode="External"/><Relationship Id="rId20" Type="http://schemas.openxmlformats.org/officeDocument/2006/relationships/hyperlink" Target="https://en.wikipedia.org/wiki/M549" TargetMode="External"/><Relationship Id="rId41" Type="http://schemas.openxmlformats.org/officeDocument/2006/relationships/hyperlink" Target="https://en.wikipedia.org/wiki/Sukhoi_Su-34" TargetMode="External"/><Relationship Id="rId62" Type="http://schemas.openxmlformats.org/officeDocument/2006/relationships/hyperlink" Target="https://en.wikipedia.org/wiki/Spike_(missile)" TargetMode="External"/><Relationship Id="rId83" Type="http://schemas.openxmlformats.org/officeDocument/2006/relationships/hyperlink" Target="https://weaponsystems.net/system/171-60mm%2BM224" TargetMode="External"/><Relationship Id="rId179" Type="http://schemas.openxmlformats.org/officeDocument/2006/relationships/hyperlink" Target="https://en.wikipedia.org/wiki/AIM-9_Sidewinder" TargetMode="External"/><Relationship Id="rId365" Type="http://schemas.openxmlformats.org/officeDocument/2006/relationships/hyperlink" Target="https://en.wikipedia.org/wiki/AIM-120_AMRAAM" TargetMode="External"/><Relationship Id="rId386" Type="http://schemas.openxmlformats.org/officeDocument/2006/relationships/hyperlink" Target="https://en.wikipedia.org/wiki/MIM-104_Patriot" TargetMode="External"/><Relationship Id="rId190" Type="http://schemas.openxmlformats.org/officeDocument/2006/relationships/hyperlink" Target="https://en.wikipedia.org/wiki/M230_chain_gun" TargetMode="External"/><Relationship Id="rId204" Type="http://schemas.openxmlformats.org/officeDocument/2006/relationships/hyperlink" Target="https://en.wikipedia.org/wiki/M252_mortar" TargetMode="External"/><Relationship Id="rId225" Type="http://schemas.openxmlformats.org/officeDocument/2006/relationships/hyperlink" Target="https://www.technology.org/2023/10/16/baba-yaga-drones-delivering-fear-to-russian-occupiers/" TargetMode="External"/><Relationship Id="rId246" Type="http://schemas.openxmlformats.org/officeDocument/2006/relationships/hyperlink" Target="https://x.com/HMexperienceDK/status/1827672906635116937" TargetMode="External"/><Relationship Id="rId267" Type="http://schemas.openxmlformats.org/officeDocument/2006/relationships/hyperlink" Target="https://en.wikipedia.org/wiki/Mark_41_vertical_launching_system" TargetMode="External"/><Relationship Id="rId288" Type="http://schemas.openxmlformats.org/officeDocument/2006/relationships/hyperlink" Target="https://www.youtube.com/watch?v=ThNxRoDbuDE" TargetMode="External"/><Relationship Id="rId411" Type="http://schemas.openxmlformats.org/officeDocument/2006/relationships/printerSettings" Target="../printerSettings/printerSettings1.bin"/><Relationship Id="rId106" Type="http://schemas.openxmlformats.org/officeDocument/2006/relationships/hyperlink" Target="https://en.wikipedia.org/wiki/General_Dynamics_F-16_Fighting_Falcon_variants" TargetMode="External"/><Relationship Id="rId127" Type="http://schemas.openxmlformats.org/officeDocument/2006/relationships/hyperlink" Target="https://en.wikipedia.org/wiki/Boeing_E-3_Sentry" TargetMode="External"/><Relationship Id="rId313" Type="http://schemas.openxmlformats.org/officeDocument/2006/relationships/hyperlink" Target="https://en.wikipedia.org/wiki/MIM-104_Patriot" TargetMode="External"/><Relationship Id="rId10" Type="http://schemas.openxmlformats.org/officeDocument/2006/relationships/hyperlink" Target="https://en.wikipedia.org/wiki/Archer_Artillery_System" TargetMode="External"/><Relationship Id="rId31" Type="http://schemas.openxmlformats.org/officeDocument/2006/relationships/hyperlink" Target="https://en.wikipedia.org/wiki/M142_HIMARS" TargetMode="External"/><Relationship Id="rId52" Type="http://schemas.openxmlformats.org/officeDocument/2006/relationships/hyperlink" Target="https://en.wikipedia.org/wiki/MGM-140_ATACMS" TargetMode="External"/><Relationship Id="rId73" Type="http://schemas.openxmlformats.org/officeDocument/2006/relationships/hyperlink" Target="https://en.wikipedia.org/wiki/M142_HIMARS" TargetMode="External"/><Relationship Id="rId94" Type="http://schemas.openxmlformats.org/officeDocument/2006/relationships/hyperlink" Target="https://en.wikipedia.org/wiki/Storm_Shadow" TargetMode="External"/><Relationship Id="rId148" Type="http://schemas.openxmlformats.org/officeDocument/2006/relationships/hyperlink" Target="https://en.wikipedia.org/wiki/MGM-140_ATACMS" TargetMode="External"/><Relationship Id="rId169" Type="http://schemas.openxmlformats.org/officeDocument/2006/relationships/hyperlink" Target="https://en.wikipedia.org/wiki/R-360_Neptune" TargetMode="External"/><Relationship Id="rId334" Type="http://schemas.openxmlformats.org/officeDocument/2006/relationships/hyperlink" Target="https://en.wikipedia.org/wiki/Terminal_High_Altitude_Area_Defense" TargetMode="External"/><Relationship Id="rId355" Type="http://schemas.openxmlformats.org/officeDocument/2006/relationships/hyperlink" Target="https://en.wikipedia.org/wiki/AN/APG-83" TargetMode="External"/><Relationship Id="rId376" Type="http://schemas.openxmlformats.org/officeDocument/2006/relationships/hyperlink" Target="https://www.eurasiareview.com/14062024-lora-quasi-ballistic-missile-adding-more-teeth-to-israeli-aerial-arsenal-analysis/" TargetMode="External"/><Relationship Id="rId397" Type="http://schemas.openxmlformats.org/officeDocument/2006/relationships/hyperlink" Target="https://missilethreat.csis.org/missile/apache-ap/" TargetMode="External"/><Relationship Id="rId4" Type="http://schemas.openxmlformats.org/officeDocument/2006/relationships/hyperlink" Target="https://en.wikipedia.org/wiki/MAGURA_V5" TargetMode="External"/><Relationship Id="rId180" Type="http://schemas.openxmlformats.org/officeDocument/2006/relationships/hyperlink" Target="https://en.wikipedia.org/wiki/AGM-114_Hellfire" TargetMode="External"/><Relationship Id="rId215" Type="http://schemas.openxmlformats.org/officeDocument/2006/relationships/hyperlink" Target="https://en.wikipedia.org/wiki/M242_Bushmaster" TargetMode="External"/><Relationship Id="rId236" Type="http://schemas.openxmlformats.org/officeDocument/2006/relationships/hyperlink" Target="https://t.me/astrapress/62407" TargetMode="External"/><Relationship Id="rId257" Type="http://schemas.openxmlformats.org/officeDocument/2006/relationships/hyperlink" Target="https://en.wikipedia.org/wiki/Williams_F107" TargetMode="External"/><Relationship Id="rId278" Type="http://schemas.openxmlformats.org/officeDocument/2006/relationships/hyperlink" Target="https://en.wikipedia.org/wiki/Grumman_E-2_Hawkeye" TargetMode="External"/><Relationship Id="rId401" Type="http://schemas.openxmlformats.org/officeDocument/2006/relationships/hyperlink" Target="https://www.newsweek.com/russia-only-has-six-50-spy-planes-left-kyiv-1873164" TargetMode="External"/><Relationship Id="rId303" Type="http://schemas.openxmlformats.org/officeDocument/2006/relationships/hyperlink" Target="https://youtu.be/oIpgDR6IgKM?si=wObzHlmIhape9wZY&amp;t=387" TargetMode="External"/><Relationship Id="rId42" Type="http://schemas.openxmlformats.org/officeDocument/2006/relationships/hyperlink" Target="https://www.airplaneupdate.com/2019/04/sukhoi-su-34.html" TargetMode="External"/><Relationship Id="rId84" Type="http://schemas.openxmlformats.org/officeDocument/2006/relationships/hyperlink" Target="https://en.wikipedia.org/wiki/Mikoyan_MiG-29" TargetMode="External"/><Relationship Id="rId138" Type="http://schemas.openxmlformats.org/officeDocument/2006/relationships/hyperlink" Target="https://en.wikipedia.org/wiki/Tomahawk_(missile)" TargetMode="External"/><Relationship Id="rId345" Type="http://schemas.openxmlformats.org/officeDocument/2006/relationships/hyperlink" Target="https://en.wikipedia.org/wiki/Iron_Dome" TargetMode="External"/><Relationship Id="rId387" Type="http://schemas.openxmlformats.org/officeDocument/2006/relationships/hyperlink" Target="https://news.usni.org/2024/01/18/army-activates-latest-land-based-sm-6-tomahawk-battery-based-on-navy-tech" TargetMode="External"/><Relationship Id="rId191" Type="http://schemas.openxmlformats.org/officeDocument/2006/relationships/hyperlink" Target="https://en.wikipedia.org/wiki/Flakpanzer_Gepard" TargetMode="External"/><Relationship Id="rId205" Type="http://schemas.openxmlformats.org/officeDocument/2006/relationships/hyperlink" Target="https://man.fas.org/dod-101/sys/land/m933.htm" TargetMode="External"/><Relationship Id="rId247" Type="http://schemas.openxmlformats.org/officeDocument/2006/relationships/hyperlink" Target="https://en.wikipedia.org/wiki/Williams_F107" TargetMode="External"/><Relationship Id="rId107" Type="http://schemas.openxmlformats.org/officeDocument/2006/relationships/hyperlink" Target="https://en.wikipedia.org/wiki/Sukhoi_Su-34" TargetMode="External"/><Relationship Id="rId289" Type="http://schemas.openxmlformats.org/officeDocument/2006/relationships/hyperlink" Target="https://youtu.be/5JdT1GrplhI?si=CHkg27rnL6Dg1mNQ&amp;t=39" TargetMode="External"/><Relationship Id="rId11" Type="http://schemas.openxmlformats.org/officeDocument/2006/relationships/hyperlink" Target="https://en.wikipedia.org/wiki/Panzerhaubitze_2000" TargetMode="External"/><Relationship Id="rId53" Type="http://schemas.openxmlformats.org/officeDocument/2006/relationships/hyperlink" Target="https://en.wikipedia.org/wiki/Precision_Strike_Missile" TargetMode="External"/><Relationship Id="rId149" Type="http://schemas.openxmlformats.org/officeDocument/2006/relationships/hyperlink" Target="https://en.wikipedia.org/wiki/9K720_Iskander" TargetMode="External"/><Relationship Id="rId314" Type="http://schemas.openxmlformats.org/officeDocument/2006/relationships/hyperlink" Target="https://en.wikipedia.org/wiki/AIM-174B" TargetMode="External"/><Relationship Id="rId356" Type="http://schemas.openxmlformats.org/officeDocument/2006/relationships/hyperlink" Target="https://en.wikipedia.org/wiki/AN/APG-66" TargetMode="External"/><Relationship Id="rId398" Type="http://schemas.openxmlformats.org/officeDocument/2006/relationships/hyperlink" Target="https://en.wikipedia.org/wiki/Iron_Dome" TargetMode="External"/><Relationship Id="rId95" Type="http://schemas.openxmlformats.org/officeDocument/2006/relationships/hyperlink" Target="https://en.wikipedia.org/wiki/Taurus_KEPD_350" TargetMode="External"/><Relationship Id="rId160" Type="http://schemas.openxmlformats.org/officeDocument/2006/relationships/hyperlink" Target="https://en.wikipedia.org/wiki/Tupolev_Tu-160" TargetMode="External"/><Relationship Id="rId216" Type="http://schemas.openxmlformats.org/officeDocument/2006/relationships/hyperlink" Target="https://www.rferl.org/a/lancet-drones-russia-invasion-counteroffensive-kamikaze/32493513.html" TargetMode="External"/><Relationship Id="rId258" Type="http://schemas.openxmlformats.org/officeDocument/2006/relationships/hyperlink" Target="https://www.pravda.com.ua/eng/news/2024/08/27/7472208/" TargetMode="External"/><Relationship Id="rId22" Type="http://schemas.openxmlformats.org/officeDocument/2006/relationships/hyperlink" Target="https://en.wikipedia.org/wiki/Panzerhaubitze_2000" TargetMode="External"/><Relationship Id="rId64" Type="http://schemas.openxmlformats.org/officeDocument/2006/relationships/hyperlink" Target="https://en.wikipedia.org/wiki/AGM-158_JASSM" TargetMode="External"/><Relationship Id="rId118" Type="http://schemas.openxmlformats.org/officeDocument/2006/relationships/hyperlink" Target="https://en.wikipedia.org/wiki/FAB-500" TargetMode="External"/><Relationship Id="rId325" Type="http://schemas.openxmlformats.org/officeDocument/2006/relationships/hyperlink" Target="https://www.globalmilitary.net/aircrafts/eitan/" TargetMode="External"/><Relationship Id="rId367" Type="http://schemas.openxmlformats.org/officeDocument/2006/relationships/hyperlink" Target="https://en.wikipedia.org/wiki/PULS_(multiple_rocket_launcher)" TargetMode="External"/><Relationship Id="rId171" Type="http://schemas.openxmlformats.org/officeDocument/2006/relationships/hyperlink" Target="https://en.wikipedia.org/wiki/Armement_Air-Sol_Modulaire" TargetMode="External"/><Relationship Id="rId227" Type="http://schemas.openxmlformats.org/officeDocument/2006/relationships/hyperlink" Target="https://www.youtube.com/watch?app=desktop&amp;si=Vs2Fdzh0GZ0OZoR6&amp;v=5ckYz616rEc&amp;feature=youtu.be" TargetMode="External"/><Relationship Id="rId269" Type="http://schemas.openxmlformats.org/officeDocument/2006/relationships/hyperlink" Target="https://en.wikipedia.org/wiki/Sikorsky_CH-53E_Super_Stallion" TargetMode="External"/><Relationship Id="rId33" Type="http://schemas.openxmlformats.org/officeDocument/2006/relationships/hyperlink" Target="https://en.wikipedia.org/wiki/RPG-7" TargetMode="External"/><Relationship Id="rId129" Type="http://schemas.openxmlformats.org/officeDocument/2006/relationships/hyperlink" Target="https://en.wikipedia.org/wiki/Saab_340_AEW%26C" TargetMode="External"/><Relationship Id="rId280" Type="http://schemas.openxmlformats.org/officeDocument/2006/relationships/hyperlink" Target="https://en.wikipedia.org/wiki/MIM-104_Patriot" TargetMode="External"/><Relationship Id="rId336" Type="http://schemas.openxmlformats.org/officeDocument/2006/relationships/hyperlink" Target="https://www.navalnews.com/naval-news/2024/04/south-korea-approves-procurement-of-sm-3-for-ballistic-missile-defense/" TargetMode="External"/><Relationship Id="rId75" Type="http://schemas.openxmlformats.org/officeDocument/2006/relationships/hyperlink" Target="https://en.wikipedia.org/wiki/AIM-120_AMRAAM" TargetMode="External"/><Relationship Id="rId140" Type="http://schemas.openxmlformats.org/officeDocument/2006/relationships/hyperlink" Target="https://en.wikipedia.org/wiki/R-360_Neptune" TargetMode="External"/><Relationship Id="rId182" Type="http://schemas.openxmlformats.org/officeDocument/2006/relationships/hyperlink" Target="https://en.wikipedia.org/wiki/MIM-104_Patriot" TargetMode="External"/><Relationship Id="rId378" Type="http://schemas.openxmlformats.org/officeDocument/2006/relationships/hyperlink" Target="https://en.wikipedia.org/wiki/ROCKS_(missile)" TargetMode="External"/><Relationship Id="rId403" Type="http://schemas.openxmlformats.org/officeDocument/2006/relationships/hyperlink" Target="https://simpleflying.com/how-many-new-f-16s-could-be-produced/" TargetMode="External"/><Relationship Id="rId6" Type="http://schemas.openxmlformats.org/officeDocument/2006/relationships/hyperlink" Target="https://en.wikipedia.org/wiki/Anti-personnel_mine" TargetMode="External"/><Relationship Id="rId238" Type="http://schemas.openxmlformats.org/officeDocument/2006/relationships/hyperlink" Target="https://warriorlodge.com/pages/general-atomics-mq-1c-gray-eagle" TargetMode="External"/><Relationship Id="rId291" Type="http://schemas.openxmlformats.org/officeDocument/2006/relationships/hyperlink" Target="https://www.radartutorial.eu/19.kartei/08.airborne/karte023.en.html" TargetMode="External"/><Relationship Id="rId305" Type="http://schemas.openxmlformats.org/officeDocument/2006/relationships/hyperlink" Target="https://en.wikipedia.org/wiki/AIM-260_JATM" TargetMode="External"/><Relationship Id="rId347" Type="http://schemas.openxmlformats.org/officeDocument/2006/relationships/hyperlink" Target="https://youtu.be/FEjhC-ejrEg?si=dB6sFhpp-aUjoio4&amp;t=285" TargetMode="External"/><Relationship Id="rId44" Type="http://schemas.openxmlformats.org/officeDocument/2006/relationships/hyperlink" Target="https://en.wikipedia.org/wiki/Sukhoi_Su-34" TargetMode="External"/><Relationship Id="rId86" Type="http://schemas.openxmlformats.org/officeDocument/2006/relationships/hyperlink" Target="https://en.defence-ua.com/news/liutyi_uav_is_responsible_for_attacks_on_taganrog_russians_assume_drone_with_1000_km_range_finally_in_action-9779.html" TargetMode="External"/><Relationship Id="rId151" Type="http://schemas.openxmlformats.org/officeDocument/2006/relationships/hyperlink" Target="https://en.wikipedia.org/wiki/Kh-55" TargetMode="External"/><Relationship Id="rId389" Type="http://schemas.openxmlformats.org/officeDocument/2006/relationships/hyperlink" Target="https://www.rafael.co.il/system/medium-long-range-defense-davids-sling/" TargetMode="External"/><Relationship Id="rId193" Type="http://schemas.openxmlformats.org/officeDocument/2006/relationships/hyperlink" Target="https://en.wikipedia.org/wiki/Archer_Artillery_System" TargetMode="External"/><Relationship Id="rId207" Type="http://schemas.openxmlformats.org/officeDocument/2006/relationships/hyperlink" Target="https://en.wikipedia.org/wiki/M270_Multiple_Launch_Rocket_System" TargetMode="External"/><Relationship Id="rId249" Type="http://schemas.openxmlformats.org/officeDocument/2006/relationships/hyperlink" Target="https://youtu.be/kvfDh_lnVLM?si=vnFnFiBeCgkj3fpP&amp;t=256" TargetMode="External"/><Relationship Id="rId13" Type="http://schemas.openxmlformats.org/officeDocument/2006/relationships/hyperlink" Target="https://en.wikipedia.org/wiki/CAESAR_self-propelled_howitzer" TargetMode="External"/><Relationship Id="rId109" Type="http://schemas.openxmlformats.org/officeDocument/2006/relationships/hyperlink" Target="https://www.youtube.com/watch?v=1DXpPmpmcak" TargetMode="External"/><Relationship Id="rId260" Type="http://schemas.openxmlformats.org/officeDocument/2006/relationships/hyperlink" Target="https://en.wikipedia.org/wiki/Williams_F107" TargetMode="External"/><Relationship Id="rId316" Type="http://schemas.openxmlformats.org/officeDocument/2006/relationships/hyperlink" Target="https://en.wikipedia.org/wiki/Gabriel_(missile)" TargetMode="External"/><Relationship Id="rId55" Type="http://schemas.openxmlformats.org/officeDocument/2006/relationships/hyperlink" Target="https://www.rheinmetall.com/en/products/air-defence/air-defence-systems/networked-air-defence-skynex" TargetMode="External"/><Relationship Id="rId97" Type="http://schemas.openxmlformats.org/officeDocument/2006/relationships/hyperlink" Target="https://en.wikipedia.org/wiki/Soltam_K6" TargetMode="External"/><Relationship Id="rId120" Type="http://schemas.openxmlformats.org/officeDocument/2006/relationships/hyperlink" Target="https://en.wikipedia.org/wiki/Gryazev-Shipunov_GSh-30-1" TargetMode="External"/><Relationship Id="rId358" Type="http://schemas.openxmlformats.org/officeDocument/2006/relationships/hyperlink" Target="https://en.wikipedia.org/wiki/AN/APG-83" TargetMode="External"/><Relationship Id="rId162" Type="http://schemas.openxmlformats.org/officeDocument/2006/relationships/hyperlink" Target="https://en.wikipedia.org/wiki/Hrim-2" TargetMode="External"/><Relationship Id="rId218" Type="http://schemas.openxmlformats.org/officeDocument/2006/relationships/hyperlink" Target="https://en.wikipedia.org/wiki/RPG-7" TargetMode="External"/><Relationship Id="rId271" Type="http://schemas.openxmlformats.org/officeDocument/2006/relationships/hyperlink" Target="https://en.wikipedia.org/wiki/AGM-86_ALCM" TargetMode="External"/><Relationship Id="rId24" Type="http://schemas.openxmlformats.org/officeDocument/2006/relationships/hyperlink" Target="https://en.wikipedia.org/wiki/Panzerhaubitze_2000" TargetMode="External"/><Relationship Id="rId66" Type="http://schemas.openxmlformats.org/officeDocument/2006/relationships/hyperlink" Target="https://en.wikipedia.org/wiki/Beriev_A-50" TargetMode="External"/><Relationship Id="rId131" Type="http://schemas.openxmlformats.org/officeDocument/2006/relationships/hyperlink" Target="https://en.wikipedia.org/wiki/9M123_Khrizantema" TargetMode="External"/><Relationship Id="rId327" Type="http://schemas.openxmlformats.org/officeDocument/2006/relationships/hyperlink" Target="https://www.iai.co.il/p/heron-tp" TargetMode="External"/><Relationship Id="rId369" Type="http://schemas.openxmlformats.org/officeDocument/2006/relationships/hyperlink" Target="https://www.youtube.com/watch?v=BrBVudn-ev0" TargetMode="External"/><Relationship Id="rId173" Type="http://schemas.openxmlformats.org/officeDocument/2006/relationships/hyperlink" Target="https://en.wikipedia.org/wiki/GAU-12_Equalizer" TargetMode="External"/><Relationship Id="rId229" Type="http://schemas.openxmlformats.org/officeDocument/2006/relationships/hyperlink" Target="https://euromaidanpress.com/2024/03/23/meet-liutyi-ukraines-homegrown-drone-behind-strikes-on-russian-oil-refineries/" TargetMode="External"/><Relationship Id="rId380" Type="http://schemas.openxmlformats.org/officeDocument/2006/relationships/hyperlink" Target="https://en.wikipedia.org/wiki/Sky_Spear" TargetMode="External"/><Relationship Id="rId240" Type="http://schemas.openxmlformats.org/officeDocument/2006/relationships/hyperlink" Target="https://en.wikipedia.org/wiki/IAI_Heron" TargetMode="External"/><Relationship Id="rId35" Type="http://schemas.openxmlformats.org/officeDocument/2006/relationships/hyperlink" Target="https://en.wikipedia.org/wiki/Storm_Shadow" TargetMode="External"/><Relationship Id="rId77" Type="http://schemas.openxmlformats.org/officeDocument/2006/relationships/hyperlink" Target="https://en.wikipedia.org/wiki/AGM-114_Hellfire" TargetMode="External"/><Relationship Id="rId100" Type="http://schemas.openxmlformats.org/officeDocument/2006/relationships/hyperlink" Target="https://weaponsystems.net/system/171-60mm%2BM224" TargetMode="External"/><Relationship Id="rId282" Type="http://schemas.openxmlformats.org/officeDocument/2006/relationships/hyperlink" Target="https://youtu.be/pdv5PeqtWfY?si=FZmitvImqwcq2MBX&amp;t=450" TargetMode="External"/><Relationship Id="rId338" Type="http://schemas.openxmlformats.org/officeDocument/2006/relationships/hyperlink" Target="https://youtu.be/ES8-oRbZQfA?si=Xs_Ct81nyWfPypCw&amp;t=150" TargetMode="External"/><Relationship Id="rId8" Type="http://schemas.openxmlformats.org/officeDocument/2006/relationships/hyperlink" Target="https://ruavia.su/fpv-drones-hortensia-with-increased-payload-are-preparing-to-be-sent-to-the-frontline/" TargetMode="External"/><Relationship Id="rId142" Type="http://schemas.openxmlformats.org/officeDocument/2006/relationships/hyperlink" Target="https://en.wikipedia.org/wiki/IAI_Heron" TargetMode="External"/><Relationship Id="rId184" Type="http://schemas.openxmlformats.org/officeDocument/2006/relationships/hyperlink" Target="https://en.wikipedia.org/wiki/NASAMS" TargetMode="External"/><Relationship Id="rId391" Type="http://schemas.openxmlformats.org/officeDocument/2006/relationships/hyperlink" Target="https://en.wikipedia.org/wiki/MIM-104_Patriot" TargetMode="External"/><Relationship Id="rId405" Type="http://schemas.openxmlformats.org/officeDocument/2006/relationships/hyperlink" Target="https://breakingdefense.com/2024/04/boeing-to-shutter-super-hornet-line-in-2027-after-final-navy-order-boeing-vp/" TargetMode="External"/><Relationship Id="rId251" Type="http://schemas.openxmlformats.org/officeDocument/2006/relationships/hyperlink" Target="https://en.wikipedia.org/wiki/Spike_(missile)" TargetMode="External"/><Relationship Id="rId46" Type="http://schemas.openxmlformats.org/officeDocument/2006/relationships/hyperlink" Target="https://twitter.com/oleksiireznikov/status/1594998365170896896" TargetMode="External"/><Relationship Id="rId293" Type="http://schemas.openxmlformats.org/officeDocument/2006/relationships/hyperlink" Target="https://www.pravda.com.ua/eng/news/2024/08/27/7472208/" TargetMode="External"/><Relationship Id="rId307" Type="http://schemas.openxmlformats.org/officeDocument/2006/relationships/hyperlink" Target="https://en.wikipedia.org/wiki/AGM-154_Joint_Standoff_Weapon" TargetMode="External"/><Relationship Id="rId349" Type="http://schemas.openxmlformats.org/officeDocument/2006/relationships/hyperlink" Target="https://www.navair.navy.mil/product/AIM-9M-Sidewinder" TargetMode="External"/><Relationship Id="rId88" Type="http://schemas.openxmlformats.org/officeDocument/2006/relationships/hyperlink" Target="https://en.wikipedia.org/wiki/Sukhoi_Su-34" TargetMode="External"/><Relationship Id="rId111" Type="http://schemas.openxmlformats.org/officeDocument/2006/relationships/hyperlink" Target="https://en.wikipedia.org/wiki/Beriev_A-50" TargetMode="External"/><Relationship Id="rId153" Type="http://schemas.openxmlformats.org/officeDocument/2006/relationships/hyperlink" Target="https://en.wikipedia.org/wiki/Kh-47M2_Kinzhal" TargetMode="External"/><Relationship Id="rId195" Type="http://schemas.openxmlformats.org/officeDocument/2006/relationships/hyperlink" Target="https://en.wikipedia.org/wiki/M107_projectile" TargetMode="External"/><Relationship Id="rId209" Type="http://schemas.openxmlformats.org/officeDocument/2006/relationships/hyperlink" Target="https://en.wikipedia.org/wiki/RPG-7" TargetMode="External"/><Relationship Id="rId360" Type="http://schemas.openxmlformats.org/officeDocument/2006/relationships/hyperlink" Target="https://en.wikipedia.org/wiki/M142_HIMARS" TargetMode="External"/><Relationship Id="rId220" Type="http://schemas.openxmlformats.org/officeDocument/2006/relationships/hyperlink" Target="https://en.wikipedia.org/wiki/RPG-7" TargetMode="External"/><Relationship Id="rId15" Type="http://schemas.openxmlformats.org/officeDocument/2006/relationships/hyperlink" Target="https://en.wikipedia.org/wiki/M107_projectile" TargetMode="External"/><Relationship Id="rId57" Type="http://schemas.openxmlformats.org/officeDocument/2006/relationships/hyperlink" Target="https://www.msn.com/en-us/news/world/german-skynex-air-defense-systems-start-protecting-ukrainian-skies/ar-AA1ofiEM?ocid=BingNewsSerp" TargetMode="External"/><Relationship Id="rId262" Type="http://schemas.openxmlformats.org/officeDocument/2006/relationships/hyperlink" Target="https://www.youtube.com/watch?v=EuAQ7jOyGGo&amp;t=110s" TargetMode="External"/><Relationship Id="rId318" Type="http://schemas.openxmlformats.org/officeDocument/2006/relationships/hyperlink" Target="https://youtu.be/sXrgfoSlUhI?si=Qdy3efHJjqhQqiL7&amp;t=290" TargetMode="External"/><Relationship Id="rId99" Type="http://schemas.openxmlformats.org/officeDocument/2006/relationships/hyperlink" Target="https://en.wikipedia.org/wiki/Panzerhaubitze_2000" TargetMode="External"/><Relationship Id="rId122" Type="http://schemas.openxmlformats.org/officeDocument/2006/relationships/hyperlink" Target="https://en.wikipedia.org/wiki/Ilyushin_Il-76" TargetMode="External"/><Relationship Id="rId164" Type="http://schemas.openxmlformats.org/officeDocument/2006/relationships/hyperlink" Target="https://en.wikipedia.org/wiki/Spike_(missile)" TargetMode="External"/><Relationship Id="rId371" Type="http://schemas.openxmlformats.org/officeDocument/2006/relationships/hyperlink" Target="https://www.reuters.com/world/middle-east/israels-strikes-iran-spark-interest-air-launched-ballistic-missiles-2024-11-04/" TargetMode="External"/><Relationship Id="rId26" Type="http://schemas.openxmlformats.org/officeDocument/2006/relationships/hyperlink" Target="https://www.pmulcahy.com/ammunition/mortar_rounds.html" TargetMode="External"/><Relationship Id="rId231" Type="http://schemas.openxmlformats.org/officeDocument/2006/relationships/hyperlink" Target="https://www.forbes.com/sites/davidhambling/2023/12/17/scythe-attack-drone-is-ukraines-answer-to-russias-shaheds/" TargetMode="External"/><Relationship Id="rId273" Type="http://schemas.openxmlformats.org/officeDocument/2006/relationships/hyperlink" Target="https://www.lockheedmartin.com/content/dam/lockheed-martin/rms/documents/naval-launchers-and-munitions/Mk70_Product_Card.pdf" TargetMode="External"/><Relationship Id="rId329" Type="http://schemas.openxmlformats.org/officeDocument/2006/relationships/hyperlink" Target="https://en.wikipedia.org/wiki/Tupolev_Tu-22M" TargetMode="External"/><Relationship Id="rId68" Type="http://schemas.openxmlformats.org/officeDocument/2006/relationships/hyperlink" Target="https://en.wikipedia.org/wiki/Ilyushin_Il-76" TargetMode="External"/><Relationship Id="rId133" Type="http://schemas.openxmlformats.org/officeDocument/2006/relationships/hyperlink" Target="https://en.wikipedia.org/wiki/Mil_Mi-28" TargetMode="External"/><Relationship Id="rId175" Type="http://schemas.openxmlformats.org/officeDocument/2006/relationships/hyperlink" Target="https://en.wikipedia.org/wiki/GBU-39_Small_Diameter_Bomb" TargetMode="External"/><Relationship Id="rId340" Type="http://schemas.openxmlformats.org/officeDocument/2006/relationships/hyperlink" Target="https://en.wikipedia.org/wiki/Arrow_3" TargetMode="External"/><Relationship Id="rId200" Type="http://schemas.openxmlformats.org/officeDocument/2006/relationships/hyperlink" Target="https://en.wikipedia.org/wiki/M252_mortar" TargetMode="External"/><Relationship Id="rId382" Type="http://schemas.openxmlformats.org/officeDocument/2006/relationships/hyperlink" Target="https://en.wikipedia.org/wiki/Terminal_High_Altitude_Area_Defense" TargetMode="External"/><Relationship Id="rId242" Type="http://schemas.openxmlformats.org/officeDocument/2006/relationships/hyperlink" Target="https://uk.wikipedia.org/wiki/%D0%A1%D0%BE%D0%BA%D1%96%D0%BB-300" TargetMode="External"/><Relationship Id="rId284" Type="http://schemas.openxmlformats.org/officeDocument/2006/relationships/hyperlink" Target="https://en.wikipedia.org/wiki/Kh-22" TargetMode="External"/><Relationship Id="rId37" Type="http://schemas.openxmlformats.org/officeDocument/2006/relationships/hyperlink" Target="https://euromaidanpress.com/2024/03/23/meet-liutyi-ukraines-homegrown-drone-behind-strikes-on-russian-oil-refineries/" TargetMode="External"/><Relationship Id="rId79" Type="http://schemas.openxmlformats.org/officeDocument/2006/relationships/hyperlink" Target="https://en.wikipedia.org/wiki/Soltam_K6" TargetMode="External"/><Relationship Id="rId102" Type="http://schemas.openxmlformats.org/officeDocument/2006/relationships/hyperlink" Target="https://en.wikipedia.org/wiki/M142_HIMARS" TargetMode="External"/><Relationship Id="rId144" Type="http://schemas.openxmlformats.org/officeDocument/2006/relationships/hyperlink" Target="https://en.wikipedia.org/wiki/ZALA_Lancet" TargetMode="External"/><Relationship Id="rId90" Type="http://schemas.openxmlformats.org/officeDocument/2006/relationships/hyperlink" Target="https://www.youtube.com/watch?v=1DXpPmpmcak" TargetMode="External"/><Relationship Id="rId186" Type="http://schemas.openxmlformats.org/officeDocument/2006/relationships/hyperlink" Target="https://www.thenationalnews.com/world/europe/2022/10/12/explained-the-iris-t-slm-and-nasams-air-defence-systems-ukraine-needs/" TargetMode="External"/><Relationship Id="rId351" Type="http://schemas.openxmlformats.org/officeDocument/2006/relationships/hyperlink" Target="https://en.wikipedia.org/wiki/RIM-7_Sea_Sparrow" TargetMode="External"/><Relationship Id="rId393" Type="http://schemas.openxmlformats.org/officeDocument/2006/relationships/hyperlink" Target="https://en.wikipedia.org/wiki/Williams_F107" TargetMode="External"/><Relationship Id="rId407" Type="http://schemas.openxmlformats.org/officeDocument/2006/relationships/hyperlink" Target="https://www.youtube.com/watch?v=f0UGrqqRLi8&amp;list=FLZCT9hB-Visphsp0Ne3D-xA&amp;index=1" TargetMode="External"/><Relationship Id="rId211" Type="http://schemas.openxmlformats.org/officeDocument/2006/relationships/hyperlink" Target="https://en.wikipedia.org/wiki/FGM-148_Javelin" TargetMode="External"/><Relationship Id="rId253" Type="http://schemas.openxmlformats.org/officeDocument/2006/relationships/hyperlink" Target="https://www.jetcat.de/en/productdetails/produkte/jetcat/produkte/Professionell/p400%20pro" TargetMode="External"/><Relationship Id="rId295" Type="http://schemas.openxmlformats.org/officeDocument/2006/relationships/hyperlink" Target="https://en.wikipedia.org/wiki/R-360_Neptune" TargetMode="External"/><Relationship Id="rId309" Type="http://schemas.openxmlformats.org/officeDocument/2006/relationships/hyperlink" Target="https://en.wikipedia.org/wiki/David%27s_Slin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en.wikipedia.org/wiki/October_2024_Iranian_strikes_against_Israel" TargetMode="External"/><Relationship Id="rId2" Type="http://schemas.openxmlformats.org/officeDocument/2006/relationships/hyperlink" Target="https://en.wikipedia.org/wiki/October_2024_Israeli_strikes_on_Iran" TargetMode="External"/><Relationship Id="rId1" Type="http://schemas.openxmlformats.org/officeDocument/2006/relationships/hyperlink" Target="https://breakingdefense.com/2024/02/israeli-air-force-struck-31000-targets-in-four-months-of-war/" TargetMode="External"/><Relationship Id="rId5" Type="http://schemas.openxmlformats.org/officeDocument/2006/relationships/hyperlink" Target="https://en.wikipedia.org/wiki/7_October_Hamas-led_attack_on_Israel" TargetMode="External"/><Relationship Id="rId4" Type="http://schemas.openxmlformats.org/officeDocument/2006/relationships/hyperlink" Target="https://en.wikipedia.org/wiki/October_2024_Israeli_strikes_on_Ira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en.wikipedia.org/wiki/RIM-174_Standard_ERAM" TargetMode="External"/><Relationship Id="rId13" Type="http://schemas.openxmlformats.org/officeDocument/2006/relationships/hyperlink" Target="https://en.wikipedia.org/wiki/S-500_missile_system" TargetMode="External"/><Relationship Id="rId18" Type="http://schemas.openxmlformats.org/officeDocument/2006/relationships/hyperlink" Target="https://www.youtube.com/watch?v=f0UGrqqRLi8&amp;list=FLZCT9hB-Visphsp0Ne3D-xA&amp;index=1" TargetMode="External"/><Relationship Id="rId3" Type="http://schemas.openxmlformats.org/officeDocument/2006/relationships/hyperlink" Target="https://youtu.be/JXz85MNVQ6o?si=cPI-deqFKBU6aNlf&amp;t=151" TargetMode="External"/><Relationship Id="rId7" Type="http://schemas.openxmlformats.org/officeDocument/2006/relationships/hyperlink" Target="https://www.youtube.com/watch?v=VE5ZU429c4A&amp;t=319s" TargetMode="External"/><Relationship Id="rId12" Type="http://schemas.openxmlformats.org/officeDocument/2006/relationships/hyperlink" Target="https://en.wikipedia.org/wiki/RIM-161_Standard_Missile_3" TargetMode="External"/><Relationship Id="rId17" Type="http://schemas.openxmlformats.org/officeDocument/2006/relationships/hyperlink" Target="https://youtu.be/GqZOaUpORjo?si=x3ygOXwkjzeAfrQ8&amp;t=65" TargetMode="External"/><Relationship Id="rId2" Type="http://schemas.openxmlformats.org/officeDocument/2006/relationships/hyperlink" Target="https://youtu.be/JXz85MNVQ6o?si=OmC_2kVFx2yITqim&amp;t=153" TargetMode="External"/><Relationship Id="rId16" Type="http://schemas.openxmlformats.org/officeDocument/2006/relationships/hyperlink" Target="https://youtu.be/oIpgDR6IgKM?si=E-6vOrJUPqVqSlOc&amp;t=359" TargetMode="External"/><Relationship Id="rId20" Type="http://schemas.openxmlformats.org/officeDocument/2006/relationships/printerSettings" Target="../printerSettings/printerSettings2.bin"/><Relationship Id="rId1" Type="http://schemas.openxmlformats.org/officeDocument/2006/relationships/hyperlink" Target="https://en.wikipedia.org/wiki/Aegis_Ballistic_Missile_Defense_System" TargetMode="External"/><Relationship Id="rId6" Type="http://schemas.openxmlformats.org/officeDocument/2006/relationships/hyperlink" Target="https://www.navalnews.com/naval-news/2024/04/south-korea-approves-procurement-of-sm-3-for-ballistic-missile-defense/" TargetMode="External"/><Relationship Id="rId11" Type="http://schemas.openxmlformats.org/officeDocument/2006/relationships/hyperlink" Target="https://en.defence-ua.com/weapon_and_tech/the_adaptation_of_taurus_cruise_missiles_for_ukrainian_su_24ms_would_take_6_months_for_the_f_16_15_years_and_there_are_other_important_details_about_this_missile-8457.html" TargetMode="External"/><Relationship Id="rId5" Type="http://schemas.openxmlformats.org/officeDocument/2006/relationships/hyperlink" Target="https://youtu.be/ES8-oRbZQfA?si=Ar4MHBV01wyUISIk" TargetMode="External"/><Relationship Id="rId15" Type="http://schemas.openxmlformats.org/officeDocument/2006/relationships/hyperlink" Target="https://www.youtube.com/watch?v=XqZZk5x5KIQ&amp;t=273s" TargetMode="External"/><Relationship Id="rId10" Type="http://schemas.openxmlformats.org/officeDocument/2006/relationships/hyperlink" Target="https://youtu.be/A7Cb1bpy0ww?si=wWp0nZiR1U6yr78A&amp;t=39" TargetMode="External"/><Relationship Id="rId19" Type="http://schemas.openxmlformats.org/officeDocument/2006/relationships/hyperlink" Target="https://youtu.be/f0UGrqqRLi8?si=s6Ye--eCVSPO4UQb&amp;t=312" TargetMode="External"/><Relationship Id="rId4" Type="http://schemas.openxmlformats.org/officeDocument/2006/relationships/hyperlink" Target="https://en.wikipedia.org/wiki/Arrow_3" TargetMode="External"/><Relationship Id="rId9" Type="http://schemas.openxmlformats.org/officeDocument/2006/relationships/hyperlink" Target="https://en.wikipedia.org/wiki/David%27s_Sling" TargetMode="External"/><Relationship Id="rId14" Type="http://schemas.openxmlformats.org/officeDocument/2006/relationships/hyperlink" Target="https://www.youtube.com/watch?v=DZ5xoJfqXA4&amp;t=79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cia.gov/the-world-factbook/field/electricity/" TargetMode="External"/><Relationship Id="rId2" Type="http://schemas.openxmlformats.org/officeDocument/2006/relationships/hyperlink" Target="https://en.wikipedia.org/wiki/Venezuela" TargetMode="External"/><Relationship Id="rId1" Type="http://schemas.openxmlformats.org/officeDocument/2006/relationships/hyperlink" Target="https://www.cia.gov/the-world-factbook/field/electricity/"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mil.gov.ua/en/news/2023/06/15/the-total-combat-losses-of-the-enemy-from-24-02-2022-to-15-06-2023/" TargetMode="External"/><Relationship Id="rId18" Type="http://schemas.openxmlformats.org/officeDocument/2006/relationships/hyperlink" Target="https://twitter.com/HMexperienceDK/status/1768915880694391294" TargetMode="External"/><Relationship Id="rId26" Type="http://schemas.openxmlformats.org/officeDocument/2006/relationships/hyperlink" Target="https://www.oryxspioenkop.com/2022/02/attack-on-europe-documenting-equipment.html" TargetMode="External"/><Relationship Id="rId39" Type="http://schemas.openxmlformats.org/officeDocument/2006/relationships/hyperlink" Target="https://twitter.com/EuromaidanPress/status/1778299697494462846" TargetMode="External"/><Relationship Id="rId21" Type="http://schemas.openxmlformats.org/officeDocument/2006/relationships/hyperlink" Target="https://www.oryxspioenkop.com/2022/02/attack-on-europe-documenting-equipment.html" TargetMode="External"/><Relationship Id="rId34" Type="http://schemas.openxmlformats.org/officeDocument/2006/relationships/hyperlink" Target="https://www.oryxspioenkop.com/2022/02/attack-on-europe-documenting-equipment.html" TargetMode="External"/><Relationship Id="rId42" Type="http://schemas.openxmlformats.org/officeDocument/2006/relationships/hyperlink" Target="https://twitter.com/EuromaidanPress/status/1778299697494462846" TargetMode="External"/><Relationship Id="rId7" Type="http://schemas.openxmlformats.org/officeDocument/2006/relationships/hyperlink" Target="https://www.minusrus.com/en" TargetMode="External"/><Relationship Id="rId2" Type="http://schemas.openxmlformats.org/officeDocument/2006/relationships/hyperlink" Target="https://www.mil.gov.ua/en/news/2023/06/15/the-total-combat-losses-of-the-enemy-from-24-02-2022-to-15-06-2023/" TargetMode="External"/><Relationship Id="rId16" Type="http://schemas.openxmlformats.org/officeDocument/2006/relationships/hyperlink" Target="https://twitter.com/HMexperienceDK/status/1768915880694391294" TargetMode="External"/><Relationship Id="rId29" Type="http://schemas.openxmlformats.org/officeDocument/2006/relationships/hyperlink" Target="https://www.oryxspioenkop.com/2022/02/attack-on-europe-documenting-ukrainian.html" TargetMode="External"/><Relationship Id="rId1" Type="http://schemas.openxmlformats.org/officeDocument/2006/relationships/hyperlink" Target="https://militarywatchmagazine.com/article/850-obsolete-tanks-can-t-stop-russia-ukraine-chose-sheer-numbers-over-modernisation-and-suffered" TargetMode="External"/><Relationship Id="rId6" Type="http://schemas.openxmlformats.org/officeDocument/2006/relationships/hyperlink" Target="https://www.minusrus.com/en" TargetMode="External"/><Relationship Id="rId11" Type="http://schemas.openxmlformats.org/officeDocument/2006/relationships/hyperlink" Target="https://www.minusrus.com/en" TargetMode="External"/><Relationship Id="rId24" Type="http://schemas.openxmlformats.org/officeDocument/2006/relationships/hyperlink" Target="https://www.mil.gov.ua/en/news/2023/06/15/the-total-combat-losses-of-the-enemy-from-24-02-2022-to-15-06-2023/" TargetMode="External"/><Relationship Id="rId32" Type="http://schemas.openxmlformats.org/officeDocument/2006/relationships/hyperlink" Target="https://twitter.com/HMexperienceDK/status/1768915880694391294" TargetMode="External"/><Relationship Id="rId37" Type="http://schemas.openxmlformats.org/officeDocument/2006/relationships/hyperlink" Target="https://www.oryxspioenkop.com/2022/02/attack-on-europe-documenting-ukrainian.html" TargetMode="External"/><Relationship Id="rId40" Type="http://schemas.openxmlformats.org/officeDocument/2006/relationships/hyperlink" Target="https://twitter.com/HMexperienceDK/status/1768915880694391294" TargetMode="External"/><Relationship Id="rId45" Type="http://schemas.openxmlformats.org/officeDocument/2006/relationships/printerSettings" Target="../printerSettings/printerSettings3.bin"/><Relationship Id="rId5" Type="http://schemas.openxmlformats.org/officeDocument/2006/relationships/hyperlink" Target="https://www.mil.gov.ua/en/news/2023/06/15/the-total-combat-losses-of-the-enemy-from-24-02-2022-to-15-06-2023/" TargetMode="External"/><Relationship Id="rId15" Type="http://schemas.openxmlformats.org/officeDocument/2006/relationships/hyperlink" Target="https://twitter.com/HMexperienceDK/status/1768915880694391294" TargetMode="External"/><Relationship Id="rId23" Type="http://schemas.openxmlformats.org/officeDocument/2006/relationships/hyperlink" Target="https://www.oryxspioenkop.com/2022/02/attack-on-europe-documenting-ukrainian.html" TargetMode="External"/><Relationship Id="rId28" Type="http://schemas.openxmlformats.org/officeDocument/2006/relationships/hyperlink" Target="https://twitter.com/HMexperienceDK/status/1768915880694391294" TargetMode="External"/><Relationship Id="rId36" Type="http://schemas.openxmlformats.org/officeDocument/2006/relationships/hyperlink" Target="https://www.oryxspioenkop.com/2022/02/attack-on-europe-documenting-equipment.html" TargetMode="External"/><Relationship Id="rId10" Type="http://schemas.openxmlformats.org/officeDocument/2006/relationships/hyperlink" Target="https://www.minusrus.com/en" TargetMode="External"/><Relationship Id="rId19" Type="http://schemas.openxmlformats.org/officeDocument/2006/relationships/hyperlink" Target="https://twitter.com/HMexperienceDK/status/1768915880694391294" TargetMode="External"/><Relationship Id="rId31" Type="http://schemas.openxmlformats.org/officeDocument/2006/relationships/hyperlink" Target="https://www.oryxspioenkop.com/2022/02/attack-on-europe-documenting-ukrainian.html" TargetMode="External"/><Relationship Id="rId44" Type="http://schemas.openxmlformats.org/officeDocument/2006/relationships/hyperlink" Target="https://youtu.be/geSvbR9io3c?si=4v1rMojcgpSvUhp8&amp;t=592" TargetMode="External"/><Relationship Id="rId4" Type="http://schemas.openxmlformats.org/officeDocument/2006/relationships/hyperlink" Target="https://www.mil.gov.ua/en/news/2023/06/15/the-total-combat-losses-of-the-enemy-from-24-02-2022-to-15-06-2023/" TargetMode="External"/><Relationship Id="rId9" Type="http://schemas.openxmlformats.org/officeDocument/2006/relationships/hyperlink" Target="https://www.minusrus.com/en" TargetMode="External"/><Relationship Id="rId14" Type="http://schemas.openxmlformats.org/officeDocument/2006/relationships/hyperlink" Target="https://www.mil.gov.ua/en/news/2023/06/15/the-total-combat-losses-of-the-enemy-from-24-02-2022-to-15-06-2023/" TargetMode="External"/><Relationship Id="rId22" Type="http://schemas.openxmlformats.org/officeDocument/2006/relationships/hyperlink" Target="https://www.oryxspioenkop.com/2022/02/attack-on-europe-documenting-equipment.html" TargetMode="External"/><Relationship Id="rId27" Type="http://schemas.openxmlformats.org/officeDocument/2006/relationships/hyperlink" Target="https://twitter.com/HMexperienceDK/status/1768915880694391294" TargetMode="External"/><Relationship Id="rId30" Type="http://schemas.openxmlformats.org/officeDocument/2006/relationships/hyperlink" Target="https://www.oryxspioenkop.com/2022/02/attack-on-europe-documenting-equipment.html" TargetMode="External"/><Relationship Id="rId35" Type="http://schemas.openxmlformats.org/officeDocument/2006/relationships/hyperlink" Target="https://www.oryxspioenkop.com/2022/02/attack-on-europe-documenting-ukrainian.html" TargetMode="External"/><Relationship Id="rId43" Type="http://schemas.openxmlformats.org/officeDocument/2006/relationships/hyperlink" Target="https://www.businessinsider.com/russia-recruiting-30000-troops-a-month-ukraine-frontline-losses-analysts-2024-1" TargetMode="External"/><Relationship Id="rId8" Type="http://schemas.openxmlformats.org/officeDocument/2006/relationships/hyperlink" Target="https://www.minusrus.com/en" TargetMode="External"/><Relationship Id="rId3" Type="http://schemas.openxmlformats.org/officeDocument/2006/relationships/hyperlink" Target="https://www.mil.gov.ua/en/news/2023/06/15/the-total-combat-losses-of-the-enemy-from-24-02-2022-to-15-06-2023/" TargetMode="External"/><Relationship Id="rId12" Type="http://schemas.openxmlformats.org/officeDocument/2006/relationships/hyperlink" Target="https://www.mil.gov.ua/en/news/2023/06/15/the-total-combat-losses-of-the-enemy-from-24-02-2022-to-15-06-2023/" TargetMode="External"/><Relationship Id="rId17" Type="http://schemas.openxmlformats.org/officeDocument/2006/relationships/hyperlink" Target="https://twitter.com/HMexperienceDK/status/1768915880694391294" TargetMode="External"/><Relationship Id="rId25" Type="http://schemas.openxmlformats.org/officeDocument/2006/relationships/hyperlink" Target="https://www.oryxspioenkop.com/2022/02/attack-on-europe-documenting-equipment.html" TargetMode="External"/><Relationship Id="rId33" Type="http://schemas.openxmlformats.org/officeDocument/2006/relationships/hyperlink" Target="https://www.oryxspioenkop.com/2022/02/attack-on-europe-documenting-equipment.html" TargetMode="External"/><Relationship Id="rId38" Type="http://schemas.openxmlformats.org/officeDocument/2006/relationships/hyperlink" Target="https://twitter.com/EuromaidanPress/status/1778299697494462846" TargetMode="External"/><Relationship Id="rId20" Type="http://schemas.openxmlformats.org/officeDocument/2006/relationships/hyperlink" Target="https://twitter.com/HMexperienceDK/status/1768915880694391294" TargetMode="External"/><Relationship Id="rId41" Type="http://schemas.openxmlformats.org/officeDocument/2006/relationships/hyperlink" Target="https://www.mil.gov.ua/en/news/2023/06/15/the-total-combat-losses-of-the-enemy-from-24-02-2022-to-15-06-2023/"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xe.com/currencyconverter/convert/?Amount=1&amp;From=USD&amp;To=EUR" TargetMode="External"/><Relationship Id="rId13" Type="http://schemas.openxmlformats.org/officeDocument/2006/relationships/hyperlink" Target="https://tradingeconomics.com/japan/gdp" TargetMode="External"/><Relationship Id="rId18" Type="http://schemas.openxmlformats.org/officeDocument/2006/relationships/hyperlink" Target="https://tradingeconomics.com/sweden/gdp" TargetMode="External"/><Relationship Id="rId26" Type="http://schemas.openxmlformats.org/officeDocument/2006/relationships/hyperlink" Target="https://www.ifw-kiel.de/topics/war-against-ukraine/ukraine-support-tracker/" TargetMode="External"/><Relationship Id="rId3" Type="http://schemas.openxmlformats.org/officeDocument/2006/relationships/hyperlink" Target="https://www.ifw-kiel.de/topics/war-against-ukraine/ukraine-support-tracker/" TargetMode="External"/><Relationship Id="rId21" Type="http://schemas.openxmlformats.org/officeDocument/2006/relationships/hyperlink" Target="https://tradingeconomics.com/finland/gdp" TargetMode="External"/><Relationship Id="rId7" Type="http://schemas.openxmlformats.org/officeDocument/2006/relationships/hyperlink" Target="https://www.ifw-kiel.de/topics/war-against-ukraine/ukraine-support-tracker/" TargetMode="External"/><Relationship Id="rId12" Type="http://schemas.openxmlformats.org/officeDocument/2006/relationships/hyperlink" Target="https://tradingeconomics.com/norway/gdp" TargetMode="External"/><Relationship Id="rId17" Type="http://schemas.openxmlformats.org/officeDocument/2006/relationships/hyperlink" Target="https://tradingeconomics.com/denmark/gdp" TargetMode="External"/><Relationship Id="rId25" Type="http://schemas.openxmlformats.org/officeDocument/2006/relationships/hyperlink" Target="https://www.ifw-kiel.de/topics/war-against-ukraine/ukraine-support-tracker/" TargetMode="External"/><Relationship Id="rId2" Type="http://schemas.openxmlformats.org/officeDocument/2006/relationships/hyperlink" Target="https://www.ifw-kiel.de/topics/war-against-ukraine/ukraine-support-tracker/" TargetMode="External"/><Relationship Id="rId16" Type="http://schemas.openxmlformats.org/officeDocument/2006/relationships/hyperlink" Target="https://tradingeconomics.com/netherlands/gdp" TargetMode="External"/><Relationship Id="rId20" Type="http://schemas.openxmlformats.org/officeDocument/2006/relationships/hyperlink" Target="https://tradingeconomics.com/france/gdp" TargetMode="External"/><Relationship Id="rId29" Type="http://schemas.openxmlformats.org/officeDocument/2006/relationships/hyperlink" Target="https://tradingeconomics.com/russia/gdp" TargetMode="External"/><Relationship Id="rId1" Type="http://schemas.openxmlformats.org/officeDocument/2006/relationships/hyperlink" Target="https://www.ifw-kiel.de/topics/war-against-ukraine/ukraine-support-tracker/" TargetMode="External"/><Relationship Id="rId6" Type="http://schemas.openxmlformats.org/officeDocument/2006/relationships/hyperlink" Target="https://www.ifw-kiel.de/topics/war-against-ukraine/ukraine-support-tracker/" TargetMode="External"/><Relationship Id="rId11" Type="http://schemas.openxmlformats.org/officeDocument/2006/relationships/hyperlink" Target="https://tradingeconomics.com/united-kingdom/gdp" TargetMode="External"/><Relationship Id="rId24" Type="http://schemas.openxmlformats.org/officeDocument/2006/relationships/hyperlink" Target="https://en.wikipedia.org/wiki/Military_budget_of_Russia" TargetMode="External"/><Relationship Id="rId32" Type="http://schemas.openxmlformats.org/officeDocument/2006/relationships/printerSettings" Target="../printerSettings/printerSettings4.bin"/><Relationship Id="rId5" Type="http://schemas.openxmlformats.org/officeDocument/2006/relationships/hyperlink" Target="https://www.ifw-kiel.de/topics/war-against-ukraine/ukraine-support-tracker/" TargetMode="External"/><Relationship Id="rId15" Type="http://schemas.openxmlformats.org/officeDocument/2006/relationships/hyperlink" Target="https://tradingeconomics.com/poland/gdp" TargetMode="External"/><Relationship Id="rId23" Type="http://schemas.openxmlformats.org/officeDocument/2006/relationships/hyperlink" Target="https://tradingeconomics.com/italy/gdp" TargetMode="External"/><Relationship Id="rId28" Type="http://schemas.openxmlformats.org/officeDocument/2006/relationships/hyperlink" Target="https://www.wilsoncenter.org/blog-post/russias-unprecedented-war-budget-explained" TargetMode="External"/><Relationship Id="rId10" Type="http://schemas.openxmlformats.org/officeDocument/2006/relationships/hyperlink" Target="https://tradingeconomics.com/germany/gdp" TargetMode="External"/><Relationship Id="rId19" Type="http://schemas.openxmlformats.org/officeDocument/2006/relationships/hyperlink" Target="https://tradingeconomics.com/switzerland/gdp" TargetMode="External"/><Relationship Id="rId31" Type="http://schemas.openxmlformats.org/officeDocument/2006/relationships/hyperlink" Target="https://en.wikipedia.org/wiki/Economy_of_the_European_Union" TargetMode="External"/><Relationship Id="rId4" Type="http://schemas.openxmlformats.org/officeDocument/2006/relationships/hyperlink" Target="https://www.ifw-kiel.de/topics/war-against-ukraine/ukraine-support-tracker/" TargetMode="External"/><Relationship Id="rId9" Type="http://schemas.openxmlformats.org/officeDocument/2006/relationships/hyperlink" Target="https://tradingeconomics.com/united-states/gdp" TargetMode="External"/><Relationship Id="rId14" Type="http://schemas.openxmlformats.org/officeDocument/2006/relationships/hyperlink" Target="https://tradingeconomics.com/canada/gdp" TargetMode="External"/><Relationship Id="rId22" Type="http://schemas.openxmlformats.org/officeDocument/2006/relationships/hyperlink" Target="https://tradingeconomics.com/czech-republic/gdp" TargetMode="External"/><Relationship Id="rId27" Type="http://schemas.openxmlformats.org/officeDocument/2006/relationships/hyperlink" Target="https://tradingeconomics.com/ukraine/military-expenditure" TargetMode="External"/><Relationship Id="rId30" Type="http://schemas.openxmlformats.org/officeDocument/2006/relationships/hyperlink" Target="https://tradingeconomics.com/ukraine/gd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18567-14B0-4BE1-B453-464F98D92F67}">
  <dimension ref="A1:AK170"/>
  <sheetViews>
    <sheetView tabSelected="1" workbookViewId="0">
      <pane xSplit="2" ySplit="8" topLeftCell="C9" activePane="bottomRight" state="frozen"/>
      <selection pane="topRight" activeCell="C1" sqref="C1"/>
      <selection pane="bottomLeft" activeCell="A9" sqref="A9"/>
      <selection pane="bottomRight" activeCell="B1" sqref="B1"/>
    </sheetView>
  </sheetViews>
  <sheetFormatPr defaultRowHeight="14.5" x14ac:dyDescent="0.35"/>
  <cols>
    <col min="1" max="1" width="5.36328125" customWidth="1"/>
    <col min="2" max="2" width="45.08984375" customWidth="1"/>
    <col min="3" max="3" width="9.6328125" customWidth="1"/>
    <col min="4" max="4" width="9.90625" customWidth="1"/>
    <col min="5" max="5" width="8.90625" customWidth="1"/>
    <col min="6" max="6" width="9.08984375" customWidth="1"/>
    <col min="7" max="7" width="9.7265625" customWidth="1"/>
    <col min="8" max="8" width="10.36328125" customWidth="1"/>
    <col min="9" max="14" width="9.26953125" customWidth="1"/>
    <col min="15" max="15" width="10.26953125" customWidth="1"/>
    <col min="16" max="17" width="9.81640625" customWidth="1"/>
    <col min="18" max="18" width="13.36328125" customWidth="1"/>
    <col min="19" max="19" width="9.81640625" customWidth="1"/>
    <col min="20" max="20" width="6.54296875" customWidth="1"/>
    <col min="21" max="21" width="8.36328125" customWidth="1"/>
    <col min="22" max="22" width="10" customWidth="1"/>
    <col min="23" max="23" width="10.6328125" customWidth="1"/>
    <col min="24" max="24" width="6.08984375" customWidth="1"/>
    <col min="25" max="25" width="10.6328125" customWidth="1"/>
    <col min="26" max="26" width="9.54296875" customWidth="1"/>
    <col min="27" max="27" width="10.08984375" customWidth="1"/>
    <col min="28" max="28" width="5.1796875" customWidth="1"/>
    <col min="29" max="29" width="10.81640625" customWidth="1"/>
    <col min="30" max="30" width="12.36328125" customWidth="1"/>
    <col min="31" max="31" width="10.81640625" customWidth="1"/>
  </cols>
  <sheetData>
    <row r="1" spans="1:36" ht="28.5" x14ac:dyDescent="0.65">
      <c r="A1" s="1" t="s">
        <v>2948</v>
      </c>
    </row>
    <row r="2" spans="1:36" x14ac:dyDescent="0.35">
      <c r="A2" s="434" t="str">
        <f>UkrAid24jan2022ToOct312023!$A$2</f>
        <v>Proprietary. © H. Mathiesen. This material can be used by others free of charge provided that the author H. Mathiesen is attributed and a clickable link is made visible to the location of used material on www.hmexperience.dk</v>
      </c>
      <c r="AC2" t="s">
        <v>1657</v>
      </c>
      <c r="AE2" s="4" t="s">
        <v>1421</v>
      </c>
    </row>
    <row r="3" spans="1:36" x14ac:dyDescent="0.35">
      <c r="A3" s="456" t="str">
        <f>UkrAid24jan2022ToOct312023!A3</f>
        <v>Links to all sources are available in sources table below</v>
      </c>
      <c r="B3" s="458"/>
      <c r="E3" s="159"/>
      <c r="F3" s="159"/>
      <c r="G3" s="159"/>
      <c r="H3" s="159"/>
    </row>
    <row r="4" spans="1:36" x14ac:dyDescent="0.35">
      <c r="E4" s="159"/>
      <c r="F4" s="159"/>
      <c r="G4" s="159"/>
      <c r="H4" s="159"/>
      <c r="AC4" s="3" t="s">
        <v>1408</v>
      </c>
      <c r="AD4" s="3" t="s">
        <v>1375</v>
      </c>
      <c r="AE4" s="3" t="s">
        <v>1615</v>
      </c>
      <c r="AF4" s="3" t="s">
        <v>1713</v>
      </c>
      <c r="AG4" s="3" t="s">
        <v>190</v>
      </c>
      <c r="AH4" s="3" t="s">
        <v>1659</v>
      </c>
      <c r="AJ4" s="3" t="s">
        <v>1709</v>
      </c>
    </row>
    <row r="5" spans="1:36" ht="24" thickBot="1" x14ac:dyDescent="0.6">
      <c r="B5" s="435" t="s">
        <v>1544</v>
      </c>
      <c r="C5" s="435"/>
      <c r="D5" s="435"/>
      <c r="E5" s="263"/>
      <c r="F5" s="263"/>
      <c r="G5" s="263"/>
      <c r="H5" s="263"/>
      <c r="I5" s="263"/>
      <c r="J5" s="263"/>
      <c r="K5" s="263"/>
      <c r="L5" s="263"/>
      <c r="M5" s="263"/>
      <c r="N5" s="263"/>
      <c r="O5" s="263"/>
      <c r="P5" s="263"/>
      <c r="Q5" s="263"/>
      <c r="R5" s="263"/>
      <c r="S5" s="263"/>
      <c r="T5" s="263"/>
      <c r="U5" s="263"/>
      <c r="V5" s="263"/>
      <c r="W5" s="263"/>
      <c r="X5" s="263"/>
      <c r="Y5" s="263"/>
      <c r="Z5" s="435"/>
      <c r="AA5" s="435"/>
      <c r="AB5" s="3"/>
    </row>
    <row r="6" spans="1:36" ht="15" thickTop="1" x14ac:dyDescent="0.35">
      <c r="B6" s="439" t="s">
        <v>1720</v>
      </c>
      <c r="C6" s="437" t="s">
        <v>1316</v>
      </c>
      <c r="D6" s="438" t="s">
        <v>211</v>
      </c>
      <c r="E6" s="438" t="s">
        <v>1324</v>
      </c>
      <c r="F6" s="438" t="s">
        <v>1320</v>
      </c>
      <c r="G6" s="438" t="s">
        <v>1692</v>
      </c>
      <c r="H6" s="438" t="s">
        <v>1326</v>
      </c>
      <c r="I6" s="438" t="s">
        <v>1553</v>
      </c>
      <c r="J6" s="438" t="s">
        <v>1625</v>
      </c>
      <c r="K6" s="438" t="s">
        <v>1625</v>
      </c>
      <c r="L6" s="438" t="s">
        <v>1625</v>
      </c>
      <c r="M6" s="438" t="s">
        <v>1625</v>
      </c>
      <c r="N6" s="438" t="s">
        <v>1625</v>
      </c>
      <c r="O6" s="438" t="s">
        <v>1547</v>
      </c>
      <c r="P6" s="438" t="s">
        <v>1514</v>
      </c>
      <c r="Q6" s="438" t="s">
        <v>1554</v>
      </c>
      <c r="R6" s="438" t="s">
        <v>1625</v>
      </c>
      <c r="S6" s="438" t="s">
        <v>1625</v>
      </c>
      <c r="T6" s="438" t="s">
        <v>1320</v>
      </c>
      <c r="U6" s="438" t="s">
        <v>1320</v>
      </c>
      <c r="V6" s="438" t="s">
        <v>1335</v>
      </c>
      <c r="W6" s="438" t="s">
        <v>1320</v>
      </c>
      <c r="X6" s="438" t="s">
        <v>1320</v>
      </c>
      <c r="Y6" s="558" t="s">
        <v>1320</v>
      </c>
      <c r="Z6" s="437" t="s">
        <v>1319</v>
      </c>
      <c r="AA6" s="558" t="s">
        <v>1323</v>
      </c>
      <c r="AB6" s="3"/>
    </row>
    <row r="7" spans="1:36" x14ac:dyDescent="0.35">
      <c r="B7" s="564" t="s">
        <v>1722</v>
      </c>
      <c r="C7" s="564" t="s">
        <v>1073</v>
      </c>
      <c r="D7" s="441" t="s">
        <v>1341</v>
      </c>
      <c r="E7" s="441" t="s">
        <v>1321</v>
      </c>
      <c r="F7" s="441" t="s">
        <v>1321</v>
      </c>
      <c r="G7" s="441" t="s">
        <v>1693</v>
      </c>
      <c r="H7" s="441" t="s">
        <v>1327</v>
      </c>
      <c r="I7" s="441" t="s">
        <v>1552</v>
      </c>
      <c r="J7" s="441" t="s">
        <v>1444</v>
      </c>
      <c r="K7" s="441" t="s">
        <v>1447</v>
      </c>
      <c r="L7" s="441" t="s">
        <v>1450</v>
      </c>
      <c r="M7" s="441" t="s">
        <v>1446</v>
      </c>
      <c r="N7" s="441" t="s">
        <v>1451</v>
      </c>
      <c r="O7" s="441" t="s">
        <v>1453</v>
      </c>
      <c r="P7" s="441" t="s">
        <v>1515</v>
      </c>
      <c r="Q7" s="441" t="s">
        <v>1330</v>
      </c>
      <c r="R7" s="441" t="s">
        <v>1779</v>
      </c>
      <c r="S7" s="441" t="s">
        <v>1446</v>
      </c>
      <c r="T7" s="441" t="s">
        <v>1332</v>
      </c>
      <c r="U7" s="441" t="s">
        <v>1333</v>
      </c>
      <c r="V7" s="441" t="s">
        <v>1336</v>
      </c>
      <c r="W7" s="441" t="s">
        <v>1337</v>
      </c>
      <c r="X7" s="441" t="s">
        <v>1338</v>
      </c>
      <c r="Y7" s="559" t="s">
        <v>1340</v>
      </c>
      <c r="Z7" s="564" t="s">
        <v>1318</v>
      </c>
      <c r="AA7" s="559" t="s">
        <v>1321</v>
      </c>
      <c r="AB7" s="3"/>
    </row>
    <row r="8" spans="1:36" ht="15" thickBot="1" x14ac:dyDescent="0.4">
      <c r="B8" s="544" t="s">
        <v>1668</v>
      </c>
      <c r="C8" s="571" t="s">
        <v>146</v>
      </c>
      <c r="D8" s="565"/>
      <c r="E8" s="445" t="s">
        <v>1325</v>
      </c>
      <c r="F8" s="445" t="s">
        <v>1331</v>
      </c>
      <c r="G8" s="445" t="s">
        <v>146</v>
      </c>
      <c r="H8" s="445" t="s">
        <v>1328</v>
      </c>
      <c r="I8" s="445" t="s">
        <v>1785</v>
      </c>
      <c r="J8" s="445" t="s">
        <v>1329</v>
      </c>
      <c r="K8" s="445" t="s">
        <v>1448</v>
      </c>
      <c r="L8" s="445" t="s">
        <v>1449</v>
      </c>
      <c r="M8" s="445" t="s">
        <v>1329</v>
      </c>
      <c r="N8" s="445" t="s">
        <v>1329</v>
      </c>
      <c r="O8" s="445" t="s">
        <v>1454</v>
      </c>
      <c r="P8" s="445" t="s">
        <v>1516</v>
      </c>
      <c r="Q8" s="445" t="s">
        <v>1329</v>
      </c>
      <c r="R8" s="445" t="s">
        <v>1445</v>
      </c>
      <c r="S8" s="445" t="s">
        <v>1445</v>
      </c>
      <c r="T8" s="445"/>
      <c r="U8" s="445" t="s">
        <v>1334</v>
      </c>
      <c r="V8" s="445" t="s">
        <v>1703</v>
      </c>
      <c r="W8" s="445" t="s">
        <v>1782</v>
      </c>
      <c r="X8" s="445" t="s">
        <v>1339</v>
      </c>
      <c r="Y8" s="446"/>
      <c r="Z8" s="571" t="s">
        <v>1317</v>
      </c>
      <c r="AA8" s="446" t="s">
        <v>1322</v>
      </c>
      <c r="AB8" s="3"/>
    </row>
    <row r="9" spans="1:36" ht="15" thickTop="1" x14ac:dyDescent="0.35">
      <c r="A9">
        <v>1</v>
      </c>
      <c r="B9" s="233" t="s">
        <v>2366</v>
      </c>
      <c r="C9" s="181"/>
      <c r="D9" s="473"/>
      <c r="E9" s="192"/>
      <c r="F9" s="192"/>
      <c r="G9" s="192"/>
      <c r="H9" s="192"/>
      <c r="I9" s="192"/>
      <c r="J9" s="192"/>
      <c r="K9" s="192"/>
      <c r="L9" s="192"/>
      <c r="M9" s="192"/>
      <c r="N9" s="192"/>
      <c r="O9" s="192"/>
      <c r="P9" s="192"/>
      <c r="Q9" s="192"/>
      <c r="R9" s="192"/>
      <c r="S9" s="192"/>
      <c r="T9" s="192"/>
      <c r="U9" s="192"/>
      <c r="V9" s="192"/>
      <c r="W9" s="192"/>
      <c r="X9" s="192"/>
      <c r="Y9" s="560"/>
      <c r="Z9" s="835"/>
      <c r="AA9" s="563"/>
      <c r="AB9">
        <v>1</v>
      </c>
      <c r="AC9" t="s">
        <v>34</v>
      </c>
    </row>
    <row r="10" spans="1:36" x14ac:dyDescent="0.35">
      <c r="A10">
        <f>A9+1</f>
        <v>2</v>
      </c>
      <c r="B10" s="7" t="s">
        <v>2307</v>
      </c>
      <c r="C10" s="757">
        <v>2184</v>
      </c>
      <c r="D10" s="227">
        <v>143.69999999999999</v>
      </c>
      <c r="E10" s="218">
        <v>1500000</v>
      </c>
      <c r="F10" s="218">
        <v>2000000</v>
      </c>
      <c r="G10" s="751">
        <f t="shared" ref="G10:G15" si="0">C10*H10</f>
        <v>131.04</v>
      </c>
      <c r="H10" s="642">
        <v>0.06</v>
      </c>
      <c r="I10" s="218">
        <f>UkrWar_KillRatios!BO32</f>
        <v>1211.3333333333335</v>
      </c>
      <c r="J10" s="218">
        <f>WeaponsSpecs!P229+WeaponsSpecs!P230+WeaponsSpecs!P231+WeaponsSpecs!P232+WeaponsSpecs!P233</f>
        <v>872</v>
      </c>
      <c r="K10" s="218">
        <f>WeaponsSpecs!P226+WeaponsSpecs!P227+WeaponsSpecs!P228</f>
        <v>120</v>
      </c>
      <c r="L10" s="218">
        <f>WeaponsSpecs!P241</f>
        <v>20</v>
      </c>
      <c r="M10" s="218" t="s">
        <v>34</v>
      </c>
      <c r="N10" s="218">
        <f>WeaponsSpecs!P249</f>
        <v>6</v>
      </c>
      <c r="O10" s="218" t="s">
        <v>34</v>
      </c>
      <c r="P10" s="218" t="s">
        <v>34</v>
      </c>
      <c r="Q10" s="218">
        <f>UkrWar_KillRatios!BO33</f>
        <v>831.09068627450961</v>
      </c>
      <c r="R10" s="218">
        <f>WeaponsSpecs!P250+WeaponsSpecs!P253</f>
        <v>249</v>
      </c>
      <c r="S10" s="218">
        <f>Q10-R10</f>
        <v>582.09068627450961</v>
      </c>
      <c r="T10" s="218">
        <f>UkrWar_KillRatios!BO10</f>
        <v>6941.8333333333339</v>
      </c>
      <c r="U10" s="218">
        <f>UkrWar_KillRatios!BO18</f>
        <v>15773.173913043476</v>
      </c>
      <c r="V10" s="218">
        <f>UkrWar_KillRatios!BO25</f>
        <v>9809.3207547169804</v>
      </c>
      <c r="W10" s="218">
        <f>UkrWar_KillRatios!BO31</f>
        <v>2587.5064102564102</v>
      </c>
      <c r="X10" s="643" t="str">
        <f>UkrWar_KillRatios!D37</f>
        <v>519 entire Rus</v>
      </c>
      <c r="Y10" s="644" t="str">
        <f>UkrWar_KillRatios!D38</f>
        <v>64 entire Rus</v>
      </c>
      <c r="Z10" s="217" t="s">
        <v>34</v>
      </c>
      <c r="AA10" s="219" t="s">
        <v>34</v>
      </c>
      <c r="AB10">
        <f>AB9+1</f>
        <v>2</v>
      </c>
      <c r="AC10" t="s">
        <v>1705</v>
      </c>
      <c r="AD10" s="4" t="s">
        <v>1418</v>
      </c>
      <c r="AE10" s="4" t="s">
        <v>704</v>
      </c>
      <c r="AF10" t="s">
        <v>34</v>
      </c>
    </row>
    <row r="11" spans="1:36" x14ac:dyDescent="0.35">
      <c r="A11">
        <f t="shared" ref="A11:A17" si="1">A10+1</f>
        <v>3</v>
      </c>
      <c r="B11" s="7" t="s">
        <v>2323</v>
      </c>
      <c r="C11" s="758">
        <v>69</v>
      </c>
      <c r="D11" s="174">
        <v>9.1</v>
      </c>
      <c r="E11" s="172">
        <v>63000</v>
      </c>
      <c r="F11" s="172">
        <v>365400</v>
      </c>
      <c r="G11" s="747">
        <f t="shared" si="0"/>
        <v>0.82800000000000007</v>
      </c>
      <c r="H11" s="601">
        <v>1.2E-2</v>
      </c>
      <c r="I11" s="172">
        <f>SUM(J11:O11)+11+10+1</f>
        <v>133</v>
      </c>
      <c r="J11" s="172">
        <f>33+70+4</f>
        <v>107</v>
      </c>
      <c r="K11" s="172">
        <v>0</v>
      </c>
      <c r="L11" s="172">
        <v>0</v>
      </c>
      <c r="M11" s="172">
        <f>2+2</f>
        <v>4</v>
      </c>
      <c r="N11" s="172">
        <v>0</v>
      </c>
      <c r="O11" s="172">
        <v>0</v>
      </c>
      <c r="P11" s="172">
        <v>0</v>
      </c>
      <c r="Q11" s="172">
        <f t="shared" ref="Q11:Q18" si="2">SUM(R11:S11)</f>
        <v>64</v>
      </c>
      <c r="R11" s="172">
        <v>25</v>
      </c>
      <c r="S11" s="172">
        <f>36+3</f>
        <v>39</v>
      </c>
      <c r="T11" s="172">
        <f>400+800</f>
        <v>1200</v>
      </c>
      <c r="U11" s="172">
        <f>132+13+78+906+31+64+153</f>
        <v>1377</v>
      </c>
      <c r="V11" s="172">
        <f>539+206</f>
        <v>745</v>
      </c>
      <c r="W11" s="172">
        <f>21+4+2</f>
        <v>27</v>
      </c>
      <c r="X11" s="172">
        <v>0</v>
      </c>
      <c r="Y11" s="166">
        <v>0</v>
      </c>
      <c r="Z11" s="450" t="s">
        <v>34</v>
      </c>
      <c r="AA11" s="166" t="s">
        <v>34</v>
      </c>
      <c r="AB11">
        <f t="shared" ref="AB11:AB51" si="3">AB10+1</f>
        <v>3</v>
      </c>
      <c r="AC11" s="4" t="s">
        <v>1366</v>
      </c>
      <c r="AD11" t="s">
        <v>1566</v>
      </c>
      <c r="AF11" t="s">
        <v>34</v>
      </c>
    </row>
    <row r="12" spans="1:36" x14ac:dyDescent="0.35">
      <c r="A12">
        <f t="shared" si="1"/>
        <v>4</v>
      </c>
      <c r="B12" s="7" t="s">
        <v>2324</v>
      </c>
      <c r="C12" s="758">
        <v>33</v>
      </c>
      <c r="D12" s="174">
        <v>3.7</v>
      </c>
      <c r="E12" s="172">
        <v>37000</v>
      </c>
      <c r="F12" s="172">
        <v>27000</v>
      </c>
      <c r="G12" s="747">
        <f t="shared" si="0"/>
        <v>0.46529999999999999</v>
      </c>
      <c r="H12" s="601">
        <v>1.41E-2</v>
      </c>
      <c r="I12" s="172">
        <f>SUM(J12:O12)+8</f>
        <v>16</v>
      </c>
      <c r="J12" s="172">
        <f>2+2</f>
        <v>4</v>
      </c>
      <c r="K12" s="172">
        <v>0</v>
      </c>
      <c r="L12" s="172">
        <v>0</v>
      </c>
      <c r="M12" s="172">
        <f>2+2</f>
        <v>4</v>
      </c>
      <c r="N12" s="172">
        <v>0</v>
      </c>
      <c r="O12" s="172">
        <v>0</v>
      </c>
      <c r="P12" s="172">
        <v>0</v>
      </c>
      <c r="Q12" s="172">
        <f t="shared" si="2"/>
        <v>38</v>
      </c>
      <c r="R12" s="172">
        <v>9</v>
      </c>
      <c r="S12" s="172">
        <f>15+2+12</f>
        <v>29</v>
      </c>
      <c r="T12" s="172">
        <f>100+23</f>
        <v>123</v>
      </c>
      <c r="U12" s="172">
        <f>25+46+19+25+66+13+65+3+10+46</f>
        <v>318</v>
      </c>
      <c r="V12" s="172">
        <f>6+13+1+1+32+10+3</f>
        <v>66</v>
      </c>
      <c r="W12" s="172">
        <f>1+8</f>
        <v>9</v>
      </c>
      <c r="X12" s="172">
        <f>2+2+1+2+7</f>
        <v>14</v>
      </c>
      <c r="Y12" s="166">
        <v>0</v>
      </c>
      <c r="Z12" s="450" t="s">
        <v>34</v>
      </c>
      <c r="AA12" s="166" t="s">
        <v>34</v>
      </c>
      <c r="AB12">
        <f t="shared" si="3"/>
        <v>4</v>
      </c>
      <c r="AC12" s="4" t="s">
        <v>1663</v>
      </c>
      <c r="AD12" s="4" t="s">
        <v>1665</v>
      </c>
      <c r="AE12" t="s">
        <v>1666</v>
      </c>
      <c r="AF12" t="s">
        <v>1667</v>
      </c>
      <c r="AG12" t="s">
        <v>2923</v>
      </c>
    </row>
    <row r="13" spans="1:36" x14ac:dyDescent="0.35">
      <c r="A13">
        <f t="shared" si="1"/>
        <v>5</v>
      </c>
      <c r="B13" s="7" t="s">
        <v>2929</v>
      </c>
      <c r="C13" s="758">
        <v>223</v>
      </c>
      <c r="D13" s="174">
        <v>9.6</v>
      </c>
      <c r="E13" s="172">
        <v>41600</v>
      </c>
      <c r="F13" s="172">
        <v>20000</v>
      </c>
      <c r="G13" s="747">
        <f t="shared" si="0"/>
        <v>4.7721999999999998</v>
      </c>
      <c r="H13" s="601">
        <v>2.1399999999999999E-2</v>
      </c>
      <c r="I13" s="172">
        <f>SUM(J13:O13)+6+2+2+2</f>
        <v>29</v>
      </c>
      <c r="J13" s="172">
        <v>12</v>
      </c>
      <c r="K13" s="172">
        <v>0</v>
      </c>
      <c r="L13" s="172">
        <v>1</v>
      </c>
      <c r="M13" s="172">
        <f>2+2</f>
        <v>4</v>
      </c>
      <c r="N13" s="172">
        <v>0</v>
      </c>
      <c r="O13" s="172">
        <v>0</v>
      </c>
      <c r="P13" s="172">
        <v>0</v>
      </c>
      <c r="Q13" s="172">
        <f t="shared" si="2"/>
        <v>44</v>
      </c>
      <c r="R13" s="172">
        <v>8</v>
      </c>
      <c r="S13" s="172">
        <f>7+19+10</f>
        <v>36</v>
      </c>
      <c r="T13" s="172">
        <f>34+164+24+12</f>
        <v>234</v>
      </c>
      <c r="U13" s="172">
        <f>120+260+12+4+30+73+20+13+42</f>
        <v>574</v>
      </c>
      <c r="V13" s="172">
        <f>12+283+24</f>
        <v>319</v>
      </c>
      <c r="W13" s="172">
        <f>1+12+32+45+2</f>
        <v>92</v>
      </c>
      <c r="X13" s="172">
        <v>0</v>
      </c>
      <c r="Y13" s="166">
        <v>0</v>
      </c>
      <c r="Z13" s="450" t="s">
        <v>34</v>
      </c>
      <c r="AA13" s="166" t="s">
        <v>34</v>
      </c>
      <c r="AB13">
        <f t="shared" si="3"/>
        <v>5</v>
      </c>
      <c r="AC13" s="4" t="s">
        <v>1643</v>
      </c>
      <c r="AD13" t="s">
        <v>1644</v>
      </c>
      <c r="AE13" s="4" t="s">
        <v>1645</v>
      </c>
      <c r="AF13" s="4" t="s">
        <v>1646</v>
      </c>
      <c r="AG13" t="s">
        <v>34</v>
      </c>
    </row>
    <row r="14" spans="1:36" x14ac:dyDescent="0.35">
      <c r="A14">
        <f t="shared" si="1"/>
        <v>6</v>
      </c>
      <c r="B14" s="7" t="s">
        <v>2930</v>
      </c>
      <c r="C14" s="758">
        <v>541</v>
      </c>
      <c r="D14" s="174">
        <v>9</v>
      </c>
      <c r="E14" s="172">
        <v>25000</v>
      </c>
      <c r="F14" s="172">
        <v>125600</v>
      </c>
      <c r="G14" s="747">
        <f t="shared" si="0"/>
        <v>5.41</v>
      </c>
      <c r="H14" s="601">
        <v>0.01</v>
      </c>
      <c r="I14" s="172">
        <f>SUM(J14:O14)</f>
        <v>18</v>
      </c>
      <c r="J14" s="172">
        <v>15</v>
      </c>
      <c r="K14" s="172">
        <v>0</v>
      </c>
      <c r="L14" s="172">
        <v>0</v>
      </c>
      <c r="M14" s="172">
        <v>3</v>
      </c>
      <c r="N14" s="172">
        <v>0</v>
      </c>
      <c r="O14" s="172">
        <v>0</v>
      </c>
      <c r="P14" s="172">
        <v>0</v>
      </c>
      <c r="Q14" s="172">
        <f t="shared" si="2"/>
        <v>45</v>
      </c>
      <c r="R14" s="172">
        <v>0</v>
      </c>
      <c r="S14" s="172">
        <f>10+23+9+3</f>
        <v>45</v>
      </c>
      <c r="T14" s="172">
        <f>56</f>
        <v>56</v>
      </c>
      <c r="U14" s="172">
        <f>112+68+64+32+20+46</f>
        <v>342</v>
      </c>
      <c r="V14" s="172" t="s">
        <v>34</v>
      </c>
      <c r="W14" s="172">
        <f>18+72</f>
        <v>90</v>
      </c>
      <c r="X14" s="172">
        <v>0</v>
      </c>
      <c r="Y14" s="166">
        <v>0</v>
      </c>
      <c r="Z14" s="450" t="s">
        <v>34</v>
      </c>
      <c r="AA14" s="166" t="s">
        <v>34</v>
      </c>
      <c r="AB14">
        <f t="shared" si="3"/>
        <v>6</v>
      </c>
      <c r="AC14" s="4" t="s">
        <v>1670</v>
      </c>
      <c r="AD14" t="s">
        <v>1671</v>
      </c>
      <c r="AF14" s="4" t="s">
        <v>1675</v>
      </c>
      <c r="AG14" t="s">
        <v>34</v>
      </c>
    </row>
    <row r="15" spans="1:36" x14ac:dyDescent="0.35">
      <c r="A15">
        <f t="shared" si="1"/>
        <v>7</v>
      </c>
      <c r="B15" s="7" t="s">
        <v>2367</v>
      </c>
      <c r="C15" s="757">
        <v>188</v>
      </c>
      <c r="D15" s="227">
        <v>33.299999999999997</v>
      </c>
      <c r="E15" s="218">
        <v>1260000</v>
      </c>
      <c r="F15" s="218" t="s">
        <v>34</v>
      </c>
      <c r="G15" s="747">
        <f t="shared" si="0"/>
        <v>69.56</v>
      </c>
      <c r="H15" s="642">
        <v>0.37</v>
      </c>
      <c r="I15" s="172">
        <f>SUM(J15:O15)+44</f>
        <v>226</v>
      </c>
      <c r="J15" s="218">
        <f>47+14+20+31+9</f>
        <v>121</v>
      </c>
      <c r="K15" s="218">
        <v>0</v>
      </c>
      <c r="L15" s="218">
        <v>0</v>
      </c>
      <c r="M15" s="218">
        <f>33+22+1</f>
        <v>56</v>
      </c>
      <c r="N15" s="218">
        <f>WeaponsSpecs!P248</f>
        <v>2</v>
      </c>
      <c r="O15" s="218">
        <v>3</v>
      </c>
      <c r="P15" s="218">
        <v>0</v>
      </c>
      <c r="Q15" s="172">
        <f t="shared" si="2"/>
        <v>39</v>
      </c>
      <c r="R15" s="218">
        <v>0</v>
      </c>
      <c r="S15" s="218">
        <f>15+2+22</f>
        <v>39</v>
      </c>
      <c r="T15" s="218">
        <f>26+200+520+80+5+26+88+60+13+31</f>
        <v>1049</v>
      </c>
      <c r="U15" s="218">
        <f>35+50+23+120+8+400+54+40+353+28+140+300+48+200+75+90+125+40+510+30+92+6+20+217+224+250+36+39+189+250+20+26</f>
        <v>4038</v>
      </c>
      <c r="V15" s="218">
        <f>50+75+70+14+20+130+70+120+35+12+30+26+17+28+53+8+90+8+20+20+100+8+4+35+23+38+40</f>
        <v>1144</v>
      </c>
      <c r="W15" s="218">
        <f>8+2+3+50+8+4+2+6+5+1+3+12</f>
        <v>104</v>
      </c>
      <c r="X15" s="643" t="s">
        <v>1363</v>
      </c>
      <c r="Y15" s="219">
        <v>0</v>
      </c>
      <c r="Z15" s="217" t="s">
        <v>34</v>
      </c>
      <c r="AA15" s="219" t="s">
        <v>34</v>
      </c>
      <c r="AB15">
        <f t="shared" si="3"/>
        <v>7</v>
      </c>
      <c r="AC15" t="s">
        <v>1704</v>
      </c>
      <c r="AD15" t="s">
        <v>1419</v>
      </c>
      <c r="AE15" t="s">
        <v>1701</v>
      </c>
      <c r="AF15" t="s">
        <v>1714</v>
      </c>
      <c r="AG15" t="s">
        <v>1712</v>
      </c>
    </row>
    <row r="16" spans="1:36" x14ac:dyDescent="0.35">
      <c r="A16">
        <f t="shared" si="1"/>
        <v>8</v>
      </c>
      <c r="B16" s="7" t="s">
        <v>2368</v>
      </c>
      <c r="C16" s="758">
        <f>UkrAid24Jan2022To15Jan2024!G17</f>
        <v>688</v>
      </c>
      <c r="D16" s="174">
        <f>UkrAid24Jan2022To15Jan2024!H17</f>
        <v>36.799999999999997</v>
      </c>
      <c r="E16" s="172">
        <v>216000</v>
      </c>
      <c r="F16" s="172">
        <v>670000</v>
      </c>
      <c r="G16" s="747">
        <f>UkrAid24Jan2022To15Jan2024!Q17</f>
        <v>32.129599999999996</v>
      </c>
      <c r="H16" s="601">
        <f>G16/C16</f>
        <v>4.6699999999999992E-2</v>
      </c>
      <c r="I16" s="172">
        <f>SUM(J16:O16)+15+3+6+24+27+3</f>
        <v>231</v>
      </c>
      <c r="J16" s="172">
        <f>36+12+13+6+12+6+12</f>
        <v>97</v>
      </c>
      <c r="K16" s="172">
        <v>0</v>
      </c>
      <c r="L16" s="172">
        <v>0</v>
      </c>
      <c r="M16" s="172">
        <f>1+2+16+5+3+2+2+23</f>
        <v>54</v>
      </c>
      <c r="N16" s="172">
        <v>2</v>
      </c>
      <c r="O16" s="172">
        <v>0</v>
      </c>
      <c r="P16" s="172">
        <v>0</v>
      </c>
      <c r="Q16" s="172">
        <f t="shared" si="2"/>
        <v>132</v>
      </c>
      <c r="R16" s="172">
        <v>18</v>
      </c>
      <c r="S16" s="172">
        <f>3+44+27+38+2</f>
        <v>114</v>
      </c>
      <c r="T16" s="172">
        <v>612</v>
      </c>
      <c r="U16" s="172"/>
      <c r="V16" s="172">
        <f>525+211</f>
        <v>736</v>
      </c>
      <c r="W16" s="172">
        <f>2+77+64+20+268+76+2+20+70</f>
        <v>599</v>
      </c>
      <c r="X16" s="172">
        <v>50</v>
      </c>
      <c r="Y16" s="166">
        <v>1</v>
      </c>
      <c r="Z16" s="450" t="s">
        <v>34</v>
      </c>
      <c r="AA16" s="166" t="s">
        <v>34</v>
      </c>
      <c r="AB16">
        <f t="shared" si="3"/>
        <v>8</v>
      </c>
      <c r="AC16" t="s">
        <v>1569</v>
      </c>
      <c r="AD16" s="4" t="s">
        <v>1570</v>
      </c>
      <c r="AF16" t="s">
        <v>34</v>
      </c>
    </row>
    <row r="17" spans="1:37" x14ac:dyDescent="0.35">
      <c r="A17">
        <f t="shared" si="1"/>
        <v>9</v>
      </c>
      <c r="B17" s="7" t="s">
        <v>2283</v>
      </c>
      <c r="C17" s="758">
        <f>UkrAid24Jan2022To15Jan2024!G22</f>
        <v>283</v>
      </c>
      <c r="D17" s="174">
        <f>UkrAid24Jan2022To15Jan2024!H22</f>
        <v>5.6</v>
      </c>
      <c r="E17" s="172">
        <v>24000</v>
      </c>
      <c r="F17" s="172">
        <v>870000</v>
      </c>
      <c r="G17" s="747">
        <f>C17*H17</f>
        <v>6.5089999999999995</v>
      </c>
      <c r="H17" s="601">
        <v>2.3E-2</v>
      </c>
      <c r="I17" s="172">
        <f>SUM(J17:O17)+3+6+35+28</f>
        <v>136</v>
      </c>
      <c r="J17" s="172">
        <f>54+7</f>
        <v>61</v>
      </c>
      <c r="K17" s="172">
        <v>0</v>
      </c>
      <c r="L17" s="172">
        <v>0</v>
      </c>
      <c r="M17" s="172">
        <f>2</f>
        <v>2</v>
      </c>
      <c r="N17" s="172">
        <v>0</v>
      </c>
      <c r="O17" s="172">
        <f>1</f>
        <v>1</v>
      </c>
      <c r="P17" s="172">
        <v>0</v>
      </c>
      <c r="Q17" s="172">
        <f t="shared" si="2"/>
        <v>22</v>
      </c>
      <c r="R17" s="172">
        <v>0</v>
      </c>
      <c r="S17" s="172">
        <f>20+2</f>
        <v>22</v>
      </c>
      <c r="T17" s="172">
        <f>100+100</f>
        <v>200</v>
      </c>
      <c r="U17" s="172">
        <f>110+102+320+74+62+4+464+101+48+164</f>
        <v>1449</v>
      </c>
      <c r="V17" s="172">
        <f>113+56+474+18+74+33+35+41</f>
        <v>844</v>
      </c>
      <c r="W17" s="172">
        <f>200+16+86+20+24+45+16+6</f>
        <v>413</v>
      </c>
      <c r="X17" s="172">
        <f>4+4+4+2+3+3+24</f>
        <v>44</v>
      </c>
      <c r="Y17" s="166">
        <v>0</v>
      </c>
      <c r="Z17" s="450" t="s">
        <v>34</v>
      </c>
      <c r="AA17" s="166" t="s">
        <v>34</v>
      </c>
      <c r="AB17">
        <f t="shared" si="3"/>
        <v>9</v>
      </c>
      <c r="AC17" t="s">
        <v>1580</v>
      </c>
      <c r="AD17" t="s">
        <v>1604</v>
      </c>
      <c r="AE17" s="4" t="s">
        <v>1605</v>
      </c>
      <c r="AF17" t="s">
        <v>34</v>
      </c>
    </row>
    <row r="18" spans="1:37" x14ac:dyDescent="0.35">
      <c r="A18">
        <f t="shared" ref="A18:A83" si="4">A17+1</f>
        <v>10</v>
      </c>
      <c r="B18" s="7" t="s">
        <v>2325</v>
      </c>
      <c r="C18" s="758">
        <f>UkrAid24Jan2022To15Jan2024!G14</f>
        <v>579</v>
      </c>
      <c r="D18" s="174">
        <f>UkrAid24Jan2022To15Jan2024!H14</f>
        <v>5.5</v>
      </c>
      <c r="E18" s="172">
        <v>33400</v>
      </c>
      <c r="F18" s="172">
        <v>40500</v>
      </c>
      <c r="G18" s="747">
        <f>C18*H18</f>
        <v>11.58</v>
      </c>
      <c r="H18" s="601">
        <v>0.02</v>
      </c>
      <c r="I18" s="172">
        <f>SUM(J18:O18)+16+6</f>
        <v>65</v>
      </c>
      <c r="J18" s="172">
        <v>34</v>
      </c>
      <c r="K18" s="172">
        <v>0</v>
      </c>
      <c r="L18" s="172">
        <v>0</v>
      </c>
      <c r="M18" s="172">
        <v>4</v>
      </c>
      <c r="N18" s="172">
        <v>0</v>
      </c>
      <c r="O18" s="172">
        <v>5</v>
      </c>
      <c r="P18" s="172">
        <v>0</v>
      </c>
      <c r="Q18" s="172">
        <f t="shared" si="2"/>
        <v>33</v>
      </c>
      <c r="R18" s="172">
        <v>0</v>
      </c>
      <c r="S18" s="172">
        <f>18+15</f>
        <v>33</v>
      </c>
      <c r="T18" s="172">
        <f>52</f>
        <v>52</v>
      </c>
      <c r="U18" s="172">
        <f>74+21+15+75+288+6+10</f>
        <v>489</v>
      </c>
      <c r="V18" s="172">
        <f>24+6+33</f>
        <v>63</v>
      </c>
      <c r="W18" s="172">
        <v>7</v>
      </c>
      <c r="X18" s="172">
        <f>5+6+5+20</f>
        <v>36</v>
      </c>
      <c r="Y18" s="166">
        <v>6</v>
      </c>
      <c r="Z18" s="450" t="s">
        <v>34</v>
      </c>
      <c r="AA18" s="166" t="s">
        <v>34</v>
      </c>
      <c r="AB18">
        <f t="shared" si="3"/>
        <v>10</v>
      </c>
      <c r="AC18" t="s">
        <v>1581</v>
      </c>
      <c r="AD18" t="s">
        <v>1607</v>
      </c>
      <c r="AE18" t="s">
        <v>1608</v>
      </c>
      <c r="AF18" t="s">
        <v>34</v>
      </c>
    </row>
    <row r="19" spans="1:37" x14ac:dyDescent="0.35">
      <c r="A19">
        <f t="shared" si="4"/>
        <v>11</v>
      </c>
      <c r="B19" s="7" t="s">
        <v>2285</v>
      </c>
      <c r="C19" s="758">
        <f>UkrAid24Jan2022To15Jan2024!G19</f>
        <v>591</v>
      </c>
      <c r="D19" s="174">
        <f>UkrAid24Jan2022To15Jan2024!H19</f>
        <v>10.5</v>
      </c>
      <c r="E19" s="172">
        <v>25600</v>
      </c>
      <c r="F19" s="172">
        <v>34000</v>
      </c>
      <c r="G19" s="747">
        <f>C19*H19</f>
        <v>13.001999999999999</v>
      </c>
      <c r="H19" s="601">
        <v>2.1999999999999999E-2</v>
      </c>
      <c r="I19" s="172">
        <f>SUM(J19:O19)+10</f>
        <v>120</v>
      </c>
      <c r="J19" s="172">
        <f>71+23+3</f>
        <v>97</v>
      </c>
      <c r="K19" s="172">
        <v>0</v>
      </c>
      <c r="L19" s="172">
        <v>1</v>
      </c>
      <c r="M19" s="172">
        <f>1+4+5</f>
        <v>10</v>
      </c>
      <c r="N19" s="172">
        <v>2</v>
      </c>
      <c r="O19" s="172">
        <v>0</v>
      </c>
      <c r="P19" s="172">
        <v>0</v>
      </c>
      <c r="Q19" s="172">
        <f>SUM(R19:S19)</f>
        <v>53</v>
      </c>
      <c r="R19" s="172">
        <v>0</v>
      </c>
      <c r="S19" s="172">
        <f>15+18+20</f>
        <v>53</v>
      </c>
      <c r="T19" s="172">
        <f>12+110+10</f>
        <v>132</v>
      </c>
      <c r="U19" s="172">
        <f>499+380+200+20+113+20+93+153</f>
        <v>1478</v>
      </c>
      <c r="V19" s="172">
        <f>26+40</f>
        <v>66</v>
      </c>
      <c r="W19" s="172">
        <f>4</f>
        <v>4</v>
      </c>
      <c r="X19" s="172">
        <f>2+5+4+5+2+11</f>
        <v>29</v>
      </c>
      <c r="Y19" s="166">
        <f>3+1</f>
        <v>4</v>
      </c>
      <c r="Z19" s="450" t="s">
        <v>34</v>
      </c>
      <c r="AA19" s="166" t="s">
        <v>34</v>
      </c>
      <c r="AB19">
        <f t="shared" si="3"/>
        <v>11</v>
      </c>
      <c r="AC19" t="s">
        <v>1585</v>
      </c>
      <c r="AD19" s="4" t="s">
        <v>1610</v>
      </c>
      <c r="AE19" t="s">
        <v>1611</v>
      </c>
      <c r="AF19" t="s">
        <v>34</v>
      </c>
    </row>
    <row r="20" spans="1:37" x14ac:dyDescent="0.35">
      <c r="A20">
        <f t="shared" si="4"/>
        <v>12</v>
      </c>
      <c r="B20" s="7" t="s">
        <v>2286</v>
      </c>
      <c r="C20" s="758">
        <f>UkrAid24Jan2022To15Jan2024!G13</f>
        <v>400</v>
      </c>
      <c r="D20" s="174">
        <f>UkrAid24Jan2022To15Jan2024!H13</f>
        <v>5.9</v>
      </c>
      <c r="E20" s="172">
        <v>21000</v>
      </c>
      <c r="F20" s="172">
        <f>12000+51000</f>
        <v>63000</v>
      </c>
      <c r="G20" s="747">
        <f>C20*H20</f>
        <v>8</v>
      </c>
      <c r="H20" s="601">
        <v>0.02</v>
      </c>
      <c r="I20" s="172">
        <f>SUM(J20:O20)+27+6+11</f>
        <v>76</v>
      </c>
      <c r="J20" s="172">
        <f>20+4</f>
        <v>24</v>
      </c>
      <c r="K20" s="172">
        <v>0</v>
      </c>
      <c r="L20" s="172">
        <v>0</v>
      </c>
      <c r="M20" s="172">
        <v>4</v>
      </c>
      <c r="N20" s="172">
        <v>0</v>
      </c>
      <c r="O20" s="172">
        <v>4</v>
      </c>
      <c r="P20" s="172">
        <v>0</v>
      </c>
      <c r="Q20" s="172">
        <f>SUM(R20:S20)</f>
        <v>34</v>
      </c>
      <c r="R20" s="172">
        <v>0</v>
      </c>
      <c r="S20" s="172">
        <f>11+9+14</f>
        <v>34</v>
      </c>
      <c r="T20" s="172">
        <v>44</v>
      </c>
      <c r="U20" s="172">
        <f>44+90+309</f>
        <v>443</v>
      </c>
      <c r="V20" s="172">
        <v>0</v>
      </c>
      <c r="W20" s="172">
        <v>0</v>
      </c>
      <c r="X20" s="172">
        <f>2+3+4+3+6</f>
        <v>18</v>
      </c>
      <c r="Y20" s="166">
        <v>0</v>
      </c>
      <c r="Z20" s="450" t="s">
        <v>34</v>
      </c>
      <c r="AA20" s="166" t="s">
        <v>34</v>
      </c>
      <c r="AB20">
        <f t="shared" si="3"/>
        <v>12</v>
      </c>
      <c r="AC20" s="4" t="s">
        <v>1586</v>
      </c>
      <c r="AD20" t="s">
        <v>1614</v>
      </c>
      <c r="AE20" t="s">
        <v>1613</v>
      </c>
      <c r="AF20" t="s">
        <v>1616</v>
      </c>
      <c r="AG20" t="s">
        <v>34</v>
      </c>
    </row>
    <row r="21" spans="1:37" x14ac:dyDescent="0.35">
      <c r="A21">
        <f t="shared" si="4"/>
        <v>13</v>
      </c>
      <c r="B21" s="7" t="s">
        <v>2287</v>
      </c>
      <c r="C21" s="758">
        <v>30.5</v>
      </c>
      <c r="D21" s="174">
        <v>0.4</v>
      </c>
      <c r="E21" s="427" t="s">
        <v>1734</v>
      </c>
      <c r="F21" s="172"/>
      <c r="G21" s="747"/>
      <c r="H21" s="601"/>
      <c r="I21" s="172"/>
      <c r="J21" s="172"/>
      <c r="K21" s="172"/>
      <c r="L21" s="172"/>
      <c r="M21" s="172"/>
      <c r="N21" s="172"/>
      <c r="O21" s="172"/>
      <c r="P21" s="172" t="s">
        <v>34</v>
      </c>
      <c r="Q21" s="172" t="s">
        <v>34</v>
      </c>
      <c r="R21" s="172" t="s">
        <v>34</v>
      </c>
      <c r="S21" s="172" t="s">
        <v>34</v>
      </c>
      <c r="T21" s="172" t="s">
        <v>34</v>
      </c>
      <c r="U21" s="172" t="s">
        <v>34</v>
      </c>
      <c r="V21" s="172" t="s">
        <v>34</v>
      </c>
      <c r="W21" s="172" t="s">
        <v>34</v>
      </c>
      <c r="X21" s="172" t="s">
        <v>34</v>
      </c>
      <c r="Y21" s="166" t="s">
        <v>34</v>
      </c>
      <c r="Z21" s="450" t="s">
        <v>34</v>
      </c>
      <c r="AA21" s="166" t="s">
        <v>34</v>
      </c>
      <c r="AB21">
        <f t="shared" si="3"/>
        <v>13</v>
      </c>
      <c r="AC21" s="4" t="s">
        <v>1724</v>
      </c>
      <c r="AD21" t="s">
        <v>1732</v>
      </c>
      <c r="AG21" t="s">
        <v>1730</v>
      </c>
      <c r="AJ21" s="4" t="s">
        <v>1723</v>
      </c>
      <c r="AK21" t="s">
        <v>34</v>
      </c>
    </row>
    <row r="22" spans="1:37" x14ac:dyDescent="0.35">
      <c r="A22">
        <f t="shared" si="4"/>
        <v>14</v>
      </c>
      <c r="B22" s="7" t="s">
        <v>2326</v>
      </c>
      <c r="C22" s="758">
        <v>61.6</v>
      </c>
      <c r="D22" s="174">
        <v>1.4</v>
      </c>
      <c r="E22" s="172">
        <v>7700</v>
      </c>
      <c r="F22" s="172">
        <v>80000</v>
      </c>
      <c r="G22" s="747">
        <f t="shared" ref="G22:G28" si="5">C22*H22</f>
        <v>2.1128800000000001</v>
      </c>
      <c r="H22" s="601">
        <v>3.4299999999999997E-2</v>
      </c>
      <c r="I22" s="172">
        <f>SUM(J22:O22)+2</f>
        <v>4</v>
      </c>
      <c r="J22" s="172">
        <v>0</v>
      </c>
      <c r="K22" s="172">
        <v>0</v>
      </c>
      <c r="L22" s="172">
        <v>0</v>
      </c>
      <c r="M22" s="172">
        <v>2</v>
      </c>
      <c r="N22" s="172">
        <v>0</v>
      </c>
      <c r="O22" s="172">
        <v>0</v>
      </c>
      <c r="P22" s="172">
        <v>0</v>
      </c>
      <c r="Q22" s="172">
        <f>SUM(R22:S22)</f>
        <v>3</v>
      </c>
      <c r="R22" s="172">
        <v>0</v>
      </c>
      <c r="S22" s="172">
        <v>3</v>
      </c>
      <c r="T22" s="172">
        <v>0</v>
      </c>
      <c r="U22" s="172">
        <f>44+37+136</f>
        <v>217</v>
      </c>
      <c r="V22" s="172">
        <f>36</f>
        <v>36</v>
      </c>
      <c r="W22" s="172">
        <v>0</v>
      </c>
      <c r="X22" s="172">
        <v>3</v>
      </c>
      <c r="Y22" s="166">
        <v>0</v>
      </c>
      <c r="Z22" s="450" t="s">
        <v>34</v>
      </c>
      <c r="AA22" s="166" t="s">
        <v>34</v>
      </c>
      <c r="AB22">
        <f t="shared" si="3"/>
        <v>14</v>
      </c>
      <c r="AC22" t="s">
        <v>1574</v>
      </c>
      <c r="AD22" t="s">
        <v>1587</v>
      </c>
      <c r="AE22" s="4" t="s">
        <v>1618</v>
      </c>
      <c r="AF22" s="4" t="s">
        <v>1619</v>
      </c>
      <c r="AG22" t="s">
        <v>34</v>
      </c>
    </row>
    <row r="23" spans="1:37" x14ac:dyDescent="0.35">
      <c r="A23">
        <f t="shared" si="4"/>
        <v>15</v>
      </c>
      <c r="B23" s="7" t="s">
        <v>2289</v>
      </c>
      <c r="C23" s="758">
        <v>78</v>
      </c>
      <c r="D23" s="174">
        <v>1.8</v>
      </c>
      <c r="E23" s="172">
        <v>17345</v>
      </c>
      <c r="F23" s="172">
        <v>38000</v>
      </c>
      <c r="G23" s="747">
        <f t="shared" si="5"/>
        <v>2.4725999999999999</v>
      </c>
      <c r="H23" s="601">
        <v>3.1699999999999999E-2</v>
      </c>
      <c r="I23" s="172">
        <f>SUM(J23:O23)+2</f>
        <v>2</v>
      </c>
      <c r="J23" s="172">
        <v>0</v>
      </c>
      <c r="K23" s="172">
        <v>0</v>
      </c>
      <c r="L23" s="172">
        <v>0</v>
      </c>
      <c r="M23" s="172">
        <v>0</v>
      </c>
      <c r="N23" s="172">
        <v>0</v>
      </c>
      <c r="O23" s="172">
        <v>0</v>
      </c>
      <c r="P23" s="172">
        <v>0</v>
      </c>
      <c r="Q23" s="172">
        <f>SUM(R23:S23)</f>
        <v>3</v>
      </c>
      <c r="R23" s="172">
        <v>0</v>
      </c>
      <c r="S23" s="172">
        <v>3</v>
      </c>
      <c r="T23" s="172">
        <v>0</v>
      </c>
      <c r="U23" s="172">
        <f>198+100</f>
        <v>298</v>
      </c>
      <c r="V23" s="172">
        <f>47+10+2</f>
        <v>59</v>
      </c>
      <c r="W23" s="172">
        <v>0</v>
      </c>
      <c r="X23" s="172">
        <f>1+1+10</f>
        <v>12</v>
      </c>
      <c r="Y23" s="166">
        <v>0</v>
      </c>
      <c r="Z23" s="450" t="s">
        <v>34</v>
      </c>
      <c r="AA23" s="166" t="s">
        <v>34</v>
      </c>
      <c r="AB23">
        <f t="shared" si="3"/>
        <v>15</v>
      </c>
      <c r="AC23" t="s">
        <v>1576</v>
      </c>
      <c r="AD23" t="s">
        <v>1589</v>
      </c>
      <c r="AE23" t="s">
        <v>1621</v>
      </c>
      <c r="AF23" t="s">
        <v>1622</v>
      </c>
      <c r="AG23" t="s">
        <v>34</v>
      </c>
    </row>
    <row r="24" spans="1:37" x14ac:dyDescent="0.35">
      <c r="A24">
        <f t="shared" si="4"/>
        <v>16</v>
      </c>
      <c r="B24" s="7" t="s">
        <v>2299</v>
      </c>
      <c r="C24" s="758">
        <v>145</v>
      </c>
      <c r="D24" s="174">
        <v>2.9</v>
      </c>
      <c r="E24" s="172">
        <v>23000</v>
      </c>
      <c r="F24" s="172">
        <v>104000</v>
      </c>
      <c r="G24" s="747">
        <f t="shared" si="5"/>
        <v>4.6399999999999997</v>
      </c>
      <c r="H24" s="601">
        <v>3.2000000000000001E-2</v>
      </c>
      <c r="I24" s="172">
        <f>SUM(J24:O24)</f>
        <v>5</v>
      </c>
      <c r="J24" s="172">
        <v>0</v>
      </c>
      <c r="K24" s="172">
        <v>0</v>
      </c>
      <c r="L24" s="172">
        <v>0</v>
      </c>
      <c r="M24" s="172">
        <f>3+2</f>
        <v>5</v>
      </c>
      <c r="N24" s="172">
        <v>0</v>
      </c>
      <c r="O24" s="172">
        <v>0</v>
      </c>
      <c r="P24" s="172">
        <v>0</v>
      </c>
      <c r="Q24" s="172">
        <f>SUM(R24:S24)</f>
        <v>4</v>
      </c>
      <c r="R24" s="172">
        <v>0</v>
      </c>
      <c r="S24" s="172">
        <f>3+1</f>
        <v>4</v>
      </c>
      <c r="T24" s="172">
        <v>0</v>
      </c>
      <c r="U24" s="172">
        <f>89+276</f>
        <v>365</v>
      </c>
      <c r="V24" s="172">
        <f>21</f>
        <v>21</v>
      </c>
      <c r="W24" s="172">
        <v>2</v>
      </c>
      <c r="X24" s="172">
        <f>1+1+1+1+5</f>
        <v>9</v>
      </c>
      <c r="Y24" s="166">
        <v>0</v>
      </c>
      <c r="Z24" s="450" t="s">
        <v>34</v>
      </c>
      <c r="AA24" s="166" t="s">
        <v>34</v>
      </c>
      <c r="AB24">
        <f t="shared" si="3"/>
        <v>16</v>
      </c>
      <c r="AC24" t="s">
        <v>1575</v>
      </c>
      <c r="AD24" t="s">
        <v>1588</v>
      </c>
      <c r="AE24" t="s">
        <v>1624</v>
      </c>
      <c r="AF24" s="4" t="s">
        <v>1627</v>
      </c>
      <c r="AG24" s="4" t="s">
        <v>1628</v>
      </c>
      <c r="AH24" t="s">
        <v>34</v>
      </c>
    </row>
    <row r="25" spans="1:37" x14ac:dyDescent="0.35">
      <c r="A25">
        <f t="shared" si="4"/>
        <v>17</v>
      </c>
      <c r="B25" s="7" t="s">
        <v>2280</v>
      </c>
      <c r="C25" s="758">
        <v>370</v>
      </c>
      <c r="D25" s="174">
        <v>19</v>
      </c>
      <c r="E25" s="172">
        <v>72000</v>
      </c>
      <c r="F25" s="172">
        <v>55000</v>
      </c>
      <c r="G25" s="747">
        <f t="shared" si="5"/>
        <v>9.25</v>
      </c>
      <c r="H25" s="601">
        <v>2.5000000000000001E-2</v>
      </c>
      <c r="I25" s="172">
        <f>SUM(J25:O25)+21+7+14</f>
        <v>86</v>
      </c>
      <c r="J25" s="172">
        <f>26</f>
        <v>26</v>
      </c>
      <c r="K25" s="172">
        <v>0</v>
      </c>
      <c r="L25" s="172">
        <v>0</v>
      </c>
      <c r="M25" s="172">
        <f>1+7+8</f>
        <v>16</v>
      </c>
      <c r="N25" s="172">
        <v>0</v>
      </c>
      <c r="O25" s="172">
        <v>2</v>
      </c>
      <c r="P25" s="172">
        <v>0</v>
      </c>
      <c r="Q25" s="172">
        <f t="shared" ref="Q25:Q39" si="6">SUM(R25:S25)</f>
        <v>57</v>
      </c>
      <c r="R25" s="172">
        <v>0</v>
      </c>
      <c r="S25" s="172">
        <v>57</v>
      </c>
      <c r="T25" s="172">
        <f>103+54+9+162</f>
        <v>328</v>
      </c>
      <c r="U25" s="172">
        <f>23+101+141+43+69+155+211+402+76</f>
        <v>1221</v>
      </c>
      <c r="V25" s="172">
        <f>320+116+135+54+36</f>
        <v>661</v>
      </c>
      <c r="W25" s="172">
        <f>60+300+36+72+48+32+16</f>
        <v>564</v>
      </c>
      <c r="X25" s="172">
        <v>13</v>
      </c>
      <c r="Y25" s="166">
        <v>0</v>
      </c>
      <c r="Z25" s="450" t="s">
        <v>34</v>
      </c>
      <c r="AA25" s="166" t="s">
        <v>34</v>
      </c>
      <c r="AB25">
        <f t="shared" si="3"/>
        <v>17</v>
      </c>
      <c r="AC25" t="s">
        <v>1578</v>
      </c>
      <c r="AD25" t="s">
        <v>1591</v>
      </c>
      <c r="AE25" t="s">
        <v>1631</v>
      </c>
      <c r="AF25" s="4" t="s">
        <v>1632</v>
      </c>
      <c r="AG25" t="s">
        <v>34</v>
      </c>
    </row>
    <row r="26" spans="1:37" x14ac:dyDescent="0.35">
      <c r="A26">
        <f t="shared" si="4"/>
        <v>18</v>
      </c>
      <c r="B26" s="7" t="s">
        <v>2282</v>
      </c>
      <c r="C26" s="758">
        <v>103</v>
      </c>
      <c r="D26" s="174">
        <v>6.4</v>
      </c>
      <c r="E26" s="172">
        <v>37000</v>
      </c>
      <c r="F26" s="172">
        <v>3000</v>
      </c>
      <c r="G26" s="747">
        <f t="shared" si="5"/>
        <v>2.1114999999999999</v>
      </c>
      <c r="H26" s="601">
        <v>2.0500000000000001E-2</v>
      </c>
      <c r="I26" s="172">
        <f>SUM(J26:O26)+5+6+4</f>
        <v>44</v>
      </c>
      <c r="J26" s="172">
        <f>13+7</f>
        <v>20</v>
      </c>
      <c r="K26" s="172">
        <v>0</v>
      </c>
      <c r="L26" s="172">
        <v>0</v>
      </c>
      <c r="M26" s="172">
        <f>1+1+3+2+1</f>
        <v>8</v>
      </c>
      <c r="N26" s="172">
        <v>0</v>
      </c>
      <c r="O26" s="172">
        <v>1</v>
      </c>
      <c r="P26" s="172">
        <v>0</v>
      </c>
      <c r="Q26" s="172">
        <f t="shared" si="6"/>
        <v>35</v>
      </c>
      <c r="R26" s="172">
        <v>12</v>
      </c>
      <c r="S26" s="172">
        <f>6+5+12</f>
        <v>23</v>
      </c>
      <c r="T26" s="172">
        <v>90</v>
      </c>
      <c r="U26" s="172">
        <f>70+90+20+100</f>
        <v>280</v>
      </c>
      <c r="V26" s="172">
        <v>24</v>
      </c>
      <c r="W26" s="172">
        <f>24</f>
        <v>24</v>
      </c>
      <c r="X26" s="172">
        <f>3+4+10+2</f>
        <v>19</v>
      </c>
      <c r="Y26" s="166">
        <v>0</v>
      </c>
      <c r="Z26" s="450" t="s">
        <v>34</v>
      </c>
      <c r="AA26" s="166" t="s">
        <v>34</v>
      </c>
      <c r="AB26">
        <f t="shared" si="3"/>
        <v>18</v>
      </c>
      <c r="AC26" s="4" t="s">
        <v>1579</v>
      </c>
      <c r="AD26" t="s">
        <v>1592</v>
      </c>
      <c r="AE26" t="s">
        <v>1638</v>
      </c>
      <c r="AF26" t="s">
        <v>1639</v>
      </c>
      <c r="AG26" t="s">
        <v>34</v>
      </c>
    </row>
    <row r="27" spans="1:37" x14ac:dyDescent="0.35">
      <c r="A27">
        <f t="shared" si="4"/>
        <v>19</v>
      </c>
      <c r="B27" s="7" t="s">
        <v>2298</v>
      </c>
      <c r="C27" s="758">
        <v>325</v>
      </c>
      <c r="D27" s="174">
        <v>11</v>
      </c>
      <c r="E27" s="172">
        <v>28000</v>
      </c>
      <c r="F27" s="172">
        <v>4200</v>
      </c>
      <c r="G27" s="747">
        <f t="shared" si="5"/>
        <v>6.5</v>
      </c>
      <c r="H27" s="601">
        <v>0.02</v>
      </c>
      <c r="I27" s="172">
        <f>SUM(J27:O27)+8+2</f>
        <v>52</v>
      </c>
      <c r="J27" s="172">
        <f>16+12</f>
        <v>28</v>
      </c>
      <c r="K27" s="172">
        <v>0</v>
      </c>
      <c r="L27" s="172">
        <v>0</v>
      </c>
      <c r="M27" s="172">
        <f>6+2+6</f>
        <v>14</v>
      </c>
      <c r="N27" s="172">
        <v>0</v>
      </c>
      <c r="O27" s="172">
        <v>0</v>
      </c>
      <c r="P27" s="172">
        <v>0</v>
      </c>
      <c r="Q27" s="172">
        <f t="shared" si="6"/>
        <v>50</v>
      </c>
      <c r="R27" s="172">
        <f>4+6</f>
        <v>10</v>
      </c>
      <c r="S27" s="172">
        <f>20+10+8+2</f>
        <v>40</v>
      </c>
      <c r="T27" s="172">
        <f>28+27+3</f>
        <v>58</v>
      </c>
      <c r="U27" s="172">
        <f>72+11+8+8+14+5+21+6+20+36</f>
        <v>201</v>
      </c>
      <c r="V27" s="172" t="s">
        <v>34</v>
      </c>
      <c r="W27" s="172">
        <f>2+1+3+8</f>
        <v>14</v>
      </c>
      <c r="X27" s="172">
        <v>0</v>
      </c>
      <c r="Y27" s="166">
        <v>0</v>
      </c>
      <c r="Z27" s="450" t="s">
        <v>34</v>
      </c>
      <c r="AA27" s="166" t="s">
        <v>34</v>
      </c>
      <c r="AB27">
        <f t="shared" si="3"/>
        <v>19</v>
      </c>
      <c r="AC27" t="s">
        <v>1584</v>
      </c>
      <c r="AD27" t="s">
        <v>1594</v>
      </c>
      <c r="AE27" t="s">
        <v>1658</v>
      </c>
      <c r="AF27" t="s">
        <v>1661</v>
      </c>
      <c r="AG27" t="s">
        <v>34</v>
      </c>
      <c r="AH27" t="s">
        <v>1602</v>
      </c>
    </row>
    <row r="28" spans="1:37" x14ac:dyDescent="0.35">
      <c r="A28">
        <f t="shared" si="4"/>
        <v>20</v>
      </c>
      <c r="B28" s="7" t="s">
        <v>2327</v>
      </c>
      <c r="C28" s="758">
        <v>141</v>
      </c>
      <c r="D28" s="174">
        <v>5.4</v>
      </c>
      <c r="E28" s="172">
        <v>19500</v>
      </c>
      <c r="F28" s="172" t="s">
        <v>34</v>
      </c>
      <c r="G28" s="747">
        <f t="shared" si="5"/>
        <v>2.82</v>
      </c>
      <c r="H28" s="601">
        <v>0.02</v>
      </c>
      <c r="I28" s="172">
        <f>SUM(J28:O28)</f>
        <v>10</v>
      </c>
      <c r="J28" s="172">
        <f>2</f>
        <v>2</v>
      </c>
      <c r="K28" s="172">
        <v>0</v>
      </c>
      <c r="L28" s="172">
        <v>0</v>
      </c>
      <c r="M28" s="172">
        <f>2+6</f>
        <v>8</v>
      </c>
      <c r="N28" s="172">
        <v>0</v>
      </c>
      <c r="O28" s="172">
        <v>0</v>
      </c>
      <c r="P28" s="172">
        <v>0</v>
      </c>
      <c r="Q28" s="172">
        <f t="shared" si="6"/>
        <v>19</v>
      </c>
      <c r="R28" s="172">
        <v>0</v>
      </c>
      <c r="S28" s="172">
        <f>10+9</f>
        <v>19</v>
      </c>
      <c r="T28" s="172">
        <f>15+30</f>
        <v>45</v>
      </c>
      <c r="U28" s="172">
        <f>2+69+18+206+91+60+70+18+6</f>
        <v>540</v>
      </c>
      <c r="V28" s="172">
        <f>19+16+25</f>
        <v>60</v>
      </c>
      <c r="W28" s="172">
        <f>2+5</f>
        <v>7</v>
      </c>
      <c r="X28" s="172">
        <v>0</v>
      </c>
      <c r="Y28" s="166">
        <v>0</v>
      </c>
      <c r="Z28" s="450" t="s">
        <v>34</v>
      </c>
      <c r="AA28" s="166" t="s">
        <v>34</v>
      </c>
      <c r="AB28">
        <f t="shared" si="3"/>
        <v>20</v>
      </c>
      <c r="AC28" t="s">
        <v>1600</v>
      </c>
      <c r="AD28" t="s">
        <v>1601</v>
      </c>
      <c r="AE28" t="s">
        <v>1676</v>
      </c>
      <c r="AF28" t="s">
        <v>1679</v>
      </c>
      <c r="AG28" t="s">
        <v>1599</v>
      </c>
    </row>
    <row r="29" spans="1:37" x14ac:dyDescent="0.35">
      <c r="A29">
        <f t="shared" si="4"/>
        <v>21</v>
      </c>
      <c r="B29" s="7" t="s">
        <v>2328</v>
      </c>
      <c r="C29" s="758">
        <v>942</v>
      </c>
      <c r="D29" s="174">
        <v>8.9</v>
      </c>
      <c r="E29" s="172">
        <v>147000</v>
      </c>
      <c r="F29" s="172">
        <v>969000</v>
      </c>
      <c r="G29" s="747">
        <v>6.25</v>
      </c>
      <c r="H29" s="601">
        <f>G29/C29</f>
        <v>6.6348195329087051E-3</v>
      </c>
      <c r="I29" s="172">
        <f>SUM(J29:O29)+27+7+5+5+4</f>
        <v>93</v>
      </c>
      <c r="J29" s="172">
        <f>18+25</f>
        <v>43</v>
      </c>
      <c r="K29" s="172">
        <v>0</v>
      </c>
      <c r="L29" s="172">
        <v>0</v>
      </c>
      <c r="M29" s="172">
        <v>0</v>
      </c>
      <c r="N29" s="172">
        <v>0</v>
      </c>
      <c r="O29" s="172">
        <v>2</v>
      </c>
      <c r="P29" s="172">
        <v>0</v>
      </c>
      <c r="Q29" s="172">
        <f t="shared" si="6"/>
        <v>45</v>
      </c>
      <c r="R29" s="172">
        <v>0</v>
      </c>
      <c r="S29" s="172">
        <f>15+10+20</f>
        <v>45</v>
      </c>
      <c r="T29" s="172">
        <f>380</f>
        <v>380</v>
      </c>
      <c r="U29" s="172">
        <f>154+32+310+40+50+35+53+160+515+5+8+6+6+417+171+119</f>
        <v>2081</v>
      </c>
      <c r="V29" s="172">
        <f>133</f>
        <v>133</v>
      </c>
      <c r="W29" s="172">
        <v>24</v>
      </c>
      <c r="X29" s="172">
        <v>0</v>
      </c>
      <c r="Y29" s="166">
        <v>0</v>
      </c>
      <c r="Z29" s="450" t="s">
        <v>34</v>
      </c>
      <c r="AA29" s="166" t="s">
        <v>34</v>
      </c>
      <c r="AB29">
        <f t="shared" si="3"/>
        <v>21</v>
      </c>
      <c r="AC29" t="s">
        <v>1669</v>
      </c>
      <c r="AD29" t="s">
        <v>1672</v>
      </c>
      <c r="AE29" t="s">
        <v>1680</v>
      </c>
      <c r="AF29" t="s">
        <v>1681</v>
      </c>
      <c r="AG29" t="s">
        <v>34</v>
      </c>
    </row>
    <row r="30" spans="1:37" x14ac:dyDescent="0.35">
      <c r="A30">
        <f t="shared" si="4"/>
        <v>22</v>
      </c>
      <c r="B30" s="7" t="s">
        <v>2296</v>
      </c>
      <c r="C30" s="758">
        <v>253</v>
      </c>
      <c r="D30" s="174">
        <v>10.4</v>
      </c>
      <c r="E30" s="172">
        <v>143000</v>
      </c>
      <c r="F30" s="172">
        <v>221000</v>
      </c>
      <c r="G30" s="747">
        <f t="shared" ref="G30:G45" si="7">C30*H30</f>
        <v>9.3609999999999989</v>
      </c>
      <c r="H30" s="601">
        <v>3.6999999999999998E-2</v>
      </c>
      <c r="I30" s="172">
        <f>SUM(J30:O30)+5+5+34+45+12</f>
        <v>360</v>
      </c>
      <c r="J30" s="172">
        <f>14+4+114+39+19+5+33</f>
        <v>228</v>
      </c>
      <c r="K30" s="172">
        <v>0</v>
      </c>
      <c r="L30" s="172">
        <v>0</v>
      </c>
      <c r="M30" s="172">
        <f>5+10+8+1+1+1</f>
        <v>26</v>
      </c>
      <c r="N30" s="172">
        <v>4</v>
      </c>
      <c r="O30" s="172">
        <v>1</v>
      </c>
      <c r="P30" s="172">
        <v>0</v>
      </c>
      <c r="Q30" s="172">
        <f t="shared" si="6"/>
        <v>31</v>
      </c>
      <c r="R30" s="172">
        <v>0</v>
      </c>
      <c r="S30" s="172">
        <f>2+8+12+4+3+2</f>
        <v>31</v>
      </c>
      <c r="T30" s="172">
        <f>170+183+501+390+100</f>
        <v>1344</v>
      </c>
      <c r="U30" s="172">
        <f>40+141+491+1995+257+3+362+12+41+281</f>
        <v>3623</v>
      </c>
      <c r="V30" s="172">
        <f>36+116+152+24+420+145</f>
        <v>893</v>
      </c>
      <c r="W30" s="172">
        <f>36+32+16+20+18+40+42+39+21+506+285+227+17</f>
        <v>1299</v>
      </c>
      <c r="X30" s="172">
        <f>13+10+19</f>
        <v>42</v>
      </c>
      <c r="Y30" s="166">
        <v>11</v>
      </c>
      <c r="Z30" s="450" t="s">
        <v>34</v>
      </c>
      <c r="AA30" s="166" t="s">
        <v>34</v>
      </c>
      <c r="AB30">
        <f t="shared" si="3"/>
        <v>22</v>
      </c>
      <c r="AC30" t="s">
        <v>1710</v>
      </c>
      <c r="AD30" t="s">
        <v>1711</v>
      </c>
      <c r="AE30" t="s">
        <v>1742</v>
      </c>
      <c r="AF30" t="s">
        <v>1743</v>
      </c>
      <c r="AG30" t="s">
        <v>1746</v>
      </c>
      <c r="AH30" t="s">
        <v>34</v>
      </c>
    </row>
    <row r="31" spans="1:37" x14ac:dyDescent="0.35">
      <c r="A31">
        <f t="shared" si="4"/>
        <v>23</v>
      </c>
      <c r="B31" s="7" t="s">
        <v>2295</v>
      </c>
      <c r="C31" s="758">
        <v>72</v>
      </c>
      <c r="D31" s="174">
        <v>2.1</v>
      </c>
      <c r="E31" s="172">
        <v>7300</v>
      </c>
      <c r="F31" s="172">
        <v>26000</v>
      </c>
      <c r="G31" s="747">
        <f t="shared" si="7"/>
        <v>1.0367999999999999</v>
      </c>
      <c r="H31" s="601">
        <v>1.44E-2</v>
      </c>
      <c r="I31" s="172">
        <f>SUM(J31:O31)</f>
        <v>14</v>
      </c>
      <c r="J31" s="172">
        <v>9</v>
      </c>
      <c r="K31" s="172">
        <v>0</v>
      </c>
      <c r="L31" s="172">
        <v>0</v>
      </c>
      <c r="M31" s="172">
        <f>1+1+1+2</f>
        <v>5</v>
      </c>
      <c r="N31" s="172">
        <v>0</v>
      </c>
      <c r="O31" s="172">
        <v>0</v>
      </c>
      <c r="P31" s="172">
        <v>0</v>
      </c>
      <c r="Q31" s="172">
        <f t="shared" si="6"/>
        <v>12</v>
      </c>
      <c r="R31" s="172">
        <v>0</v>
      </c>
      <c r="S31" s="172">
        <f>8+4</f>
        <v>12</v>
      </c>
      <c r="T31" s="172">
        <f>54</f>
        <v>54</v>
      </c>
      <c r="U31" s="172">
        <f>30+65</f>
        <v>95</v>
      </c>
      <c r="V31" s="172">
        <f>18</f>
        <v>18</v>
      </c>
      <c r="W31" s="172">
        <v>0</v>
      </c>
      <c r="X31" s="172">
        <v>2</v>
      </c>
      <c r="Y31" s="166">
        <v>0</v>
      </c>
      <c r="Z31" s="450" t="s">
        <v>34</v>
      </c>
      <c r="AA31" s="166" t="s">
        <v>34</v>
      </c>
      <c r="AB31">
        <f t="shared" si="3"/>
        <v>23</v>
      </c>
      <c r="AC31" t="s">
        <v>1719</v>
      </c>
      <c r="AD31" t="s">
        <v>1738</v>
      </c>
      <c r="AE31" t="s">
        <v>1747</v>
      </c>
      <c r="AF31" t="s">
        <v>1748</v>
      </c>
      <c r="AG31" t="s">
        <v>1749</v>
      </c>
      <c r="AH31" t="s">
        <v>34</v>
      </c>
      <c r="AJ31" s="4" t="s">
        <v>1696</v>
      </c>
      <c r="AK31" t="s">
        <v>34</v>
      </c>
    </row>
    <row r="32" spans="1:37" x14ac:dyDescent="0.35">
      <c r="A32">
        <f t="shared" si="4"/>
        <v>24</v>
      </c>
      <c r="B32" s="7" t="s">
        <v>2329</v>
      </c>
      <c r="C32" s="758">
        <v>90</v>
      </c>
      <c r="D32" s="174">
        <v>3.9</v>
      </c>
      <c r="E32" s="172">
        <v>14000</v>
      </c>
      <c r="F32" s="172">
        <v>20000</v>
      </c>
      <c r="G32" s="747">
        <f t="shared" si="7"/>
        <v>1.6199999999999999</v>
      </c>
      <c r="H32" s="601">
        <v>1.7999999999999999E-2</v>
      </c>
      <c r="I32" s="172">
        <f>SUM(J32:O32)+8+4+14</f>
        <v>32</v>
      </c>
      <c r="J32" s="172">
        <v>6</v>
      </c>
      <c r="K32" s="172">
        <v>0</v>
      </c>
      <c r="L32" s="172">
        <v>0</v>
      </c>
      <c r="M32" s="172">
        <v>0</v>
      </c>
      <c r="N32" s="172">
        <v>0</v>
      </c>
      <c r="O32" s="172">
        <v>0</v>
      </c>
      <c r="P32" s="172">
        <v>0</v>
      </c>
      <c r="Q32" s="172">
        <f t="shared" si="6"/>
        <v>29</v>
      </c>
      <c r="R32" s="172">
        <v>15</v>
      </c>
      <c r="S32" s="172">
        <f>4+10</f>
        <v>14</v>
      </c>
      <c r="T32" s="172">
        <f>75</f>
        <v>75</v>
      </c>
      <c r="U32" s="172">
        <f>104+44+120+9+27</f>
        <v>304</v>
      </c>
      <c r="V32" s="172">
        <f>18+18</f>
        <v>36</v>
      </c>
      <c r="W32" s="172">
        <f>42+9+12</f>
        <v>63</v>
      </c>
      <c r="X32" s="172">
        <v>30</v>
      </c>
      <c r="Y32" s="166">
        <v>0</v>
      </c>
      <c r="Z32" s="450" t="s">
        <v>34</v>
      </c>
      <c r="AA32" s="166" t="s">
        <v>34</v>
      </c>
      <c r="AB32">
        <f t="shared" si="3"/>
        <v>24</v>
      </c>
      <c r="AC32" t="s">
        <v>1725</v>
      </c>
      <c r="AD32" t="s">
        <v>1733</v>
      </c>
      <c r="AE32" t="s">
        <v>1750</v>
      </c>
      <c r="AF32" t="s">
        <v>1751</v>
      </c>
      <c r="AG32" t="s">
        <v>1752</v>
      </c>
      <c r="AH32" t="s">
        <v>34</v>
      </c>
      <c r="AJ32" s="4" t="s">
        <v>1697</v>
      </c>
      <c r="AK32" t="s">
        <v>34</v>
      </c>
    </row>
    <row r="33" spans="1:37" x14ac:dyDescent="0.35">
      <c r="A33">
        <f t="shared" si="4"/>
        <v>25</v>
      </c>
      <c r="B33" s="7" t="s">
        <v>2293</v>
      </c>
      <c r="C33" s="758">
        <v>25.3</v>
      </c>
      <c r="D33" s="174">
        <v>2.4</v>
      </c>
      <c r="E33" s="172">
        <v>8500</v>
      </c>
      <c r="F33" s="172">
        <v>19000</v>
      </c>
      <c r="G33" s="747">
        <f t="shared" si="7"/>
        <v>0.50600000000000001</v>
      </c>
      <c r="H33" s="601">
        <v>0.02</v>
      </c>
      <c r="I33" s="172">
        <f>SUM(J33:O33)</f>
        <v>1</v>
      </c>
      <c r="J33" s="172">
        <v>0</v>
      </c>
      <c r="K33" s="172">
        <v>0</v>
      </c>
      <c r="L33" s="172">
        <v>0</v>
      </c>
      <c r="M33" s="172">
        <f>1</f>
        <v>1</v>
      </c>
      <c r="N33" s="172">
        <v>0</v>
      </c>
      <c r="O33" s="172">
        <v>0</v>
      </c>
      <c r="P33" s="172">
        <v>0</v>
      </c>
      <c r="Q33" s="172">
        <f t="shared" si="6"/>
        <v>38</v>
      </c>
      <c r="R33" s="172">
        <v>0</v>
      </c>
      <c r="S33" s="172">
        <f>6+3+7+4+1+1+4+12</f>
        <v>38</v>
      </c>
      <c r="T33" s="172">
        <f>40+681+55+40</f>
        <v>816</v>
      </c>
      <c r="U33" s="172">
        <f>17+250+350</f>
        <v>617</v>
      </c>
      <c r="V33" s="172">
        <f>90</f>
        <v>90</v>
      </c>
      <c r="W33" s="172">
        <v>336</v>
      </c>
      <c r="X33" s="172">
        <f>1</f>
        <v>1</v>
      </c>
      <c r="Y33" s="166">
        <v>0</v>
      </c>
      <c r="Z33" s="450" t="s">
        <v>34</v>
      </c>
      <c r="AA33" s="166" t="s">
        <v>34</v>
      </c>
      <c r="AB33">
        <f t="shared" si="3"/>
        <v>25</v>
      </c>
      <c r="AC33" t="s">
        <v>1726</v>
      </c>
      <c r="AD33" t="s">
        <v>1739</v>
      </c>
      <c r="AE33" s="4" t="s">
        <v>1757</v>
      </c>
      <c r="AF33" s="4" t="s">
        <v>1758</v>
      </c>
      <c r="AG33" t="s">
        <v>34</v>
      </c>
      <c r="AH33" t="s">
        <v>34</v>
      </c>
      <c r="AJ33" s="4" t="s">
        <v>1698</v>
      </c>
      <c r="AK33" t="s">
        <v>34</v>
      </c>
    </row>
    <row r="34" spans="1:37" x14ac:dyDescent="0.35">
      <c r="A34">
        <f t="shared" si="4"/>
        <v>26</v>
      </c>
      <c r="B34" s="7" t="s">
        <v>2292</v>
      </c>
      <c r="C34" s="758">
        <v>7</v>
      </c>
      <c r="D34" s="174">
        <v>0.6</v>
      </c>
      <c r="E34" s="172">
        <v>2350</v>
      </c>
      <c r="F34" s="172" t="s">
        <v>34</v>
      </c>
      <c r="G34" s="747">
        <f t="shared" si="7"/>
        <v>0.13300000000000001</v>
      </c>
      <c r="H34" s="601">
        <v>1.9E-2</v>
      </c>
      <c r="I34" s="172">
        <f>SUM(J34:O34)</f>
        <v>0</v>
      </c>
      <c r="J34" s="172">
        <v>0</v>
      </c>
      <c r="K34" s="172">
        <v>0</v>
      </c>
      <c r="L34" s="172">
        <v>0</v>
      </c>
      <c r="M34" s="172">
        <v>0</v>
      </c>
      <c r="N34" s="172">
        <v>0</v>
      </c>
      <c r="O34" s="172">
        <v>0</v>
      </c>
      <c r="P34" s="172">
        <v>0</v>
      </c>
      <c r="Q34" s="172">
        <f t="shared" si="6"/>
        <v>11</v>
      </c>
      <c r="R34" s="172">
        <v>0</v>
      </c>
      <c r="S34">
        <f>3+2+6</f>
        <v>11</v>
      </c>
      <c r="T34" s="172">
        <v>0</v>
      </c>
      <c r="U34" s="172">
        <v>0</v>
      </c>
      <c r="V34" s="172">
        <f>12</f>
        <v>12</v>
      </c>
      <c r="W34" s="172">
        <v>0</v>
      </c>
      <c r="X34" s="172">
        <v>0</v>
      </c>
      <c r="Y34" s="166">
        <v>0</v>
      </c>
      <c r="Z34" s="450" t="s">
        <v>34</v>
      </c>
      <c r="AA34" s="166" t="s">
        <v>34</v>
      </c>
      <c r="AB34">
        <f t="shared" si="3"/>
        <v>26</v>
      </c>
      <c r="AC34" t="s">
        <v>1727</v>
      </c>
      <c r="AD34" t="s">
        <v>1740</v>
      </c>
      <c r="AE34" t="s">
        <v>1761</v>
      </c>
      <c r="AF34" t="s">
        <v>1762</v>
      </c>
      <c r="AG34" t="s">
        <v>34</v>
      </c>
      <c r="AJ34" s="4" t="s">
        <v>1699</v>
      </c>
      <c r="AK34" t="s">
        <v>34</v>
      </c>
    </row>
    <row r="35" spans="1:37" x14ac:dyDescent="0.35">
      <c r="A35">
        <f t="shared" si="4"/>
        <v>27</v>
      </c>
      <c r="B35" s="7" t="s">
        <v>2275</v>
      </c>
      <c r="C35" s="758">
        <v>15.8</v>
      </c>
      <c r="D35" s="174">
        <v>1.8</v>
      </c>
      <c r="E35" s="172">
        <v>10000</v>
      </c>
      <c r="F35" s="172">
        <v>61000</v>
      </c>
      <c r="G35" s="747">
        <f t="shared" si="7"/>
        <v>0.32390000000000002</v>
      </c>
      <c r="H35" s="601">
        <v>2.0500000000000001E-2</v>
      </c>
      <c r="I35" s="172">
        <f>SUM(J35:O35)+5+1+4</f>
        <v>10</v>
      </c>
      <c r="J35" s="172">
        <v>0</v>
      </c>
      <c r="K35" s="172">
        <v>0</v>
      </c>
      <c r="L35" s="172">
        <v>0</v>
      </c>
      <c r="M35" s="172">
        <v>0</v>
      </c>
      <c r="N35" s="172">
        <v>0</v>
      </c>
      <c r="O35" s="172">
        <v>0</v>
      </c>
      <c r="P35" s="172">
        <v>0</v>
      </c>
      <c r="Q35" s="172">
        <f>SUM(R35:S35)</f>
        <v>6</v>
      </c>
      <c r="R35" s="172">
        <v>0</v>
      </c>
      <c r="S35" s="172">
        <v>6</v>
      </c>
      <c r="T35" s="172">
        <f>23</f>
        <v>23</v>
      </c>
      <c r="U35" s="172">
        <f>10+56+12+10+84+9+27</f>
        <v>208</v>
      </c>
      <c r="V35" s="172">
        <v>0</v>
      </c>
      <c r="W35" s="172">
        <f>30+30</f>
        <v>60</v>
      </c>
      <c r="X35" s="172">
        <v>0</v>
      </c>
      <c r="Y35" s="166">
        <v>0</v>
      </c>
      <c r="Z35" s="450" t="s">
        <v>34</v>
      </c>
      <c r="AA35" s="166" t="s">
        <v>34</v>
      </c>
      <c r="AB35">
        <f t="shared" si="3"/>
        <v>27</v>
      </c>
      <c r="AC35" t="s">
        <v>1728</v>
      </c>
      <c r="AD35" t="s">
        <v>1741</v>
      </c>
      <c r="AE35" t="s">
        <v>1759</v>
      </c>
      <c r="AF35" t="s">
        <v>1760</v>
      </c>
      <c r="AG35" t="s">
        <v>34</v>
      </c>
      <c r="AJ35" s="4" t="s">
        <v>1700</v>
      </c>
      <c r="AK35" t="s">
        <v>34</v>
      </c>
    </row>
    <row r="36" spans="1:37" x14ac:dyDescent="0.35">
      <c r="A36">
        <f t="shared" si="4"/>
        <v>28</v>
      </c>
      <c r="B36" s="7" t="s">
        <v>2271</v>
      </c>
      <c r="C36" s="758">
        <f>UkrAid24Jan2022To15Jan2024!G11</f>
        <v>4082</v>
      </c>
      <c r="D36" s="174">
        <f>UkrAid24Jan2022To15Jan2024!H11</f>
        <v>84.8</v>
      </c>
      <c r="E36" s="172">
        <v>180000</v>
      </c>
      <c r="F36" s="172">
        <v>930000</v>
      </c>
      <c r="G36" s="747">
        <f t="shared" si="7"/>
        <v>86.538399999999996</v>
      </c>
      <c r="H36" s="601">
        <v>2.12E-2</v>
      </c>
      <c r="I36" s="172">
        <f>SUM(J36:O36)+11</f>
        <v>325</v>
      </c>
      <c r="J36" s="172">
        <f>83+141</f>
        <v>224</v>
      </c>
      <c r="K36" s="172">
        <v>0</v>
      </c>
      <c r="L36" s="172">
        <f>3+48</f>
        <v>51</v>
      </c>
      <c r="M36" s="172">
        <f>3+1+2+3+3+3</f>
        <v>15</v>
      </c>
      <c r="N36" s="172">
        <v>0</v>
      </c>
      <c r="O36" s="172">
        <v>24</v>
      </c>
      <c r="P36" s="172">
        <v>0</v>
      </c>
      <c r="Q36" s="172">
        <f t="shared" si="6"/>
        <v>99</v>
      </c>
      <c r="R36" s="172">
        <v>0</v>
      </c>
      <c r="S36" s="172">
        <f>81+15+3</f>
        <v>99</v>
      </c>
      <c r="T36" s="172">
        <f>19+68+34+20+50+104</f>
        <v>295</v>
      </c>
      <c r="U36" s="172">
        <f>337+362+211+189+403+825+247+586+495+175+145+30</f>
        <v>4005</v>
      </c>
      <c r="V36" s="172">
        <f>134+33</f>
        <v>167</v>
      </c>
      <c r="W36" s="172">
        <f>9+67</f>
        <v>76</v>
      </c>
      <c r="X36" s="172">
        <f>11+5+2+10</f>
        <v>28</v>
      </c>
      <c r="Y36" s="166">
        <v>6</v>
      </c>
      <c r="Z36" s="450" t="s">
        <v>34</v>
      </c>
      <c r="AA36" s="166" t="s">
        <v>34</v>
      </c>
      <c r="AB36">
        <f t="shared" si="3"/>
        <v>28</v>
      </c>
      <c r="AC36" t="s">
        <v>1593</v>
      </c>
      <c r="AD36" t="s">
        <v>1686</v>
      </c>
      <c r="AE36" t="s">
        <v>1687</v>
      </c>
      <c r="AF36" t="s">
        <v>1689</v>
      </c>
      <c r="AG36" t="s">
        <v>34</v>
      </c>
      <c r="AK36" t="s">
        <v>34</v>
      </c>
    </row>
    <row r="37" spans="1:37" x14ac:dyDescent="0.35">
      <c r="A37">
        <f t="shared" si="4"/>
        <v>29</v>
      </c>
      <c r="B37" s="7" t="s">
        <v>2354</v>
      </c>
      <c r="C37" s="758">
        <f>UkrAid24Jan2022To15Jan2024!G12</f>
        <v>3089</v>
      </c>
      <c r="D37" s="174">
        <f>UkrAid24Jan2022To15Jan2024!H12</f>
        <v>68.11</v>
      </c>
      <c r="E37" s="172">
        <v>138100</v>
      </c>
      <c r="F37" s="172">
        <v>33000</v>
      </c>
      <c r="G37" s="747">
        <f t="shared" si="7"/>
        <v>71.973700000000008</v>
      </c>
      <c r="H37" s="601">
        <v>2.3300000000000001E-2</v>
      </c>
      <c r="I37" s="172">
        <f>SUM(J37:O37)+29+7+28+14+5+91+52</f>
        <v>425</v>
      </c>
      <c r="J37" s="172">
        <f>107+33</f>
        <v>140</v>
      </c>
      <c r="K37" s="172">
        <v>0</v>
      </c>
      <c r="L37" s="172">
        <v>9</v>
      </c>
      <c r="M37" s="172">
        <f>8+22+2</f>
        <v>32</v>
      </c>
      <c r="N37" s="172">
        <v>0</v>
      </c>
      <c r="O37" s="172">
        <f>6+3+9</f>
        <v>18</v>
      </c>
      <c r="P37" s="172">
        <v>0</v>
      </c>
      <c r="Q37" s="172">
        <f t="shared" si="6"/>
        <v>264</v>
      </c>
      <c r="R37" s="172">
        <f>41+28+30</f>
        <v>99</v>
      </c>
      <c r="S37" s="172">
        <f>1+75+18+6+34+6+25</f>
        <v>165</v>
      </c>
      <c r="T37" s="172">
        <f>213</f>
        <v>213</v>
      </c>
      <c r="U37" s="172">
        <f>44+2+625+746+329+164+86+398</f>
        <v>2394</v>
      </c>
      <c r="V37" s="172">
        <f>57+14+29</f>
        <v>100</v>
      </c>
      <c r="W37" s="172">
        <f>6</f>
        <v>6</v>
      </c>
      <c r="X37" s="172">
        <f>2+2+6+9+8+7+18+2+1</f>
        <v>55</v>
      </c>
      <c r="Y37" s="166">
        <f>4+6</f>
        <v>10</v>
      </c>
      <c r="Z37" s="450" t="s">
        <v>34</v>
      </c>
      <c r="AA37" s="166" t="s">
        <v>34</v>
      </c>
      <c r="AB37">
        <f t="shared" si="3"/>
        <v>29</v>
      </c>
      <c r="AC37" s="4" t="s">
        <v>1595</v>
      </c>
      <c r="AD37" t="s">
        <v>1753</v>
      </c>
      <c r="AE37" t="s">
        <v>1754</v>
      </c>
      <c r="AF37" t="s">
        <v>1755</v>
      </c>
      <c r="AG37" t="s">
        <v>34</v>
      </c>
    </row>
    <row r="38" spans="1:37" x14ac:dyDescent="0.35">
      <c r="A38">
        <f t="shared" si="4"/>
        <v>30</v>
      </c>
      <c r="B38" s="7" t="s">
        <v>2276</v>
      </c>
      <c r="C38" s="758">
        <v>1218</v>
      </c>
      <c r="D38" s="174">
        <v>18.2</v>
      </c>
      <c r="E38" s="172">
        <v>42300</v>
      </c>
      <c r="F38" s="172">
        <v>7500</v>
      </c>
      <c r="G38" s="747">
        <f t="shared" si="7"/>
        <v>19.488</v>
      </c>
      <c r="H38" s="601">
        <v>1.6E-2</v>
      </c>
      <c r="I38" s="172">
        <f>SUM(J38:O38)+13</f>
        <v>67</v>
      </c>
      <c r="J38" s="172">
        <f>40</f>
        <v>40</v>
      </c>
      <c r="K38" s="172">
        <v>0</v>
      </c>
      <c r="L38" s="172">
        <v>9</v>
      </c>
      <c r="M38" s="172">
        <f>4+1</f>
        <v>5</v>
      </c>
      <c r="N38" s="172">
        <v>0</v>
      </c>
      <c r="O38" s="172">
        <v>0</v>
      </c>
      <c r="P38" s="172">
        <v>0</v>
      </c>
      <c r="Q38" s="172">
        <f t="shared" si="6"/>
        <v>79</v>
      </c>
      <c r="R38" s="172">
        <f>28+19</f>
        <v>47</v>
      </c>
      <c r="S38" s="172">
        <f>20+12</f>
        <v>32</v>
      </c>
      <c r="T38" s="172">
        <f>18</f>
        <v>18</v>
      </c>
      <c r="U38" s="172">
        <f>128+200+16+102+200+345</f>
        <v>991</v>
      </c>
      <c r="V38" s="172">
        <f>2+46</f>
        <v>48</v>
      </c>
      <c r="W38" s="172">
        <f>18+2+4</f>
        <v>24</v>
      </c>
      <c r="X38" s="172">
        <f>2+4+4+2+1+4+1+12+4</f>
        <v>34</v>
      </c>
      <c r="Y38" s="166">
        <v>3</v>
      </c>
      <c r="Z38" s="450" t="s">
        <v>34</v>
      </c>
      <c r="AA38" s="166" t="s">
        <v>34</v>
      </c>
      <c r="AB38">
        <f t="shared" si="3"/>
        <v>30</v>
      </c>
      <c r="AC38" s="4" t="s">
        <v>1690</v>
      </c>
      <c r="AD38" t="s">
        <v>1694</v>
      </c>
      <c r="AE38" t="s">
        <v>1763</v>
      </c>
      <c r="AF38" s="4" t="s">
        <v>1764</v>
      </c>
      <c r="AG38" t="s">
        <v>1765</v>
      </c>
      <c r="AH38" t="s">
        <v>34</v>
      </c>
    </row>
    <row r="39" spans="1:37" x14ac:dyDescent="0.35">
      <c r="A39">
        <f t="shared" si="4"/>
        <v>31</v>
      </c>
      <c r="B39" s="7" t="s">
        <v>2274</v>
      </c>
      <c r="C39" s="758">
        <v>655</v>
      </c>
      <c r="D39" s="174">
        <v>11.8</v>
      </c>
      <c r="E39" s="172">
        <v>24700</v>
      </c>
      <c r="F39" s="172">
        <v>6400</v>
      </c>
      <c r="G39" s="747">
        <f t="shared" si="7"/>
        <v>8.1219999999999999</v>
      </c>
      <c r="H39" s="601">
        <v>1.24E-2</v>
      </c>
      <c r="I39" s="172">
        <f>SUM(J39:O39)+29+8</f>
        <v>90</v>
      </c>
      <c r="J39" s="172">
        <f>45+1</f>
        <v>46</v>
      </c>
      <c r="K39" s="172">
        <v>0</v>
      </c>
      <c r="L39" s="172">
        <v>0</v>
      </c>
      <c r="M39" s="172">
        <v>7</v>
      </c>
      <c r="N39" s="172">
        <v>0</v>
      </c>
      <c r="O39" s="172">
        <v>0</v>
      </c>
      <c r="P39" s="172">
        <v>0</v>
      </c>
      <c r="Q39" s="172">
        <f t="shared" si="6"/>
        <v>20</v>
      </c>
      <c r="R39" s="172">
        <v>0</v>
      </c>
      <c r="S39" s="172">
        <f>12+4+4</f>
        <v>20</v>
      </c>
      <c r="T39" s="172">
        <v>0</v>
      </c>
      <c r="U39" s="172">
        <f>52+218+99+18+12+24</f>
        <v>423</v>
      </c>
      <c r="V39" s="172">
        <v>0</v>
      </c>
      <c r="W39" s="172">
        <v>0</v>
      </c>
      <c r="X39" s="172">
        <f>2+2+5</f>
        <v>9</v>
      </c>
      <c r="Y39" s="166">
        <v>0</v>
      </c>
      <c r="Z39" s="450" t="s">
        <v>34</v>
      </c>
      <c r="AA39" s="166" t="s">
        <v>34</v>
      </c>
      <c r="AB39">
        <f t="shared" si="3"/>
        <v>31</v>
      </c>
      <c r="AC39" s="4" t="s">
        <v>1691</v>
      </c>
      <c r="AD39" t="s">
        <v>1695</v>
      </c>
      <c r="AE39" s="4" t="s">
        <v>1766</v>
      </c>
      <c r="AF39" t="s">
        <v>1767</v>
      </c>
      <c r="AG39" s="4" t="s">
        <v>1768</v>
      </c>
      <c r="AH39" t="s">
        <v>34</v>
      </c>
    </row>
    <row r="40" spans="1:37" x14ac:dyDescent="0.35">
      <c r="A40">
        <f t="shared" si="4"/>
        <v>32</v>
      </c>
      <c r="B40" s="7" t="s">
        <v>2273</v>
      </c>
      <c r="C40" s="758">
        <v>88.6</v>
      </c>
      <c r="D40" s="174">
        <v>0.7</v>
      </c>
      <c r="E40" s="172">
        <v>1000</v>
      </c>
      <c r="F40" s="172" t="s">
        <v>34</v>
      </c>
      <c r="G40" s="747">
        <f t="shared" si="7"/>
        <v>0.49615999999999999</v>
      </c>
      <c r="H40" s="601">
        <v>5.5999999999999999E-3</v>
      </c>
      <c r="I40" s="172">
        <f>SUM(J40:O40)</f>
        <v>1</v>
      </c>
      <c r="J40" s="172">
        <v>0</v>
      </c>
      <c r="K40" s="172">
        <v>0</v>
      </c>
      <c r="L40" s="172">
        <v>0</v>
      </c>
      <c r="M40" s="172">
        <v>1</v>
      </c>
      <c r="N40" s="172">
        <v>0</v>
      </c>
      <c r="O40" s="172">
        <v>0</v>
      </c>
      <c r="P40" s="172">
        <v>0</v>
      </c>
      <c r="Q40" s="172">
        <f t="shared" ref="Q40:Q45" si="8">SUM(R40:S40)</f>
        <v>2</v>
      </c>
      <c r="R40" s="172">
        <v>0</v>
      </c>
      <c r="S40" s="172">
        <v>2</v>
      </c>
      <c r="T40" s="172">
        <v>0</v>
      </c>
      <c r="U40" s="172">
        <f>48+15</f>
        <v>63</v>
      </c>
      <c r="V40" s="172">
        <v>0</v>
      </c>
      <c r="W40" s="172">
        <v>0</v>
      </c>
      <c r="X40" s="172">
        <v>0</v>
      </c>
      <c r="Y40" s="166">
        <v>0</v>
      </c>
      <c r="Z40" s="450" t="s">
        <v>34</v>
      </c>
      <c r="AA40" s="166" t="s">
        <v>34</v>
      </c>
      <c r="AB40">
        <f t="shared" si="3"/>
        <v>32</v>
      </c>
      <c r="AC40" s="4" t="s">
        <v>1729</v>
      </c>
      <c r="AD40" s="4" t="s">
        <v>1731</v>
      </c>
      <c r="AE40" t="s">
        <v>1735</v>
      </c>
      <c r="AF40" t="s">
        <v>34</v>
      </c>
      <c r="AJ40" s="4" t="s">
        <v>1721</v>
      </c>
      <c r="AK40" t="s">
        <v>34</v>
      </c>
    </row>
    <row r="41" spans="1:37" x14ac:dyDescent="0.35">
      <c r="A41">
        <f t="shared" si="4"/>
        <v>33</v>
      </c>
      <c r="B41" s="7" t="s">
        <v>2272</v>
      </c>
      <c r="C41" s="758">
        <f>UkrAid24Jan2022To15Jan2024!G21</f>
        <v>2779</v>
      </c>
      <c r="D41" s="174">
        <f>UkrAid24Jan2022To15Jan2024!H21</f>
        <v>68.099999999999994</v>
      </c>
      <c r="E41" s="172">
        <v>270000</v>
      </c>
      <c r="F41" s="172">
        <v>64000</v>
      </c>
      <c r="G41" s="747">
        <f t="shared" si="7"/>
        <v>57.247399999999999</v>
      </c>
      <c r="H41" s="601">
        <v>2.06E-2</v>
      </c>
      <c r="I41" s="172">
        <f>SUM(J41:O41)+6+26+17+1+18+16+9+1+27+17</f>
        <v>536</v>
      </c>
      <c r="J41" s="172">
        <f>95+65+26+41</f>
        <v>227</v>
      </c>
      <c r="K41" s="172">
        <v>0</v>
      </c>
      <c r="L41" s="172">
        <f>12+2+5</f>
        <v>19</v>
      </c>
      <c r="M41" s="172">
        <f>5+24+2+14+27+15+5+10+6</f>
        <v>108</v>
      </c>
      <c r="N41" s="172">
        <f>4+3</f>
        <v>7</v>
      </c>
      <c r="O41" s="172">
        <f>2+22+5+8</f>
        <v>37</v>
      </c>
      <c r="P41" s="172">
        <v>0</v>
      </c>
      <c r="Q41" s="172">
        <f t="shared" si="8"/>
        <v>429</v>
      </c>
      <c r="R41" s="172">
        <f>69</f>
        <v>69</v>
      </c>
      <c r="S41" s="172">
        <f>13+3+21+40+27+4+38+58+8+25+17+106</f>
        <v>360</v>
      </c>
      <c r="T41" s="172">
        <f>215</f>
        <v>215</v>
      </c>
      <c r="U41" s="172">
        <f>622+1800+587+208+210+62+5+20+87+34</f>
        <v>3635</v>
      </c>
      <c r="V41" s="172">
        <f>32+64+9</f>
        <v>105</v>
      </c>
      <c r="W41" s="172">
        <f>8+8</f>
        <v>16</v>
      </c>
      <c r="X41" s="172">
        <v>100</v>
      </c>
      <c r="Y41" s="166">
        <v>9</v>
      </c>
      <c r="Z41" s="450" t="s">
        <v>34</v>
      </c>
      <c r="AA41" s="166" t="s">
        <v>34</v>
      </c>
      <c r="AB41">
        <f t="shared" si="3"/>
        <v>33</v>
      </c>
      <c r="AC41" s="4" t="s">
        <v>1596</v>
      </c>
      <c r="AD41" s="4" t="s">
        <v>1769</v>
      </c>
      <c r="AE41" s="4" t="s">
        <v>1770</v>
      </c>
      <c r="AF41" t="s">
        <v>1771</v>
      </c>
      <c r="AG41" t="s">
        <v>1772</v>
      </c>
      <c r="AH41" t="s">
        <v>34</v>
      </c>
    </row>
    <row r="42" spans="1:37" x14ac:dyDescent="0.35">
      <c r="A42">
        <f t="shared" si="4"/>
        <v>34</v>
      </c>
      <c r="B42" s="7" t="s">
        <v>2278</v>
      </c>
      <c r="C42" s="758">
        <v>1647</v>
      </c>
      <c r="D42" s="174">
        <v>49</v>
      </c>
      <c r="E42" s="172">
        <f>133000</f>
        <v>133000</v>
      </c>
      <c r="F42" s="172">
        <v>15000</v>
      </c>
      <c r="G42" s="747">
        <f t="shared" si="7"/>
        <v>24.704999999999998</v>
      </c>
      <c r="H42" s="601">
        <v>1.4999999999999999E-2</v>
      </c>
      <c r="I42" s="172">
        <f>SUM(J42:O42)+34+24+19+41+14+4</f>
        <v>354</v>
      </c>
      <c r="J42" s="172">
        <f>71+12+17+32+19</f>
        <v>151</v>
      </c>
      <c r="K42" s="172">
        <v>0</v>
      </c>
      <c r="L42" s="172">
        <v>0</v>
      </c>
      <c r="M42" s="172">
        <f>3+17+8+13+3+2+5</f>
        <v>51</v>
      </c>
      <c r="N42" s="172">
        <v>0</v>
      </c>
      <c r="O42" s="172">
        <f>3+9+3+1</f>
        <v>16</v>
      </c>
      <c r="P42" s="172">
        <v>0</v>
      </c>
      <c r="Q42" s="172">
        <f t="shared" si="8"/>
        <v>26</v>
      </c>
      <c r="R42" s="172">
        <v>0</v>
      </c>
      <c r="S42" s="172">
        <f>6+8+12</f>
        <v>26</v>
      </c>
      <c r="T42" s="172">
        <f>219+108</f>
        <v>327</v>
      </c>
      <c r="U42" s="172">
        <f>261+500+90+84+4+648+135+100</f>
        <v>1822</v>
      </c>
      <c r="V42" s="172">
        <f>96+84</f>
        <v>180</v>
      </c>
      <c r="W42" s="172">
        <f>92+3+138+168</f>
        <v>401</v>
      </c>
      <c r="X42" s="172">
        <f>1+2+11+6+23</f>
        <v>43</v>
      </c>
      <c r="Y42" s="166">
        <v>3</v>
      </c>
      <c r="Z42" s="450" t="s">
        <v>34</v>
      </c>
      <c r="AA42" s="166" t="s">
        <v>34</v>
      </c>
      <c r="AB42">
        <f t="shared" si="3"/>
        <v>34</v>
      </c>
      <c r="AC42" t="s">
        <v>1583</v>
      </c>
      <c r="AD42" s="4" t="s">
        <v>1597</v>
      </c>
      <c r="AE42" s="4" t="s">
        <v>1773</v>
      </c>
      <c r="AF42" t="s">
        <v>1774</v>
      </c>
      <c r="AG42" t="s">
        <v>1775</v>
      </c>
      <c r="AH42" t="s">
        <v>34</v>
      </c>
    </row>
    <row r="43" spans="1:37" x14ac:dyDescent="0.35">
      <c r="A43">
        <f t="shared" si="4"/>
        <v>35</v>
      </c>
      <c r="B43" s="7" t="s">
        <v>2355</v>
      </c>
      <c r="C43" s="758">
        <v>303</v>
      </c>
      <c r="D43" s="174">
        <v>10.6</v>
      </c>
      <c r="E43" s="172">
        <v>28000</v>
      </c>
      <c r="F43" s="172" t="s">
        <v>34</v>
      </c>
      <c r="G43" s="747">
        <f t="shared" si="7"/>
        <v>4.6055999999999999</v>
      </c>
      <c r="H43" s="601">
        <v>1.52E-2</v>
      </c>
      <c r="I43" s="172">
        <f>SUM(J43:O43)+15+7</f>
        <v>60</v>
      </c>
      <c r="J43" s="172">
        <f>24+4</f>
        <v>28</v>
      </c>
      <c r="K43" s="172">
        <v>0</v>
      </c>
      <c r="L43" s="172">
        <v>0</v>
      </c>
      <c r="M43" s="172">
        <f>4+2+3+1</f>
        <v>10</v>
      </c>
      <c r="N43" s="172">
        <v>0</v>
      </c>
      <c r="O43" s="172">
        <v>0</v>
      </c>
      <c r="P43" s="172">
        <v>0</v>
      </c>
      <c r="Q43" s="172">
        <f t="shared" si="8"/>
        <v>24</v>
      </c>
      <c r="R43" s="172">
        <v>0</v>
      </c>
      <c r="S43" s="172">
        <f>7+12+2+3</f>
        <v>24</v>
      </c>
      <c r="T43" s="172">
        <f>34</f>
        <v>34</v>
      </c>
      <c r="U43" s="172">
        <f>210+4+17+49+18+15+188</f>
        <v>501</v>
      </c>
      <c r="V43" s="172">
        <f>18+6</f>
        <v>24</v>
      </c>
      <c r="W43" s="172">
        <v>36</v>
      </c>
      <c r="X43" s="172">
        <f>3+2+1+1+4+4+1</f>
        <v>16</v>
      </c>
      <c r="Y43" s="166">
        <v>2</v>
      </c>
      <c r="Z43" s="450" t="s">
        <v>34</v>
      </c>
      <c r="AA43" s="166" t="s">
        <v>34</v>
      </c>
      <c r="AB43">
        <f t="shared" si="3"/>
        <v>35</v>
      </c>
      <c r="AC43" t="s">
        <v>1684</v>
      </c>
      <c r="AD43" s="4" t="s">
        <v>1685</v>
      </c>
      <c r="AE43" s="4" t="s">
        <v>1776</v>
      </c>
      <c r="AF43" t="s">
        <v>1777</v>
      </c>
      <c r="AG43" t="s">
        <v>1778</v>
      </c>
      <c r="AH43" t="s">
        <v>34</v>
      </c>
    </row>
    <row r="44" spans="1:37" x14ac:dyDescent="0.35">
      <c r="A44">
        <f t="shared" si="4"/>
        <v>36</v>
      </c>
      <c r="B44" s="7" t="s">
        <v>2277</v>
      </c>
      <c r="C44" s="758">
        <f>UkrAid24Jan2022To15Jan2024!G24</f>
        <v>2050</v>
      </c>
      <c r="D44" s="174">
        <f>UkrAid24Jan2022To15Jan2024!H24</f>
        <v>59</v>
      </c>
      <c r="E44" s="172">
        <v>165000</v>
      </c>
      <c r="F44" s="172">
        <v>18300</v>
      </c>
      <c r="G44" s="747">
        <f t="shared" si="7"/>
        <v>30.75</v>
      </c>
      <c r="H44" s="601">
        <v>1.4999999999999999E-2</v>
      </c>
      <c r="I44" s="172">
        <f>SUM(J44:O44)+21+2+7+48+29+38+1</f>
        <v>390</v>
      </c>
      <c r="J44" s="172">
        <f>79+14+28+13+5+27+4+14+6</f>
        <v>190</v>
      </c>
      <c r="K44" s="172">
        <v>0</v>
      </c>
      <c r="L44" s="172">
        <f>4+3</f>
        <v>7</v>
      </c>
      <c r="M44" s="172">
        <f>7+6+3+1+2+3+14</f>
        <v>36</v>
      </c>
      <c r="N44" s="172">
        <v>2</v>
      </c>
      <c r="O44" s="172">
        <f>3+2+4</f>
        <v>9</v>
      </c>
      <c r="P44" s="172">
        <v>0</v>
      </c>
      <c r="Q44" s="172">
        <f t="shared" si="8"/>
        <v>406</v>
      </c>
      <c r="R44" s="172">
        <f>59+33+56</f>
        <v>148</v>
      </c>
      <c r="S44" s="172">
        <f>12+30+30+55+21+9+22+60+2+17</f>
        <v>258</v>
      </c>
      <c r="T44" s="172">
        <f>200</f>
        <v>200</v>
      </c>
      <c r="U44" s="172">
        <f>259+112+198+177+72+46+35+360+180+15+300+2000+56+12</f>
        <v>3822</v>
      </c>
      <c r="V44" s="172">
        <f>90+64+21</f>
        <v>175</v>
      </c>
      <c r="W44" s="172">
        <f>24+5</f>
        <v>29</v>
      </c>
      <c r="X44" s="172">
        <f>1+1+3+2+2+8+2+2+1+1+4+2+4+4+2+1+41</f>
        <v>81</v>
      </c>
      <c r="Y44" s="166">
        <f>4+4</f>
        <v>8</v>
      </c>
      <c r="Z44" s="450" t="s">
        <v>34</v>
      </c>
      <c r="AA44" s="166" t="s">
        <v>34</v>
      </c>
      <c r="AB44">
        <f t="shared" si="3"/>
        <v>36</v>
      </c>
      <c r="AC44" s="4" t="s">
        <v>1598</v>
      </c>
      <c r="AD44" t="s">
        <v>1780</v>
      </c>
      <c r="AE44" t="s">
        <v>1781</v>
      </c>
      <c r="AF44" t="s">
        <v>1783</v>
      </c>
      <c r="AG44" t="s">
        <v>34</v>
      </c>
    </row>
    <row r="45" spans="1:37" ht="15" thickBot="1" x14ac:dyDescent="0.4">
      <c r="A45">
        <f t="shared" si="4"/>
        <v>37</v>
      </c>
      <c r="B45" s="7" t="s">
        <v>2303</v>
      </c>
      <c r="C45" s="758">
        <f>UkrAid24Jan2022To15Jan2024!G16</f>
        <v>2138</v>
      </c>
      <c r="D45" s="174">
        <f>UkrAid24Jan2022To15Jan2024!H16</f>
        <v>39.799999999999997</v>
      </c>
      <c r="E45" s="172">
        <v>68000</v>
      </c>
      <c r="F45" s="172">
        <v>27000</v>
      </c>
      <c r="G45" s="747">
        <f t="shared" si="7"/>
        <v>27.794</v>
      </c>
      <c r="H45" s="601">
        <v>1.2999999999999999E-2</v>
      </c>
      <c r="I45" s="172">
        <f>SUM(J45:O45)+24+4+22+16+14</f>
        <v>238</v>
      </c>
      <c r="J45" s="172">
        <f>85+7</f>
        <v>92</v>
      </c>
      <c r="K45" s="172">
        <v>0</v>
      </c>
      <c r="L45" s="172">
        <f>12+5+2</f>
        <v>19</v>
      </c>
      <c r="M45" s="172">
        <f>17+3+4+5</f>
        <v>29</v>
      </c>
      <c r="N45" s="172">
        <v>0</v>
      </c>
      <c r="O45" s="172">
        <f>15+3</f>
        <v>18</v>
      </c>
      <c r="P45" s="172">
        <v>0</v>
      </c>
      <c r="Q45" s="172">
        <f t="shared" si="8"/>
        <v>150</v>
      </c>
      <c r="R45" s="172">
        <f>25</f>
        <v>25</v>
      </c>
      <c r="S45" s="172">
        <f>13+85+14+13</f>
        <v>125</v>
      </c>
      <c r="T45" s="172">
        <f>20+54</f>
        <v>74</v>
      </c>
      <c r="U45" s="172">
        <f>135+198+85+616+360+500</f>
        <v>1894</v>
      </c>
      <c r="V45" s="172">
        <f>33</f>
        <v>33</v>
      </c>
      <c r="W45" s="172">
        <f>0</f>
        <v>0</v>
      </c>
      <c r="X45" s="172">
        <f>12+4+12</f>
        <v>28</v>
      </c>
      <c r="Y45" s="166">
        <v>4</v>
      </c>
      <c r="Z45" s="450" t="s">
        <v>34</v>
      </c>
      <c r="AA45" s="166" t="s">
        <v>34</v>
      </c>
      <c r="AB45">
        <f t="shared" si="3"/>
        <v>37</v>
      </c>
      <c r="AC45" s="4" t="s">
        <v>1634</v>
      </c>
      <c r="AD45" t="s">
        <v>1784</v>
      </c>
      <c r="AE45" t="s">
        <v>1786</v>
      </c>
      <c r="AF45" t="s">
        <v>1787</v>
      </c>
      <c r="AG45" t="s">
        <v>34</v>
      </c>
    </row>
    <row r="46" spans="1:37" ht="15.5" thickTop="1" thickBot="1" x14ac:dyDescent="0.4">
      <c r="A46">
        <f t="shared" si="4"/>
        <v>38</v>
      </c>
      <c r="B46" s="21" t="s">
        <v>2369</v>
      </c>
      <c r="C46" s="759">
        <f>SUM(C16:C45)</f>
        <v>23249.800000000003</v>
      </c>
      <c r="D46" s="731">
        <f>SUM(D16:D45)</f>
        <v>552.81000000000006</v>
      </c>
      <c r="E46" s="732">
        <f>SUM(E16:E45)</f>
        <v>1906795</v>
      </c>
      <c r="F46" s="732">
        <f>SUM(F16:F45)</f>
        <v>4378900</v>
      </c>
      <c r="G46" s="752">
        <f>SUM(G16:G45)</f>
        <v>452.07853999999992</v>
      </c>
      <c r="H46" s="733">
        <f>G46/C46</f>
        <v>1.9444405543273483E-2</v>
      </c>
      <c r="I46" s="732">
        <f t="shared" ref="I46:Y46" si="9">SUM(I16:I45)</f>
        <v>3827</v>
      </c>
      <c r="J46" s="732">
        <f t="shared" si="9"/>
        <v>1813</v>
      </c>
      <c r="K46" s="732">
        <f t="shared" si="9"/>
        <v>0</v>
      </c>
      <c r="L46" s="732">
        <f t="shared" si="9"/>
        <v>115</v>
      </c>
      <c r="M46" s="732">
        <f t="shared" si="9"/>
        <v>453</v>
      </c>
      <c r="N46" s="732">
        <f t="shared" si="9"/>
        <v>17</v>
      </c>
      <c r="O46" s="732">
        <f t="shared" si="9"/>
        <v>138</v>
      </c>
      <c r="P46" s="732">
        <f t="shared" si="9"/>
        <v>0</v>
      </c>
      <c r="Q46" s="732">
        <f t="shared" si="9"/>
        <v>2116</v>
      </c>
      <c r="R46" s="732">
        <f t="shared" si="9"/>
        <v>443</v>
      </c>
      <c r="S46" s="732">
        <f t="shared" si="9"/>
        <v>1673</v>
      </c>
      <c r="T46" s="732">
        <f t="shared" si="9"/>
        <v>5629</v>
      </c>
      <c r="U46" s="732">
        <f t="shared" si="9"/>
        <v>33459</v>
      </c>
      <c r="V46" s="732">
        <f t="shared" si="9"/>
        <v>4584</v>
      </c>
      <c r="W46" s="732">
        <f t="shared" si="9"/>
        <v>4004</v>
      </c>
      <c r="X46" s="732">
        <f t="shared" si="9"/>
        <v>702</v>
      </c>
      <c r="Y46" s="734">
        <f t="shared" si="9"/>
        <v>67</v>
      </c>
      <c r="Z46" s="836" t="s">
        <v>34</v>
      </c>
      <c r="AA46" s="837" t="s">
        <v>34</v>
      </c>
      <c r="AB46">
        <f t="shared" si="3"/>
        <v>38</v>
      </c>
      <c r="AC46" t="s">
        <v>34</v>
      </c>
      <c r="AF46" t="s">
        <v>34</v>
      </c>
    </row>
    <row r="47" spans="1:37" ht="15" thickTop="1" x14ac:dyDescent="0.35">
      <c r="A47">
        <f t="shared" si="4"/>
        <v>39</v>
      </c>
      <c r="B47" s="7" t="s">
        <v>2356</v>
      </c>
      <c r="C47" s="758">
        <f>UkrAid24Jan2022To15Jan2024!G9</f>
        <v>19350</v>
      </c>
      <c r="D47" s="174">
        <f>UkrAid24Jan2022To15Jan2024!H9</f>
        <v>448.4</v>
      </c>
      <c r="E47" s="172" t="s">
        <v>34</v>
      </c>
      <c r="F47" s="172" t="s">
        <v>34</v>
      </c>
      <c r="G47" s="747" t="s">
        <v>34</v>
      </c>
      <c r="H47" s="172" t="s">
        <v>34</v>
      </c>
      <c r="I47" s="172" t="s">
        <v>34</v>
      </c>
      <c r="J47" s="172" t="s">
        <v>34</v>
      </c>
      <c r="K47" s="172" t="s">
        <v>34</v>
      </c>
      <c r="L47" s="172" t="s">
        <v>34</v>
      </c>
      <c r="M47" s="172" t="s">
        <v>34</v>
      </c>
      <c r="N47" s="172" t="s">
        <v>34</v>
      </c>
      <c r="O47" s="172" t="s">
        <v>34</v>
      </c>
      <c r="P47" s="172" t="s">
        <v>34</v>
      </c>
      <c r="Q47" s="172" t="s">
        <v>34</v>
      </c>
      <c r="R47" s="172" t="s">
        <v>34</v>
      </c>
      <c r="S47" s="172" t="s">
        <v>34</v>
      </c>
      <c r="T47" s="172" t="s">
        <v>34</v>
      </c>
      <c r="U47" s="172" t="s">
        <v>34</v>
      </c>
      <c r="V47" s="172" t="s">
        <v>34</v>
      </c>
      <c r="W47" s="172" t="s">
        <v>34</v>
      </c>
      <c r="X47" s="172" t="s">
        <v>34</v>
      </c>
      <c r="Y47" s="166"/>
      <c r="Z47" s="450" t="s">
        <v>34</v>
      </c>
      <c r="AA47" s="166" t="s">
        <v>34</v>
      </c>
      <c r="AB47">
        <f t="shared" si="3"/>
        <v>39</v>
      </c>
      <c r="AC47" s="427" t="s">
        <v>34</v>
      </c>
      <c r="AF47" t="s">
        <v>34</v>
      </c>
    </row>
    <row r="48" spans="1:37" x14ac:dyDescent="0.35">
      <c r="A48">
        <f t="shared" si="4"/>
        <v>40</v>
      </c>
      <c r="B48" s="7" t="s">
        <v>2357</v>
      </c>
      <c r="C48" s="758">
        <v>18.399999999999999</v>
      </c>
      <c r="D48" s="174">
        <v>2.4</v>
      </c>
      <c r="E48" s="172">
        <v>6500</v>
      </c>
      <c r="F48" s="172">
        <v>65000</v>
      </c>
      <c r="G48" s="747">
        <f>C48*H48</f>
        <v>0.10119999999999998</v>
      </c>
      <c r="H48" s="601">
        <v>5.4999999999999997E-3</v>
      </c>
      <c r="I48" s="42">
        <f>SUM(J48:O48)</f>
        <v>0</v>
      </c>
      <c r="J48" s="42">
        <v>0</v>
      </c>
      <c r="K48" s="42">
        <v>0</v>
      </c>
      <c r="L48" s="42">
        <v>0</v>
      </c>
      <c r="M48" s="42">
        <v>0</v>
      </c>
      <c r="N48" s="42">
        <v>0</v>
      </c>
      <c r="O48" s="42">
        <v>0</v>
      </c>
      <c r="P48" s="42">
        <v>0</v>
      </c>
      <c r="Q48" s="42">
        <f>SUM(R48:S48)</f>
        <v>0</v>
      </c>
      <c r="R48" s="42">
        <v>0</v>
      </c>
      <c r="S48" s="42">
        <v>0</v>
      </c>
      <c r="T48" s="42">
        <v>0</v>
      </c>
      <c r="U48" s="172">
        <f>25+2+15+10+12+80+8+12+19+3</f>
        <v>186</v>
      </c>
      <c r="V48" s="172">
        <f>31+20+9+11</f>
        <v>71</v>
      </c>
      <c r="W48" s="172">
        <f>3+28+11</f>
        <v>42</v>
      </c>
      <c r="X48" s="172">
        <v>0</v>
      </c>
      <c r="Y48" s="166">
        <v>0</v>
      </c>
      <c r="Z48" s="450" t="s">
        <v>34</v>
      </c>
      <c r="AA48" s="166" t="s">
        <v>34</v>
      </c>
      <c r="AB48">
        <f t="shared" si="3"/>
        <v>40</v>
      </c>
      <c r="AC48" s="4" t="s">
        <v>1577</v>
      </c>
      <c r="AD48" t="s">
        <v>1590</v>
      </c>
      <c r="AE48" t="s">
        <v>1630</v>
      </c>
      <c r="AF48" t="s">
        <v>1629</v>
      </c>
      <c r="AJ48" t="s">
        <v>34</v>
      </c>
    </row>
    <row r="49" spans="1:37" ht="15" thickBot="1" x14ac:dyDescent="0.4">
      <c r="A49">
        <f t="shared" si="4"/>
        <v>41</v>
      </c>
      <c r="B49" s="106" t="s">
        <v>2358</v>
      </c>
      <c r="C49" s="666">
        <v>75</v>
      </c>
      <c r="D49" s="174">
        <v>6.6</v>
      </c>
      <c r="E49" s="172">
        <v>23000</v>
      </c>
      <c r="F49" s="172">
        <v>2000</v>
      </c>
      <c r="G49" s="750">
        <f>C49*H49</f>
        <v>1.875</v>
      </c>
      <c r="H49" s="601">
        <v>2.5000000000000001E-2</v>
      </c>
      <c r="I49" s="42">
        <f>SUM(J49:O49)</f>
        <v>33</v>
      </c>
      <c r="J49" s="172">
        <f>14+17</f>
        <v>31</v>
      </c>
      <c r="K49" s="172">
        <v>0</v>
      </c>
      <c r="L49" s="172">
        <v>0</v>
      </c>
      <c r="M49" s="172">
        <v>2</v>
      </c>
      <c r="N49" s="172">
        <v>0</v>
      </c>
      <c r="O49" s="172">
        <v>0</v>
      </c>
      <c r="P49" s="172">
        <v>0</v>
      </c>
      <c r="Q49" s="42">
        <f>SUM(R49:S49)</f>
        <v>58</v>
      </c>
      <c r="R49" s="172">
        <v>15</v>
      </c>
      <c r="S49" s="172">
        <f>10+8+25</f>
        <v>43</v>
      </c>
      <c r="T49" s="172">
        <f>232+30</f>
        <v>262</v>
      </c>
      <c r="U49" s="172">
        <f>323+50+54</f>
        <v>427</v>
      </c>
      <c r="V49" s="172">
        <f>18+72+36+18+3+18+60+6</f>
        <v>231</v>
      </c>
      <c r="W49" s="172">
        <f>4+1+2+5+3+5+1+4</f>
        <v>25</v>
      </c>
      <c r="X49" s="172">
        <v>0</v>
      </c>
      <c r="Y49" s="166">
        <v>0</v>
      </c>
      <c r="Z49" s="450" t="s">
        <v>34</v>
      </c>
      <c r="AA49" s="166" t="s">
        <v>34</v>
      </c>
      <c r="AB49">
        <f t="shared" si="3"/>
        <v>41</v>
      </c>
      <c r="AC49" s="468" t="s">
        <v>1708</v>
      </c>
      <c r="AD49" s="612" t="s">
        <v>1716</v>
      </c>
      <c r="AE49" t="s">
        <v>1717</v>
      </c>
      <c r="AF49" t="s">
        <v>1718</v>
      </c>
      <c r="AJ49" s="4" t="s">
        <v>1696</v>
      </c>
      <c r="AK49" t="s">
        <v>34</v>
      </c>
    </row>
    <row r="50" spans="1:37" ht="15" thickTop="1" x14ac:dyDescent="0.35">
      <c r="A50">
        <f t="shared" si="4"/>
        <v>42</v>
      </c>
      <c r="B50" s="233" t="s">
        <v>1642</v>
      </c>
      <c r="C50" s="760"/>
      <c r="D50" s="647"/>
      <c r="E50" s="648"/>
      <c r="F50" s="648"/>
      <c r="G50" s="753"/>
      <c r="H50" s="649"/>
      <c r="I50" s="648"/>
      <c r="J50" s="648"/>
      <c r="K50" s="648"/>
      <c r="L50" s="648"/>
      <c r="M50" s="648"/>
      <c r="N50" s="648"/>
      <c r="O50" s="648"/>
      <c r="P50" s="648"/>
      <c r="Q50" s="648"/>
      <c r="R50" s="648"/>
      <c r="S50" s="648"/>
      <c r="T50" s="648"/>
      <c r="U50" s="648"/>
      <c r="V50" s="648"/>
      <c r="W50" s="648"/>
      <c r="X50" s="648"/>
      <c r="Y50" s="650"/>
      <c r="Z50" s="838"/>
      <c r="AA50" s="650"/>
      <c r="AB50">
        <f t="shared" si="3"/>
        <v>42</v>
      </c>
      <c r="AC50" t="s">
        <v>34</v>
      </c>
    </row>
    <row r="51" spans="1:37" x14ac:dyDescent="0.35">
      <c r="A51">
        <f t="shared" si="4"/>
        <v>43</v>
      </c>
      <c r="B51" s="104" t="s">
        <v>2314</v>
      </c>
      <c r="C51" s="758">
        <f>UkrAid24Jan2022To15Jan2024!G40</f>
        <v>775</v>
      </c>
      <c r="D51" s="174">
        <f>UkrAid24Jan2022To15Jan2024!H40</f>
        <v>23.4</v>
      </c>
      <c r="E51" s="172">
        <v>180000</v>
      </c>
      <c r="F51" s="172">
        <v>1657000</v>
      </c>
      <c r="G51" s="747">
        <f>UkrAid24Jan2022To15Jan2024!Q40</f>
        <v>19.100000000000001</v>
      </c>
      <c r="H51" s="601">
        <f>G51/C51</f>
        <v>2.4645161290322584E-2</v>
      </c>
      <c r="I51" s="172">
        <f>SUM(J51:P51)+27+47+34</f>
        <v>476</v>
      </c>
      <c r="J51" s="172">
        <f>103+26+43+9+114+26</f>
        <v>321</v>
      </c>
      <c r="K51" s="172">
        <v>0</v>
      </c>
      <c r="L51" s="172">
        <v>0</v>
      </c>
      <c r="M51" s="172">
        <f>3+1+2+20</f>
        <v>26</v>
      </c>
      <c r="N51" s="172">
        <v>6</v>
      </c>
      <c r="O51" s="172">
        <v>12</v>
      </c>
      <c r="P51" s="172">
        <v>3</v>
      </c>
      <c r="Q51" s="172">
        <v>211</v>
      </c>
      <c r="R51" s="172">
        <v>96</v>
      </c>
      <c r="S51" s="172">
        <f>38+38+39</f>
        <v>115</v>
      </c>
      <c r="T51" s="172">
        <f>750+100</f>
        <v>850</v>
      </c>
      <c r="U51" s="172">
        <f>257+1318</f>
        <v>1575</v>
      </c>
      <c r="V51" s="172">
        <f>2093+54</f>
        <v>2147</v>
      </c>
      <c r="W51" s="172">
        <f>7+6+12</f>
        <v>25</v>
      </c>
      <c r="X51" s="172">
        <v>168</v>
      </c>
      <c r="Y51" s="166">
        <v>4</v>
      </c>
      <c r="Z51" s="450" t="s">
        <v>34</v>
      </c>
      <c r="AA51" s="166" t="s">
        <v>34</v>
      </c>
      <c r="AB51">
        <f t="shared" si="3"/>
        <v>43</v>
      </c>
      <c r="AC51" s="4" t="s">
        <v>1433</v>
      </c>
      <c r="AD51" s="612" t="s">
        <v>1545</v>
      </c>
    </row>
    <row r="52" spans="1:37" x14ac:dyDescent="0.35">
      <c r="A52">
        <f t="shared" si="4"/>
        <v>44</v>
      </c>
      <c r="B52" s="7" t="s">
        <v>2359</v>
      </c>
      <c r="C52" s="758">
        <f>UkrAid24Jan2022To15Jan2024!G41</f>
        <v>17963</v>
      </c>
      <c r="D52" s="174">
        <f>UkrAid24Jan2022To15Jan2024!H41</f>
        <v>1410</v>
      </c>
      <c r="E52" s="172">
        <v>2035000</v>
      </c>
      <c r="F52" s="172">
        <v>510000</v>
      </c>
      <c r="G52" s="747">
        <f>UkrAid24Jan2022To15Jan2024!Q41</f>
        <v>314.35250000000002</v>
      </c>
      <c r="H52" s="601">
        <f>G52/C52</f>
        <v>1.7500000000000002E-2</v>
      </c>
      <c r="I52" s="172">
        <f>SUM(J52:O52)+200+45+350+50+400+15</f>
        <v>3593</v>
      </c>
      <c r="J52" s="172">
        <f>289+50+588+245+280+210+32+97+24+200</f>
        <v>2015</v>
      </c>
      <c r="K52" s="172">
        <v>209</v>
      </c>
      <c r="L52" s="172">
        <f>3+15+8</f>
        <v>26</v>
      </c>
      <c r="M52" s="172">
        <f>11+20+30+30+8+16+41+50</f>
        <v>206</v>
      </c>
      <c r="N52" s="172">
        <f>4+4+20</f>
        <v>28</v>
      </c>
      <c r="O52" s="172">
        <f>5+1+3+14+5+12+4+2+3</f>
        <v>49</v>
      </c>
      <c r="P52" s="172" t="s">
        <v>34</v>
      </c>
      <c r="Q52" s="172">
        <f>SUM(R52:S52)</f>
        <v>1040</v>
      </c>
      <c r="R52" s="172">
        <v>320</v>
      </c>
      <c r="S52" s="172">
        <f>208+512</f>
        <v>720</v>
      </c>
      <c r="T52" s="172">
        <f>4700+1250</f>
        <v>5950</v>
      </c>
      <c r="U52" s="172">
        <f>8050+3600+750+1125+480</f>
        <v>14005</v>
      </c>
      <c r="V52" s="172">
        <f>1200+3240+900+1250+1330</f>
        <v>7920</v>
      </c>
      <c r="W52" s="172">
        <f>754+396+7000</f>
        <v>8150</v>
      </c>
      <c r="X52" s="172">
        <f>500-Y52</f>
        <v>434</v>
      </c>
      <c r="Y52" s="166">
        <v>66</v>
      </c>
      <c r="Z52" s="450" t="s">
        <v>34</v>
      </c>
      <c r="AA52" s="166" t="s">
        <v>34</v>
      </c>
      <c r="AB52">
        <f t="shared" ref="AB52:AB83" si="10">AB51+1</f>
        <v>44</v>
      </c>
      <c r="AC52" s="4" t="s">
        <v>1434</v>
      </c>
      <c r="AD52" t="s">
        <v>1558</v>
      </c>
    </row>
    <row r="53" spans="1:37" x14ac:dyDescent="0.35">
      <c r="A53">
        <f t="shared" si="4"/>
        <v>45</v>
      </c>
      <c r="B53" s="104" t="s">
        <v>2304</v>
      </c>
      <c r="C53" s="666">
        <f>UkrAid24Jan2022To15Jan2024!G10</f>
        <v>25440</v>
      </c>
      <c r="D53" s="174">
        <f>UkrAid24Jan2022To15Jan2024!H10</f>
        <v>335</v>
      </c>
      <c r="E53" s="159">
        <f>Z53+AA53</f>
        <v>2648000</v>
      </c>
      <c r="F53" s="172">
        <v>800000</v>
      </c>
      <c r="G53" s="747">
        <f>UkrAid24Jan2022To15Jan2024!Q10</f>
        <v>890.40000000000009</v>
      </c>
      <c r="H53" s="601">
        <f>G53/C53</f>
        <v>3.5000000000000003E-2</v>
      </c>
      <c r="I53" s="172">
        <f>SUM(J53:O53)</f>
        <v>4834</v>
      </c>
      <c r="J53" s="172">
        <f>187+1372+738+206+219+104+282+32</f>
        <v>3140</v>
      </c>
      <c r="K53" s="172">
        <f>62+19+72</f>
        <v>153</v>
      </c>
      <c r="L53" s="172">
        <f>99+377+57</f>
        <v>533</v>
      </c>
      <c r="M53" s="172">
        <f>52+23+3+228+19+4+13+12+158+198+20+39+37+2+35+3+2</f>
        <v>848</v>
      </c>
      <c r="N53" s="172">
        <f>21+4+11+WeaponsSpecs!P246+WeaponsSpecs!P247</f>
        <v>136</v>
      </c>
      <c r="O53" s="172">
        <f>10+7+7</f>
        <v>24</v>
      </c>
      <c r="P53" s="172" t="s">
        <v>34</v>
      </c>
      <c r="Q53" s="172">
        <f>SUM(R53:S53)</f>
        <v>1700</v>
      </c>
      <c r="R53" s="172">
        <f>WeaponsSpecs!P254</f>
        <v>1280</v>
      </c>
      <c r="S53" s="172">
        <f>223+79+64+54</f>
        <v>420</v>
      </c>
      <c r="T53" s="172">
        <v>4650</v>
      </c>
      <c r="U53" s="427" t="s">
        <v>1541</v>
      </c>
      <c r="V53" s="172"/>
      <c r="W53" s="172"/>
      <c r="X53" s="172"/>
      <c r="Y53" s="166">
        <v>68</v>
      </c>
      <c r="Z53" s="450">
        <f>760000+560000</f>
        <v>1320000</v>
      </c>
      <c r="AA53" s="166">
        <v>1328000</v>
      </c>
      <c r="AB53">
        <f t="shared" si="10"/>
        <v>45</v>
      </c>
      <c r="AC53" s="4" t="s">
        <v>1435</v>
      </c>
      <c r="AD53" s="4" t="s">
        <v>1442</v>
      </c>
      <c r="AF53" t="s">
        <v>1443</v>
      </c>
    </row>
    <row r="54" spans="1:37" x14ac:dyDescent="0.35">
      <c r="A54">
        <f t="shared" si="4"/>
        <v>46</v>
      </c>
      <c r="B54" s="104" t="s">
        <v>2360</v>
      </c>
      <c r="C54" s="666">
        <f>UkrAid24Jan2022To15Jan2024!G15</f>
        <v>4232</v>
      </c>
      <c r="D54" s="174">
        <f>UkrAid24Jan2022To15Jan2024!H15</f>
        <v>124</v>
      </c>
      <c r="E54" s="172">
        <v>257000</v>
      </c>
      <c r="F54" s="172">
        <v>56000</v>
      </c>
      <c r="G54" s="747">
        <f>UkrAid24Jan2022To15Jan2024!Q15</f>
        <v>55.015999999999998</v>
      </c>
      <c r="H54" s="601">
        <f>G54/C54</f>
        <v>1.2999999999999999E-2</v>
      </c>
      <c r="I54" s="172">
        <f>SUM(J54:O54)+49+13+189</f>
        <v>649</v>
      </c>
      <c r="J54" s="172">
        <f>155+44+36+62+24</f>
        <v>321</v>
      </c>
      <c r="K54" s="172">
        <v>0</v>
      </c>
      <c r="L54" s="172">
        <f>4+2+2</f>
        <v>8</v>
      </c>
      <c r="M54" s="172">
        <f>2+6+13+14+5+2+2</f>
        <v>44</v>
      </c>
      <c r="N54" s="172">
        <f>4+16</f>
        <v>20</v>
      </c>
      <c r="O54" s="172">
        <f>1+1+3</f>
        <v>5</v>
      </c>
      <c r="P54" s="172">
        <v>0</v>
      </c>
      <c r="Q54" s="172">
        <f t="shared" ref="Q54:Q57" si="11">SUM(R54:S54)</f>
        <v>98</v>
      </c>
      <c r="R54" s="172">
        <v>0</v>
      </c>
      <c r="S54" s="172">
        <f>26+17+55</f>
        <v>98</v>
      </c>
      <c r="T54" s="172">
        <f>111+340</f>
        <v>451</v>
      </c>
      <c r="U54" s="172">
        <f>70+100+111+34+21+338+400+197</f>
        <v>1271</v>
      </c>
      <c r="V54" s="172">
        <f>480+135+14+54</f>
        <v>683</v>
      </c>
      <c r="W54" s="172" t="s">
        <v>1790</v>
      </c>
      <c r="X54" s="172">
        <f>2+2+3+6+7+1+1+4+2+2+8+9+5+4+2+6+6+2+11+3+3+3+6+3+2+1+2+1+1</f>
        <v>108</v>
      </c>
      <c r="Y54" s="166">
        <v>24</v>
      </c>
      <c r="Z54" s="450" t="s">
        <v>34</v>
      </c>
      <c r="AA54" s="166" t="s">
        <v>34</v>
      </c>
      <c r="AB54">
        <f t="shared" si="10"/>
        <v>46</v>
      </c>
      <c r="AC54" s="4" t="s">
        <v>1436</v>
      </c>
      <c r="AD54" t="s">
        <v>1788</v>
      </c>
      <c r="AE54" t="s">
        <v>1789</v>
      </c>
      <c r="AF54" t="s">
        <v>1791</v>
      </c>
      <c r="AG54" t="s">
        <v>34</v>
      </c>
    </row>
    <row r="55" spans="1:37" x14ac:dyDescent="0.35">
      <c r="A55">
        <f t="shared" si="4"/>
        <v>47</v>
      </c>
      <c r="B55" s="104" t="s">
        <v>2361</v>
      </c>
      <c r="C55" s="666">
        <v>471</v>
      </c>
      <c r="D55" s="174">
        <v>114.2</v>
      </c>
      <c r="E55" s="172">
        <v>150000</v>
      </c>
      <c r="F55" s="172">
        <v>1500000</v>
      </c>
      <c r="G55" s="747">
        <f>UkrAid24Jan2022To15Jan2024!$Q$39</f>
        <v>4.37</v>
      </c>
      <c r="H55" s="601">
        <f>G55/C55</f>
        <v>9.278131634819534E-3</v>
      </c>
      <c r="I55" s="172">
        <f>SUM(J55:O55)+15+19+3</f>
        <v>86</v>
      </c>
      <c r="J55" s="172">
        <f>12+7+6</f>
        <v>25</v>
      </c>
      <c r="K55" s="172">
        <v>0</v>
      </c>
      <c r="L55" s="172">
        <v>0</v>
      </c>
      <c r="M55" s="172">
        <f>3+2+7+5+2+2</f>
        <v>21</v>
      </c>
      <c r="N55" s="172">
        <v>0</v>
      </c>
      <c r="O55" s="172">
        <v>3</v>
      </c>
      <c r="P55" s="172">
        <v>0</v>
      </c>
      <c r="Q55" s="172">
        <f t="shared" si="11"/>
        <v>119</v>
      </c>
      <c r="R55" s="172">
        <f>2+6+24</f>
        <v>32</v>
      </c>
      <c r="S55" s="172">
        <f>23+8+13+5+21+9+8</f>
        <v>87</v>
      </c>
      <c r="T55" s="172">
        <f>18</f>
        <v>18</v>
      </c>
      <c r="U55" s="172">
        <f>10+14+4+38+13+4+9+6+114+50+6+44+5+130</f>
        <v>447</v>
      </c>
      <c r="V55" s="172">
        <f>12+18+12</f>
        <v>42</v>
      </c>
      <c r="W55" s="172">
        <f>2+1+1</f>
        <v>4</v>
      </c>
      <c r="X55" s="172">
        <f>2+1+7+10+41+42+5+20</f>
        <v>128</v>
      </c>
      <c r="Y55" s="166">
        <v>0</v>
      </c>
      <c r="Z55" s="450" t="s">
        <v>34</v>
      </c>
      <c r="AA55" s="166" t="s">
        <v>34</v>
      </c>
      <c r="AB55">
        <f t="shared" si="10"/>
        <v>47</v>
      </c>
      <c r="AC55" t="s">
        <v>1793</v>
      </c>
      <c r="AD55" s="4" t="s">
        <v>1438</v>
      </c>
      <c r="AE55" s="4" t="s">
        <v>1792</v>
      </c>
      <c r="AF55" t="s">
        <v>1795</v>
      </c>
      <c r="AG55" t="s">
        <v>1796</v>
      </c>
      <c r="AH55" t="s">
        <v>34</v>
      </c>
    </row>
    <row r="56" spans="1:37" x14ac:dyDescent="0.35">
      <c r="A56">
        <f t="shared" si="4"/>
        <v>48</v>
      </c>
      <c r="B56" s="104" t="s">
        <v>2315</v>
      </c>
      <c r="C56" s="666">
        <v>1790</v>
      </c>
      <c r="D56" s="174">
        <v>27.4</v>
      </c>
      <c r="E56" s="172">
        <v>57000</v>
      </c>
      <c r="F56" s="172">
        <v>32000</v>
      </c>
      <c r="G56" s="747">
        <f>C56*H56</f>
        <v>36.516000000000005</v>
      </c>
      <c r="H56" s="601">
        <v>2.0400000000000001E-2</v>
      </c>
      <c r="I56" s="172">
        <f>SUM(J56:O56)+33+49+4</f>
        <v>261</v>
      </c>
      <c r="J56" s="172">
        <f>24+72</f>
        <v>96</v>
      </c>
      <c r="K56" s="172">
        <v>0</v>
      </c>
      <c r="L56" s="172">
        <v>6</v>
      </c>
      <c r="M56" s="172">
        <f>2+8+10+8+3+12</f>
        <v>43</v>
      </c>
      <c r="N56" s="172">
        <v>6</v>
      </c>
      <c r="O56" s="172">
        <f>12+12</f>
        <v>24</v>
      </c>
      <c r="P56" s="172">
        <v>0</v>
      </c>
      <c r="Q56" s="172">
        <f t="shared" si="11"/>
        <v>38</v>
      </c>
      <c r="R56" s="172">
        <f>8+15</f>
        <v>23</v>
      </c>
      <c r="S56" s="172">
        <v>15</v>
      </c>
      <c r="T56" s="172">
        <f>59</f>
        <v>59</v>
      </c>
      <c r="U56" s="172">
        <f>257+431+31+89</f>
        <v>808</v>
      </c>
      <c r="V56" s="172">
        <f>48</f>
        <v>48</v>
      </c>
      <c r="W56" s="172">
        <v>30</v>
      </c>
      <c r="X56" s="172">
        <f>2+3+7+3+3+1+1+2</f>
        <v>22</v>
      </c>
      <c r="Y56" s="166">
        <v>6</v>
      </c>
      <c r="Z56" s="450" t="s">
        <v>34</v>
      </c>
      <c r="AA56" s="166" t="s">
        <v>34</v>
      </c>
      <c r="AB56">
        <f t="shared" si="10"/>
        <v>48</v>
      </c>
      <c r="AC56" t="s">
        <v>1437</v>
      </c>
      <c r="AD56" s="4" t="s">
        <v>1417</v>
      </c>
      <c r="AE56" t="s">
        <v>1797</v>
      </c>
      <c r="AF56" t="s">
        <v>1798</v>
      </c>
      <c r="AG56" s="4" t="s">
        <v>1799</v>
      </c>
      <c r="AH56" t="s">
        <v>1799</v>
      </c>
      <c r="AI56" t="s">
        <v>34</v>
      </c>
    </row>
    <row r="57" spans="1:37" ht="15" thickBot="1" x14ac:dyDescent="0.4">
      <c r="A57">
        <f t="shared" si="4"/>
        <v>49</v>
      </c>
      <c r="B57" s="104" t="s">
        <v>2362</v>
      </c>
      <c r="C57" s="666">
        <v>249</v>
      </c>
      <c r="D57" s="174">
        <v>5.4</v>
      </c>
      <c r="E57" s="172">
        <v>8700</v>
      </c>
      <c r="F57" s="172">
        <v>3200</v>
      </c>
      <c r="G57" s="747">
        <f>C57*H57</f>
        <v>3.2369999999999997</v>
      </c>
      <c r="H57" s="601">
        <v>1.2999999999999999E-2</v>
      </c>
      <c r="I57" s="172">
        <f>SUM(J57:O57)+11+4</f>
        <v>24</v>
      </c>
      <c r="J57" s="172">
        <v>0</v>
      </c>
      <c r="K57" s="172">
        <v>0</v>
      </c>
      <c r="L57" s="172">
        <v>0</v>
      </c>
      <c r="M57" s="172">
        <f>2+3+3</f>
        <v>8</v>
      </c>
      <c r="N57" s="172">
        <v>0</v>
      </c>
      <c r="O57" s="172">
        <v>1</v>
      </c>
      <c r="P57" s="172">
        <v>0</v>
      </c>
      <c r="Q57" s="172">
        <f t="shared" si="11"/>
        <v>18</v>
      </c>
      <c r="R57" s="172">
        <v>5</v>
      </c>
      <c r="S57" s="172">
        <f>8+5</f>
        <v>13</v>
      </c>
      <c r="T57" s="172">
        <v>0</v>
      </c>
      <c r="U57" s="172">
        <f>73+8+48</f>
        <v>129</v>
      </c>
      <c r="V57" s="172">
        <v>0</v>
      </c>
      <c r="W57" s="172">
        <v>0</v>
      </c>
      <c r="X57" s="172">
        <f>2+4+2</f>
        <v>8</v>
      </c>
      <c r="Y57" s="166">
        <v>0</v>
      </c>
      <c r="Z57" s="450" t="s">
        <v>34</v>
      </c>
      <c r="AA57" s="166" t="s">
        <v>34</v>
      </c>
      <c r="AB57">
        <f t="shared" si="10"/>
        <v>49</v>
      </c>
      <c r="AC57" s="4" t="s">
        <v>1635</v>
      </c>
      <c r="AD57" s="4" t="s">
        <v>1636</v>
      </c>
      <c r="AE57" t="s">
        <v>1801</v>
      </c>
      <c r="AF57" t="s">
        <v>1802</v>
      </c>
      <c r="AG57" t="s">
        <v>1803</v>
      </c>
      <c r="AH57" t="s">
        <v>34</v>
      </c>
    </row>
    <row r="58" spans="1:37" ht="15" thickTop="1" x14ac:dyDescent="0.35">
      <c r="A58">
        <f t="shared" si="4"/>
        <v>50</v>
      </c>
      <c r="B58" s="233" t="s">
        <v>2363</v>
      </c>
      <c r="C58" s="760"/>
      <c r="D58" s="647"/>
      <c r="E58" s="648"/>
      <c r="F58" s="648"/>
      <c r="G58" s="754"/>
      <c r="H58" s="649"/>
      <c r="I58" s="648"/>
      <c r="J58" s="648"/>
      <c r="K58" s="648"/>
      <c r="L58" s="648"/>
      <c r="M58" s="648"/>
      <c r="N58" s="648"/>
      <c r="O58" s="648"/>
      <c r="P58" s="648"/>
      <c r="Q58" s="648"/>
      <c r="R58" s="648"/>
      <c r="S58" s="648"/>
      <c r="T58" s="648"/>
      <c r="U58" s="648"/>
      <c r="V58" s="648"/>
      <c r="W58" s="648"/>
      <c r="X58" s="648"/>
      <c r="Y58" s="650"/>
      <c r="Z58" s="838"/>
      <c r="AA58" s="650"/>
      <c r="AB58">
        <f t="shared" si="10"/>
        <v>50</v>
      </c>
      <c r="AC58" t="s">
        <v>34</v>
      </c>
    </row>
    <row r="59" spans="1:37" x14ac:dyDescent="0.35">
      <c r="A59">
        <f t="shared" si="4"/>
        <v>51</v>
      </c>
      <c r="B59" s="104" t="s">
        <v>2365</v>
      </c>
      <c r="C59" s="667">
        <f>UkrAid24Jan2022To15Jan2024!G34</f>
        <v>20</v>
      </c>
      <c r="D59" s="173">
        <f>UkrAid24Jan2022To15Jan2024!H34</f>
        <v>26</v>
      </c>
      <c r="E59" s="172">
        <v>1320000</v>
      </c>
      <c r="F59" s="172">
        <v>560000</v>
      </c>
      <c r="G59" s="747">
        <f>UkrAid24Jan2022To15Jan2024!Q34</f>
        <v>6.66</v>
      </c>
      <c r="H59" s="601">
        <f>G59/C59</f>
        <v>0.33300000000000002</v>
      </c>
      <c r="I59" s="172">
        <f>SUM(J59:O59)+135+30+4</f>
        <v>659</v>
      </c>
      <c r="J59" s="172">
        <f>35+26+56+18+38+80+16+97+120</f>
        <v>486</v>
      </c>
      <c r="K59" s="172">
        <v>0</v>
      </c>
      <c r="L59" s="172">
        <v>0</v>
      </c>
      <c r="M59" s="172">
        <f>3+1</f>
        <v>4</v>
      </c>
      <c r="N59" s="172">
        <v>0</v>
      </c>
      <c r="O59" s="172">
        <v>0</v>
      </c>
      <c r="P59" s="172">
        <v>0</v>
      </c>
      <c r="Q59" s="172">
        <f>R59+S59</f>
        <v>205</v>
      </c>
      <c r="R59" s="172">
        <v>20</v>
      </c>
      <c r="S59" s="172">
        <f>48+41+8+4+84</f>
        <v>185</v>
      </c>
      <c r="T59" s="172">
        <f>1000+175+800+1000+100+9+560</f>
        <v>3644</v>
      </c>
      <c r="U59" s="172">
        <f>32+500+1200+10</f>
        <v>1742</v>
      </c>
      <c r="V59" s="427" t="s">
        <v>1647</v>
      </c>
      <c r="W59" s="427" t="s">
        <v>1617</v>
      </c>
      <c r="X59" s="427" t="s">
        <v>1648</v>
      </c>
      <c r="Y59" s="166">
        <v>71</v>
      </c>
      <c r="Z59" s="450" t="s">
        <v>34</v>
      </c>
      <c r="AA59" s="166" t="s">
        <v>34</v>
      </c>
      <c r="AB59">
        <f t="shared" si="10"/>
        <v>51</v>
      </c>
      <c r="AC59" s="4" t="s">
        <v>1439</v>
      </c>
      <c r="AD59" s="4" t="s">
        <v>1551</v>
      </c>
    </row>
    <row r="60" spans="1:37" ht="15" thickBot="1" x14ac:dyDescent="0.4">
      <c r="A60">
        <f t="shared" si="4"/>
        <v>52</v>
      </c>
      <c r="B60" s="106" t="s">
        <v>2364</v>
      </c>
      <c r="C60" s="668">
        <f>UkrAid24Jan2022To15Jan2024!G35</f>
        <v>1710</v>
      </c>
      <c r="D60" s="229">
        <f>UkrAid24Jan2022To15Jan2024!H35</f>
        <v>51.7</v>
      </c>
      <c r="E60" s="607">
        <v>500000</v>
      </c>
      <c r="F60" s="607">
        <v>3100000</v>
      </c>
      <c r="G60" s="750">
        <f>UkrAid24Jan2022To15Jan2024!Q35</f>
        <v>47.88</v>
      </c>
      <c r="H60" s="605">
        <f>G60/C60</f>
        <v>2.8000000000000001E-2</v>
      </c>
      <c r="I60" s="607">
        <f>SUM(J60:O60)+23+103+72+10+22</f>
        <v>674</v>
      </c>
      <c r="J60" s="607">
        <f>61+59+118+49+39+60</f>
        <v>386</v>
      </c>
      <c r="K60" s="607">
        <v>0</v>
      </c>
      <c r="L60" s="607">
        <v>4</v>
      </c>
      <c r="M60" s="607">
        <f>1+1+18+12+4</f>
        <v>36</v>
      </c>
      <c r="N60" s="607">
        <v>4</v>
      </c>
      <c r="O60" s="607">
        <f>2+8+4</f>
        <v>14</v>
      </c>
      <c r="P60" s="607">
        <v>0</v>
      </c>
      <c r="Q60" s="607">
        <f>SUM(R60:S60)</f>
        <v>548</v>
      </c>
      <c r="R60" s="607">
        <f>75+72+207+50+12</f>
        <v>416</v>
      </c>
      <c r="S60" s="607">
        <f>32+100</f>
        <v>132</v>
      </c>
      <c r="T60" s="607">
        <f>1027+484+250+195+210+17+5+3+33+2</f>
        <v>2226</v>
      </c>
      <c r="U60" s="607">
        <f>1700+466+33+37+800+100+500+27</f>
        <v>3663</v>
      </c>
      <c r="V60" s="607">
        <f>2000+1400+1000+1180+1090+1000+150+58+218</f>
        <v>8096</v>
      </c>
      <c r="W60" s="607">
        <f>8+18+1+200</f>
        <v>227</v>
      </c>
      <c r="X60" s="607">
        <f>160-Y60</f>
        <v>139</v>
      </c>
      <c r="Y60" s="608">
        <f>3+9+9</f>
        <v>21</v>
      </c>
      <c r="Z60" s="839" t="s">
        <v>34</v>
      </c>
      <c r="AA60" s="608" t="s">
        <v>34</v>
      </c>
      <c r="AB60">
        <f t="shared" si="10"/>
        <v>52</v>
      </c>
      <c r="AC60" s="4" t="s">
        <v>1440</v>
      </c>
      <c r="AD60" t="s">
        <v>1561</v>
      </c>
    </row>
    <row r="61" spans="1:37" ht="15" thickTop="1" x14ac:dyDescent="0.35">
      <c r="A61">
        <f t="shared" si="4"/>
        <v>53</v>
      </c>
      <c r="B61" s="181" t="s">
        <v>2500</v>
      </c>
      <c r="C61" s="761"/>
      <c r="D61" s="414"/>
      <c r="E61" s="182"/>
      <c r="F61" s="182"/>
      <c r="G61" s="753"/>
      <c r="H61" s="602"/>
      <c r="I61" s="562"/>
      <c r="J61" s="562"/>
      <c r="K61" s="562"/>
      <c r="L61" s="562"/>
      <c r="M61" s="562"/>
      <c r="N61" s="562"/>
      <c r="O61" s="562"/>
      <c r="P61" s="562"/>
      <c r="Q61" s="562"/>
      <c r="R61" s="562"/>
      <c r="S61" s="562"/>
      <c r="T61" s="562"/>
      <c r="U61" s="182"/>
      <c r="V61" s="182"/>
      <c r="W61" s="182"/>
      <c r="X61" s="182"/>
      <c r="Y61" s="563"/>
      <c r="Z61" s="835"/>
      <c r="AA61" s="563"/>
      <c r="AB61">
        <f t="shared" si="10"/>
        <v>53</v>
      </c>
      <c r="AC61" t="s">
        <v>34</v>
      </c>
    </row>
    <row r="62" spans="1:37" x14ac:dyDescent="0.35">
      <c r="A62">
        <f t="shared" si="4"/>
        <v>54</v>
      </c>
      <c r="B62" s="104" t="s">
        <v>2305</v>
      </c>
      <c r="C62" s="666">
        <f>UkrAid24Jan2022To15Jan2024!G32</f>
        <v>525</v>
      </c>
      <c r="D62" s="174">
        <f>UkrAid24Jan2022To15Jan2024!H32</f>
        <v>9.84</v>
      </c>
      <c r="E62" s="172">
        <v>169000</v>
      </c>
      <c r="F62" s="172">
        <v>465000</v>
      </c>
      <c r="G62" s="747">
        <f>UkrAid24Jan2022To15Jan2024!Q32</f>
        <v>28.875</v>
      </c>
      <c r="H62" s="601">
        <f>G62/C62</f>
        <v>5.5E-2</v>
      </c>
      <c r="I62" s="172">
        <f>66+175+39+2+2+18+3+7+7+4+4+7+30+20+49+18+20+16</f>
        <v>487</v>
      </c>
      <c r="J62" s="172">
        <f>66+175+39</f>
        <v>280</v>
      </c>
      <c r="K62" s="172">
        <v>0</v>
      </c>
      <c r="L62" s="172">
        <f>7+7</f>
        <v>14</v>
      </c>
      <c r="M62" s="172">
        <f>3+7</f>
        <v>10</v>
      </c>
      <c r="N62" s="172">
        <f>2+2</f>
        <v>4</v>
      </c>
      <c r="O62" s="172"/>
      <c r="P62" s="172">
        <v>150</v>
      </c>
      <c r="Q62" s="172">
        <f>4+48+48+22+4</f>
        <v>126</v>
      </c>
      <c r="R62" s="172">
        <f>48</f>
        <v>48</v>
      </c>
      <c r="S62" s="172">
        <f>Q62-R62</f>
        <v>78</v>
      </c>
      <c r="T62" s="172">
        <f>400+200+700</f>
        <v>1300</v>
      </c>
      <c r="U62" s="172">
        <f>1360+5000</f>
        <v>6360</v>
      </c>
      <c r="V62" s="172">
        <f>250+30+36+36+40+50+81</f>
        <v>523</v>
      </c>
      <c r="W62" s="172" t="s">
        <v>1536</v>
      </c>
      <c r="X62" s="172">
        <v>15</v>
      </c>
      <c r="Y62" s="166">
        <v>5</v>
      </c>
      <c r="Z62" s="450" t="s">
        <v>34</v>
      </c>
      <c r="AA62" s="166" t="s">
        <v>34</v>
      </c>
      <c r="AB62">
        <f t="shared" si="10"/>
        <v>54</v>
      </c>
      <c r="AC62" s="4" t="s">
        <v>1373</v>
      </c>
      <c r="AD62" s="4" t="s">
        <v>1377</v>
      </c>
      <c r="AF62" t="s">
        <v>1649</v>
      </c>
    </row>
    <row r="63" spans="1:37" x14ac:dyDescent="0.35">
      <c r="A63">
        <f t="shared" si="4"/>
        <v>55</v>
      </c>
      <c r="B63" s="104" t="s">
        <v>2318</v>
      </c>
      <c r="C63" s="666">
        <f>UkrAid24Jan2022To15Jan2024!G33</f>
        <v>413</v>
      </c>
      <c r="D63" s="174">
        <f>UkrAid24Jan2022To15Jan2024!H33</f>
        <v>85.3</v>
      </c>
      <c r="E63" s="172">
        <v>610000</v>
      </c>
      <c r="F63" s="172">
        <v>350000</v>
      </c>
      <c r="G63" s="747">
        <f>UkrAid24Jan2022To15Jan2024!Q33</f>
        <v>21.475999999999999</v>
      </c>
      <c r="H63" s="601">
        <f>G63/C63</f>
        <v>5.1999999999999998E-2</v>
      </c>
      <c r="I63" s="172">
        <f>30+40+6+4+4+24+23+64+60+32+20+3+7+1+12+12+3+1+12+15+1+2+6+27+2+2+2+1+12+2+9+14+12+25+45+28</f>
        <v>563</v>
      </c>
      <c r="J63" s="172">
        <f>30+40+6+4+4+24+23+64+60+32+20</f>
        <v>307</v>
      </c>
      <c r="K63" s="172">
        <v>0</v>
      </c>
      <c r="L63" s="172">
        <v>2</v>
      </c>
      <c r="M63" s="172">
        <f>12+27</f>
        <v>39</v>
      </c>
      <c r="N63" s="172">
        <v>1</v>
      </c>
      <c r="O63" s="172">
        <v>0</v>
      </c>
      <c r="P63" s="172">
        <v>0</v>
      </c>
      <c r="Q63" s="172">
        <f>20+1+25</f>
        <v>46</v>
      </c>
      <c r="R63" s="172">
        <v>0</v>
      </c>
      <c r="S63" s="172">
        <v>46</v>
      </c>
      <c r="T63" s="172">
        <v>1634</v>
      </c>
      <c r="U63" s="172">
        <v>2345</v>
      </c>
      <c r="V63" s="172">
        <v>1900</v>
      </c>
      <c r="W63" s="172" t="s">
        <v>1535</v>
      </c>
      <c r="X63" s="172">
        <f>6+5+20+6+31+17</f>
        <v>85</v>
      </c>
      <c r="Y63" s="166">
        <f>4+20</f>
        <v>24</v>
      </c>
      <c r="Z63" s="450" t="s">
        <v>34</v>
      </c>
      <c r="AA63" s="166" t="s">
        <v>34</v>
      </c>
      <c r="AB63">
        <f t="shared" si="10"/>
        <v>55</v>
      </c>
      <c r="AC63" s="4" t="s">
        <v>1423</v>
      </c>
      <c r="AD63" s="4" t="s">
        <v>1533</v>
      </c>
      <c r="AG63" s="581"/>
    </row>
    <row r="64" spans="1:37" x14ac:dyDescent="0.35">
      <c r="A64">
        <f t="shared" si="4"/>
        <v>56</v>
      </c>
      <c r="B64" s="104" t="s">
        <v>2499</v>
      </c>
      <c r="C64" s="666">
        <v>1344</v>
      </c>
      <c r="D64" s="174">
        <f>UkrAid24Jan2022To15Jan2024!H38</f>
        <v>85.4</v>
      </c>
      <c r="E64" s="172">
        <v>425000</v>
      </c>
      <c r="F64" s="172">
        <v>381000</v>
      </c>
      <c r="G64" s="747">
        <f>H64*C64</f>
        <v>38.975999999999999</v>
      </c>
      <c r="H64" s="601">
        <v>2.9000000000000001E-2</v>
      </c>
      <c r="I64" s="172">
        <f>SUM(J64:O64)+68+13+39+10+32+25</f>
        <v>529</v>
      </c>
      <c r="J64" s="172">
        <f>19+32+3+100+70+29</f>
        <v>253</v>
      </c>
      <c r="K64" s="172">
        <v>0</v>
      </c>
      <c r="L64" s="172">
        <v>7</v>
      </c>
      <c r="M64" s="172">
        <f>45+6+13+10</f>
        <v>74</v>
      </c>
      <c r="N64" s="172">
        <v>4</v>
      </c>
      <c r="O64" s="172">
        <f>3+1</f>
        <v>4</v>
      </c>
      <c r="P64" s="172">
        <v>0</v>
      </c>
      <c r="Q64" s="172">
        <f>SUM(R64:S64)</f>
        <v>37</v>
      </c>
      <c r="R64" s="172">
        <f>0</f>
        <v>0</v>
      </c>
      <c r="S64" s="172">
        <f>6+14+14+3</f>
        <v>37</v>
      </c>
      <c r="T64" s="172">
        <f>299+40+171+184+165+650+750</f>
        <v>2259</v>
      </c>
      <c r="U64" s="172">
        <f>511+134+1381+52+2813+12+1000+1000+512+360+800+400+136+208+48+156+170+179</f>
        <v>9872</v>
      </c>
      <c r="V64" s="172">
        <f>280+16+365+150+219+535+155+100+120+120+54+12</f>
        <v>2126</v>
      </c>
      <c r="W64" s="172">
        <f>4+70+35+42+803+120+439+300+160</f>
        <v>1973</v>
      </c>
      <c r="X64" s="172">
        <f>1+4+4+8+1+5+4+1+16+3+4+2+9+7+11+5+21+6+18</f>
        <v>130</v>
      </c>
      <c r="Y64" s="166">
        <v>13</v>
      </c>
      <c r="Z64" s="450" t="s">
        <v>34</v>
      </c>
      <c r="AA64" s="166" t="s">
        <v>34</v>
      </c>
      <c r="AB64">
        <f t="shared" si="10"/>
        <v>56</v>
      </c>
      <c r="AC64" t="s">
        <v>1807</v>
      </c>
      <c r="AD64" s="395" t="s">
        <v>1426</v>
      </c>
      <c r="AE64" t="s">
        <v>1804</v>
      </c>
      <c r="AF64" t="s">
        <v>1805</v>
      </c>
      <c r="AG64" t="s">
        <v>1806</v>
      </c>
      <c r="AH64" t="s">
        <v>34</v>
      </c>
    </row>
    <row r="65" spans="1:36" x14ac:dyDescent="0.35">
      <c r="A65">
        <f t="shared" si="4"/>
        <v>57</v>
      </c>
      <c r="B65" s="587" t="s">
        <v>1756</v>
      </c>
      <c r="C65" s="763">
        <v>11</v>
      </c>
      <c r="D65" s="529">
        <v>24</v>
      </c>
      <c r="E65" s="489">
        <v>170000</v>
      </c>
      <c r="F65" s="489">
        <v>50000</v>
      </c>
      <c r="G65" s="756">
        <f>C65*H65</f>
        <v>0.495</v>
      </c>
      <c r="H65" s="604">
        <v>4.4999999999999998E-2</v>
      </c>
      <c r="I65" s="489">
        <f>50+87+2+29+39+18+2+1+6+4+61+6</f>
        <v>305</v>
      </c>
      <c r="J65" s="489">
        <f>50+87+2+29+39+18</f>
        <v>225</v>
      </c>
      <c r="K65" s="489">
        <v>0</v>
      </c>
      <c r="L65" s="489">
        <v>0</v>
      </c>
      <c r="M65" s="489">
        <f>1+6+4</f>
        <v>11</v>
      </c>
      <c r="N65" s="489">
        <v>0</v>
      </c>
      <c r="O65" s="489">
        <v>0</v>
      </c>
      <c r="P65" s="489" t="s">
        <v>34</v>
      </c>
      <c r="Q65" s="489">
        <f>3+49+10+27+2+2+62</f>
        <v>155</v>
      </c>
      <c r="R65" s="489">
        <f>27</f>
        <v>27</v>
      </c>
      <c r="S65" s="489">
        <f>Q65-R65</f>
        <v>128</v>
      </c>
      <c r="T65" s="489">
        <v>2700</v>
      </c>
      <c r="U65" s="489">
        <v>2400</v>
      </c>
      <c r="V65" s="489">
        <f>5130+600</f>
        <v>5730</v>
      </c>
      <c r="W65" s="489" t="s">
        <v>34</v>
      </c>
      <c r="X65" s="489">
        <f>22+16+7+3+1</f>
        <v>49</v>
      </c>
      <c r="Y65" s="588" t="s">
        <v>34</v>
      </c>
      <c r="Z65" s="522" t="s">
        <v>34</v>
      </c>
      <c r="AA65" s="588" t="s">
        <v>34</v>
      </c>
      <c r="AB65">
        <f t="shared" si="10"/>
        <v>57</v>
      </c>
      <c r="AC65" s="4" t="s">
        <v>1344</v>
      </c>
      <c r="AD65" s="4" t="s">
        <v>1376</v>
      </c>
      <c r="AG65" s="573" t="s">
        <v>1650</v>
      </c>
      <c r="AH65" s="611" t="s">
        <v>1420</v>
      </c>
    </row>
    <row r="66" spans="1:36" x14ac:dyDescent="0.35">
      <c r="A66">
        <f t="shared" si="4"/>
        <v>58</v>
      </c>
      <c r="B66" s="587" t="s">
        <v>2375</v>
      </c>
      <c r="C66" s="763">
        <f>C65*AG66</f>
        <v>1.2375</v>
      </c>
      <c r="D66" s="529">
        <v>2.7</v>
      </c>
      <c r="E66" s="489" t="s">
        <v>34</v>
      </c>
      <c r="F66" s="489" t="s">
        <v>34</v>
      </c>
      <c r="G66" s="756" t="s">
        <v>34</v>
      </c>
      <c r="H66" s="489" t="s">
        <v>34</v>
      </c>
      <c r="I66" s="489" t="s">
        <v>34</v>
      </c>
      <c r="J66" s="489" t="s">
        <v>34</v>
      </c>
      <c r="K66" s="489" t="s">
        <v>34</v>
      </c>
      <c r="L66" s="489" t="s">
        <v>34</v>
      </c>
      <c r="M66" s="489" t="s">
        <v>34</v>
      </c>
      <c r="N66" s="489" t="s">
        <v>34</v>
      </c>
      <c r="O66" s="489" t="s">
        <v>34</v>
      </c>
      <c r="P66" s="489" t="s">
        <v>34</v>
      </c>
      <c r="Q66" s="489" t="s">
        <v>34</v>
      </c>
      <c r="R66" s="489" t="s">
        <v>34</v>
      </c>
      <c r="S66" s="489" t="s">
        <v>34</v>
      </c>
      <c r="T66" s="489" t="s">
        <v>34</v>
      </c>
      <c r="U66" s="489" t="s">
        <v>34</v>
      </c>
      <c r="V66" s="489" t="s">
        <v>34</v>
      </c>
      <c r="W66" s="489" t="s">
        <v>34</v>
      </c>
      <c r="X66" s="489" t="s">
        <v>34</v>
      </c>
      <c r="Y66" s="588" t="s">
        <v>34</v>
      </c>
      <c r="Z66" s="522" t="s">
        <v>34</v>
      </c>
      <c r="AA66" s="588" t="s">
        <v>34</v>
      </c>
      <c r="AB66">
        <f t="shared" si="10"/>
        <v>58</v>
      </c>
      <c r="AC66" t="s">
        <v>1355</v>
      </c>
      <c r="AG66" s="581">
        <f>D66/D65</f>
        <v>0.1125</v>
      </c>
      <c r="AH66" t="s">
        <v>1356</v>
      </c>
    </row>
    <row r="67" spans="1:36" x14ac:dyDescent="0.35">
      <c r="A67">
        <f t="shared" si="4"/>
        <v>59</v>
      </c>
      <c r="B67" s="587" t="s">
        <v>2376</v>
      </c>
      <c r="C67" s="763">
        <f t="shared" ref="C67:C72" si="12">C$65*AG67</f>
        <v>1.4300000000000002</v>
      </c>
      <c r="D67" s="529">
        <f t="shared" ref="D67:D72" si="13">D$65*AG67</f>
        <v>3.12</v>
      </c>
      <c r="E67" s="489" t="s">
        <v>34</v>
      </c>
      <c r="F67" s="489" t="s">
        <v>34</v>
      </c>
      <c r="G67" s="756" t="s">
        <v>34</v>
      </c>
      <c r="H67" s="489" t="s">
        <v>34</v>
      </c>
      <c r="I67" s="489" t="s">
        <v>34</v>
      </c>
      <c r="J67" s="489" t="s">
        <v>34</v>
      </c>
      <c r="K67" s="489" t="s">
        <v>34</v>
      </c>
      <c r="L67" s="489" t="s">
        <v>34</v>
      </c>
      <c r="M67" s="489" t="s">
        <v>34</v>
      </c>
      <c r="N67" s="489" t="s">
        <v>34</v>
      </c>
      <c r="O67" s="489" t="s">
        <v>34</v>
      </c>
      <c r="P67" s="489" t="s">
        <v>34</v>
      </c>
      <c r="Q67" s="489" t="s">
        <v>34</v>
      </c>
      <c r="R67" s="489" t="s">
        <v>34</v>
      </c>
      <c r="S67" s="489" t="s">
        <v>34</v>
      </c>
      <c r="T67" s="489" t="s">
        <v>34</v>
      </c>
      <c r="U67" s="489" t="s">
        <v>34</v>
      </c>
      <c r="V67" s="489" t="s">
        <v>34</v>
      </c>
      <c r="W67" s="489" t="s">
        <v>34</v>
      </c>
      <c r="X67" s="489" t="s">
        <v>34</v>
      </c>
      <c r="Y67" s="588" t="s">
        <v>34</v>
      </c>
      <c r="Z67" s="522" t="s">
        <v>34</v>
      </c>
      <c r="AA67" s="588" t="s">
        <v>34</v>
      </c>
      <c r="AB67">
        <f t="shared" si="10"/>
        <v>59</v>
      </c>
      <c r="AC67" s="4" t="s">
        <v>1354</v>
      </c>
      <c r="AD67" s="4"/>
      <c r="AE67" s="4"/>
      <c r="AG67" s="581">
        <f>3%+10%</f>
        <v>0.13</v>
      </c>
      <c r="AH67" t="s">
        <v>1654</v>
      </c>
    </row>
    <row r="68" spans="1:36" x14ac:dyDescent="0.35">
      <c r="A68">
        <f t="shared" si="4"/>
        <v>60</v>
      </c>
      <c r="B68" s="587" t="s">
        <v>2377</v>
      </c>
      <c r="C68" s="763">
        <f t="shared" si="12"/>
        <v>0.93500000000000005</v>
      </c>
      <c r="D68" s="529">
        <f t="shared" si="13"/>
        <v>2.04</v>
      </c>
      <c r="E68" s="489" t="s">
        <v>34</v>
      </c>
      <c r="F68" s="489" t="s">
        <v>34</v>
      </c>
      <c r="G68" s="756" t="s">
        <v>34</v>
      </c>
      <c r="H68" s="489" t="s">
        <v>34</v>
      </c>
      <c r="I68" s="489" t="s">
        <v>34</v>
      </c>
      <c r="J68" s="489" t="s">
        <v>34</v>
      </c>
      <c r="K68" s="489" t="s">
        <v>34</v>
      </c>
      <c r="L68" s="489" t="s">
        <v>34</v>
      </c>
      <c r="M68" s="489" t="s">
        <v>34</v>
      </c>
      <c r="N68" s="489" t="s">
        <v>34</v>
      </c>
      <c r="O68" s="489" t="s">
        <v>34</v>
      </c>
      <c r="P68" s="489" t="s">
        <v>34</v>
      </c>
      <c r="Q68" s="489" t="s">
        <v>34</v>
      </c>
      <c r="R68" s="489" t="s">
        <v>34</v>
      </c>
      <c r="S68" s="489" t="s">
        <v>34</v>
      </c>
      <c r="T68" s="489" t="s">
        <v>34</v>
      </c>
      <c r="U68" s="489" t="s">
        <v>34</v>
      </c>
      <c r="V68" s="489" t="s">
        <v>34</v>
      </c>
      <c r="W68" s="489" t="s">
        <v>34</v>
      </c>
      <c r="X68" s="489" t="s">
        <v>34</v>
      </c>
      <c r="Y68" s="588" t="s">
        <v>34</v>
      </c>
      <c r="Z68" s="522" t="s">
        <v>34</v>
      </c>
      <c r="AA68" s="588" t="s">
        <v>34</v>
      </c>
      <c r="AB68">
        <f t="shared" si="10"/>
        <v>60</v>
      </c>
      <c r="AC68" s="4" t="s">
        <v>1354</v>
      </c>
      <c r="AD68" s="4"/>
      <c r="AE68" s="4"/>
      <c r="AG68" s="581">
        <v>8.5000000000000006E-2</v>
      </c>
      <c r="AH68" t="s">
        <v>1358</v>
      </c>
    </row>
    <row r="69" spans="1:36" x14ac:dyDescent="0.35">
      <c r="A69">
        <f t="shared" si="4"/>
        <v>61</v>
      </c>
      <c r="B69" s="587" t="s">
        <v>2378</v>
      </c>
      <c r="C69" s="763">
        <f t="shared" si="12"/>
        <v>0.32999999999999996</v>
      </c>
      <c r="D69" s="529">
        <f t="shared" si="13"/>
        <v>0.72</v>
      </c>
      <c r="E69" s="489" t="s">
        <v>34</v>
      </c>
      <c r="F69" s="489" t="s">
        <v>34</v>
      </c>
      <c r="G69" s="756" t="s">
        <v>34</v>
      </c>
      <c r="H69" s="489" t="s">
        <v>34</v>
      </c>
      <c r="I69" s="489" t="s">
        <v>34</v>
      </c>
      <c r="J69" s="489" t="s">
        <v>34</v>
      </c>
      <c r="K69" s="489" t="s">
        <v>34</v>
      </c>
      <c r="L69" s="489" t="s">
        <v>34</v>
      </c>
      <c r="M69" s="489" t="s">
        <v>34</v>
      </c>
      <c r="N69" s="489" t="s">
        <v>34</v>
      </c>
      <c r="O69" s="489" t="s">
        <v>34</v>
      </c>
      <c r="P69" s="489" t="s">
        <v>34</v>
      </c>
      <c r="Q69" s="489" t="s">
        <v>34</v>
      </c>
      <c r="R69" s="489" t="s">
        <v>34</v>
      </c>
      <c r="S69" s="489" t="s">
        <v>34</v>
      </c>
      <c r="T69" s="489" t="s">
        <v>34</v>
      </c>
      <c r="U69" s="489" t="s">
        <v>34</v>
      </c>
      <c r="V69" s="489" t="s">
        <v>34</v>
      </c>
      <c r="W69" s="489" t="s">
        <v>34</v>
      </c>
      <c r="X69" s="489" t="s">
        <v>34</v>
      </c>
      <c r="Y69" s="588" t="s">
        <v>34</v>
      </c>
      <c r="Z69" s="522" t="s">
        <v>34</v>
      </c>
      <c r="AA69" s="588" t="s">
        <v>34</v>
      </c>
      <c r="AB69">
        <f t="shared" si="10"/>
        <v>61</v>
      </c>
      <c r="AC69" s="4" t="s">
        <v>1354</v>
      </c>
      <c r="AD69" s="4"/>
      <c r="AE69" s="4"/>
      <c r="AG69" s="581">
        <v>0.03</v>
      </c>
      <c r="AH69" t="s">
        <v>1357</v>
      </c>
    </row>
    <row r="70" spans="1:36" x14ac:dyDescent="0.35">
      <c r="A70">
        <f t="shared" si="4"/>
        <v>62</v>
      </c>
      <c r="B70" s="587" t="s">
        <v>2379</v>
      </c>
      <c r="C70" s="763">
        <f t="shared" si="12"/>
        <v>6.8749999999999991</v>
      </c>
      <c r="D70" s="529">
        <f t="shared" si="13"/>
        <v>14.999999999999996</v>
      </c>
      <c r="E70" s="489" t="s">
        <v>34</v>
      </c>
      <c r="F70" s="489" t="s">
        <v>34</v>
      </c>
      <c r="G70" s="756" t="s">
        <v>34</v>
      </c>
      <c r="H70" s="489" t="s">
        <v>34</v>
      </c>
      <c r="I70" s="489" t="s">
        <v>34</v>
      </c>
      <c r="J70" s="489" t="s">
        <v>34</v>
      </c>
      <c r="K70" s="489" t="s">
        <v>34</v>
      </c>
      <c r="L70" s="489" t="s">
        <v>34</v>
      </c>
      <c r="M70" s="489" t="s">
        <v>34</v>
      </c>
      <c r="N70" s="489" t="s">
        <v>34</v>
      </c>
      <c r="O70" s="489" t="s">
        <v>34</v>
      </c>
      <c r="P70" s="489" t="s">
        <v>34</v>
      </c>
      <c r="Q70" s="489" t="s">
        <v>34</v>
      </c>
      <c r="R70" s="489" t="s">
        <v>34</v>
      </c>
      <c r="S70" s="489" t="s">
        <v>34</v>
      </c>
      <c r="T70" s="489" t="s">
        <v>34</v>
      </c>
      <c r="U70" s="489" t="s">
        <v>34</v>
      </c>
      <c r="V70" s="489" t="s">
        <v>34</v>
      </c>
      <c r="W70" s="489" t="s">
        <v>34</v>
      </c>
      <c r="X70" s="489" t="s">
        <v>34</v>
      </c>
      <c r="Y70" s="588" t="s">
        <v>34</v>
      </c>
      <c r="Z70" s="522" t="s">
        <v>34</v>
      </c>
      <c r="AA70" s="588" t="s">
        <v>34</v>
      </c>
      <c r="AB70">
        <f t="shared" si="10"/>
        <v>62</v>
      </c>
      <c r="AC70" s="4" t="s">
        <v>1354</v>
      </c>
      <c r="AD70" s="4"/>
      <c r="AE70" s="4"/>
      <c r="AG70" s="581">
        <f>1-(AG67+AG68+AG71+AG72+AG69)</f>
        <v>0.62499999999999989</v>
      </c>
      <c r="AH70" t="s">
        <v>1655</v>
      </c>
    </row>
    <row r="71" spans="1:36" x14ac:dyDescent="0.35">
      <c r="A71">
        <f t="shared" si="4"/>
        <v>63</v>
      </c>
      <c r="B71" s="587" t="s">
        <v>2380</v>
      </c>
      <c r="C71" s="763">
        <f t="shared" si="12"/>
        <v>1.1000000000000001</v>
      </c>
      <c r="D71" s="529">
        <f t="shared" si="13"/>
        <v>2.4000000000000004</v>
      </c>
      <c r="E71" s="489" t="s">
        <v>34</v>
      </c>
      <c r="F71" s="489" t="s">
        <v>34</v>
      </c>
      <c r="G71" s="756" t="s">
        <v>34</v>
      </c>
      <c r="H71" s="489" t="s">
        <v>34</v>
      </c>
      <c r="I71" s="489" t="s">
        <v>34</v>
      </c>
      <c r="J71" s="489" t="s">
        <v>34</v>
      </c>
      <c r="K71" s="489" t="s">
        <v>34</v>
      </c>
      <c r="L71" s="489" t="s">
        <v>34</v>
      </c>
      <c r="M71" s="489" t="s">
        <v>34</v>
      </c>
      <c r="N71" s="489" t="s">
        <v>34</v>
      </c>
      <c r="O71" s="489" t="s">
        <v>34</v>
      </c>
      <c r="P71" s="489" t="s">
        <v>34</v>
      </c>
      <c r="Q71" s="489" t="s">
        <v>34</v>
      </c>
      <c r="R71" s="489" t="s">
        <v>34</v>
      </c>
      <c r="S71" s="489" t="s">
        <v>34</v>
      </c>
      <c r="T71" s="489" t="s">
        <v>34</v>
      </c>
      <c r="U71" s="489" t="s">
        <v>34</v>
      </c>
      <c r="V71" s="489" t="s">
        <v>34</v>
      </c>
      <c r="W71" s="489" t="s">
        <v>34</v>
      </c>
      <c r="X71" s="489" t="s">
        <v>34</v>
      </c>
      <c r="Y71" s="588" t="s">
        <v>34</v>
      </c>
      <c r="Z71" s="522" t="s">
        <v>34</v>
      </c>
      <c r="AA71" s="588" t="s">
        <v>34</v>
      </c>
      <c r="AB71">
        <f t="shared" si="10"/>
        <v>63</v>
      </c>
      <c r="AC71" s="4" t="s">
        <v>1354</v>
      </c>
      <c r="AD71" s="4"/>
      <c r="AE71" s="4"/>
      <c r="AG71" s="581">
        <v>0.1</v>
      </c>
      <c r="AH71" t="s">
        <v>1352</v>
      </c>
    </row>
    <row r="72" spans="1:36" x14ac:dyDescent="0.35">
      <c r="A72">
        <f t="shared" si="4"/>
        <v>64</v>
      </c>
      <c r="B72" s="587" t="s">
        <v>2381</v>
      </c>
      <c r="C72" s="763">
        <f t="shared" si="12"/>
        <v>0.32999999999999996</v>
      </c>
      <c r="D72" s="529">
        <f t="shared" si="13"/>
        <v>0.72</v>
      </c>
      <c r="E72" s="489" t="s">
        <v>34</v>
      </c>
      <c r="F72" s="489" t="s">
        <v>34</v>
      </c>
      <c r="G72" s="756" t="s">
        <v>34</v>
      </c>
      <c r="H72" s="489" t="s">
        <v>34</v>
      </c>
      <c r="I72" s="489" t="s">
        <v>34</v>
      </c>
      <c r="J72" s="489" t="s">
        <v>34</v>
      </c>
      <c r="K72" s="489" t="s">
        <v>34</v>
      </c>
      <c r="L72" s="489" t="s">
        <v>34</v>
      </c>
      <c r="M72" s="489" t="s">
        <v>34</v>
      </c>
      <c r="N72" s="489" t="s">
        <v>34</v>
      </c>
      <c r="O72" s="489" t="s">
        <v>34</v>
      </c>
      <c r="P72" s="489" t="s">
        <v>34</v>
      </c>
      <c r="Q72" s="489" t="s">
        <v>34</v>
      </c>
      <c r="R72" s="489" t="s">
        <v>34</v>
      </c>
      <c r="S72" s="489" t="s">
        <v>34</v>
      </c>
      <c r="T72" s="489" t="s">
        <v>34</v>
      </c>
      <c r="U72" s="489" t="s">
        <v>34</v>
      </c>
      <c r="V72" s="489" t="s">
        <v>34</v>
      </c>
      <c r="W72" s="489" t="s">
        <v>34</v>
      </c>
      <c r="X72" s="489" t="s">
        <v>34</v>
      </c>
      <c r="Y72" s="588" t="s">
        <v>34</v>
      </c>
      <c r="Z72" s="522" t="s">
        <v>34</v>
      </c>
      <c r="AA72" s="588" t="s">
        <v>34</v>
      </c>
      <c r="AB72">
        <f t="shared" si="10"/>
        <v>64</v>
      </c>
      <c r="AC72" s="4" t="s">
        <v>1354</v>
      </c>
      <c r="AD72" s="4"/>
      <c r="AE72" s="4"/>
      <c r="AG72" s="581">
        <v>0.03</v>
      </c>
      <c r="AH72" t="s">
        <v>1351</v>
      </c>
    </row>
    <row r="73" spans="1:36" x14ac:dyDescent="0.35">
      <c r="A73">
        <f t="shared" si="4"/>
        <v>65</v>
      </c>
      <c r="B73" s="582" t="s">
        <v>2924</v>
      </c>
      <c r="C73" s="762">
        <v>22</v>
      </c>
      <c r="D73" s="583">
        <v>5.3</v>
      </c>
      <c r="E73" s="584">
        <v>80000</v>
      </c>
      <c r="F73" s="584">
        <v>38000</v>
      </c>
      <c r="G73" s="755">
        <f>C73*H73</f>
        <v>0.65999999999999992</v>
      </c>
      <c r="H73" s="603">
        <v>0.03</v>
      </c>
      <c r="I73" s="584" t="s">
        <v>34</v>
      </c>
      <c r="J73" s="584" t="s">
        <v>34</v>
      </c>
      <c r="K73" s="584" t="s">
        <v>34</v>
      </c>
      <c r="L73" s="584" t="s">
        <v>34</v>
      </c>
      <c r="M73" s="584" t="s">
        <v>34</v>
      </c>
      <c r="N73" s="584" t="s">
        <v>34</v>
      </c>
      <c r="O73" s="584" t="s">
        <v>34</v>
      </c>
      <c r="P73" s="584" t="s">
        <v>34</v>
      </c>
      <c r="Q73" s="584" t="s">
        <v>34</v>
      </c>
      <c r="R73" s="584" t="s">
        <v>34</v>
      </c>
      <c r="S73" s="584" t="s">
        <v>34</v>
      </c>
      <c r="T73" s="584" t="s">
        <v>34</v>
      </c>
      <c r="U73" s="584" t="s">
        <v>34</v>
      </c>
      <c r="V73" s="584" t="s">
        <v>34</v>
      </c>
      <c r="W73" s="584" t="s">
        <v>34</v>
      </c>
      <c r="X73" s="584" t="s">
        <v>34</v>
      </c>
      <c r="Y73" s="586" t="s">
        <v>34</v>
      </c>
      <c r="Z73" s="840" t="s">
        <v>34</v>
      </c>
      <c r="AA73" s="586" t="s">
        <v>34</v>
      </c>
      <c r="AB73">
        <f t="shared" si="10"/>
        <v>65</v>
      </c>
      <c r="AC73" s="4" t="s">
        <v>1350</v>
      </c>
      <c r="AD73" s="4"/>
      <c r="AF73" t="s">
        <v>34</v>
      </c>
      <c r="AG73" s="610" t="s">
        <v>1650</v>
      </c>
      <c r="AH73" s="611" t="s">
        <v>1422</v>
      </c>
      <c r="AI73" s="4" t="s">
        <v>1350</v>
      </c>
      <c r="AJ73" t="s">
        <v>34</v>
      </c>
    </row>
    <row r="74" spans="1:36" x14ac:dyDescent="0.35">
      <c r="A74">
        <f t="shared" si="4"/>
        <v>66</v>
      </c>
      <c r="B74" s="582" t="s">
        <v>2370</v>
      </c>
      <c r="C74" s="762">
        <f>C73*AG74</f>
        <v>1.7973584905660378</v>
      </c>
      <c r="D74" s="583">
        <v>0.433</v>
      </c>
      <c r="E74" s="584" t="s">
        <v>34</v>
      </c>
      <c r="F74" s="584" t="s">
        <v>34</v>
      </c>
      <c r="G74" s="755" t="s">
        <v>34</v>
      </c>
      <c r="H74" s="584" t="s">
        <v>34</v>
      </c>
      <c r="I74" s="584" t="s">
        <v>34</v>
      </c>
      <c r="J74" s="584" t="s">
        <v>34</v>
      </c>
      <c r="K74" s="584" t="s">
        <v>34</v>
      </c>
      <c r="L74" s="584" t="s">
        <v>34</v>
      </c>
      <c r="M74" s="584" t="s">
        <v>34</v>
      </c>
      <c r="N74" s="584" t="s">
        <v>34</v>
      </c>
      <c r="O74" s="584" t="s">
        <v>34</v>
      </c>
      <c r="P74" s="584" t="s">
        <v>34</v>
      </c>
      <c r="Q74" s="584" t="s">
        <v>34</v>
      </c>
      <c r="R74" s="584" t="s">
        <v>34</v>
      </c>
      <c r="S74" s="584" t="s">
        <v>34</v>
      </c>
      <c r="T74" s="584" t="s">
        <v>34</v>
      </c>
      <c r="U74" s="584" t="s">
        <v>34</v>
      </c>
      <c r="V74" s="584" t="s">
        <v>34</v>
      </c>
      <c r="W74" s="584" t="s">
        <v>34</v>
      </c>
      <c r="X74" s="584" t="s">
        <v>34</v>
      </c>
      <c r="Y74" s="586" t="s">
        <v>34</v>
      </c>
      <c r="Z74" s="840" t="s">
        <v>34</v>
      </c>
      <c r="AA74" s="586" t="s">
        <v>34</v>
      </c>
      <c r="AB74">
        <f t="shared" si="10"/>
        <v>66</v>
      </c>
      <c r="AC74" s="4" t="s">
        <v>1374</v>
      </c>
      <c r="AD74" s="4"/>
      <c r="AF74" t="s">
        <v>34</v>
      </c>
      <c r="AG74" s="581">
        <f>D74/D73</f>
        <v>8.1698113207547177E-2</v>
      </c>
      <c r="AH74" t="s">
        <v>1353</v>
      </c>
    </row>
    <row r="75" spans="1:36" x14ac:dyDescent="0.35">
      <c r="A75">
        <f t="shared" si="4"/>
        <v>67</v>
      </c>
      <c r="B75" s="582" t="s">
        <v>2371</v>
      </c>
      <c r="C75" s="762">
        <f>C$73*AG75</f>
        <v>5.94</v>
      </c>
      <c r="D75" s="583">
        <f>D$73*AG75</f>
        <v>1.431</v>
      </c>
      <c r="E75" s="584" t="s">
        <v>427</v>
      </c>
      <c r="F75" s="584" t="s">
        <v>427</v>
      </c>
      <c r="G75" s="755" t="s">
        <v>34</v>
      </c>
      <c r="H75" s="584" t="s">
        <v>34</v>
      </c>
      <c r="I75" s="584" t="s">
        <v>34</v>
      </c>
      <c r="J75" s="584" t="s">
        <v>34</v>
      </c>
      <c r="K75" s="584" t="s">
        <v>34</v>
      </c>
      <c r="L75" s="584" t="s">
        <v>34</v>
      </c>
      <c r="M75" s="584" t="s">
        <v>34</v>
      </c>
      <c r="N75" s="584" t="s">
        <v>34</v>
      </c>
      <c r="O75" s="584" t="s">
        <v>34</v>
      </c>
      <c r="P75" s="584" t="s">
        <v>34</v>
      </c>
      <c r="Q75" s="584" t="s">
        <v>34</v>
      </c>
      <c r="R75" s="584" t="s">
        <v>34</v>
      </c>
      <c r="S75" s="584" t="s">
        <v>34</v>
      </c>
      <c r="T75" s="584" t="s">
        <v>34</v>
      </c>
      <c r="U75" s="584" t="s">
        <v>34</v>
      </c>
      <c r="V75" s="584" t="s">
        <v>34</v>
      </c>
      <c r="W75" s="584" t="s">
        <v>34</v>
      </c>
      <c r="X75" s="584" t="s">
        <v>34</v>
      </c>
      <c r="Y75" s="586" t="s">
        <v>34</v>
      </c>
      <c r="Z75" s="840" t="s">
        <v>34</v>
      </c>
      <c r="AA75" s="586" t="s">
        <v>34</v>
      </c>
      <c r="AB75">
        <f t="shared" si="10"/>
        <v>67</v>
      </c>
      <c r="AC75" s="4" t="s">
        <v>1372</v>
      </c>
      <c r="AD75" s="4" t="s">
        <v>1350</v>
      </c>
      <c r="AF75" t="s">
        <v>1651</v>
      </c>
      <c r="AG75" s="581">
        <v>0.27</v>
      </c>
      <c r="AH75" t="s">
        <v>1652</v>
      </c>
    </row>
    <row r="76" spans="1:36" x14ac:dyDescent="0.35">
      <c r="A76">
        <f t="shared" si="4"/>
        <v>68</v>
      </c>
      <c r="B76" s="582" t="s">
        <v>2372</v>
      </c>
      <c r="C76" s="762">
        <f>C$73*AG76</f>
        <v>5.94</v>
      </c>
      <c r="D76" s="583">
        <f>D$73*AG76</f>
        <v>1.431</v>
      </c>
      <c r="E76" s="584" t="s">
        <v>34</v>
      </c>
      <c r="F76" s="584" t="s">
        <v>34</v>
      </c>
      <c r="G76" s="755" t="s">
        <v>34</v>
      </c>
      <c r="H76" s="584" t="s">
        <v>34</v>
      </c>
      <c r="I76" s="584" t="s">
        <v>34</v>
      </c>
      <c r="J76" s="584" t="s">
        <v>34</v>
      </c>
      <c r="K76" s="584" t="s">
        <v>34</v>
      </c>
      <c r="L76" s="584" t="s">
        <v>34</v>
      </c>
      <c r="M76" s="584" t="s">
        <v>34</v>
      </c>
      <c r="N76" s="584" t="s">
        <v>34</v>
      </c>
      <c r="O76" s="584" t="s">
        <v>34</v>
      </c>
      <c r="P76" s="584" t="s">
        <v>34</v>
      </c>
      <c r="Q76" s="584" t="s">
        <v>34</v>
      </c>
      <c r="R76" s="584" t="s">
        <v>34</v>
      </c>
      <c r="S76" s="584" t="s">
        <v>34</v>
      </c>
      <c r="T76" s="584" t="s">
        <v>34</v>
      </c>
      <c r="U76" s="584" t="s">
        <v>34</v>
      </c>
      <c r="V76" s="584" t="s">
        <v>34</v>
      </c>
      <c r="W76" s="584" t="s">
        <v>34</v>
      </c>
      <c r="X76" s="584" t="s">
        <v>34</v>
      </c>
      <c r="Y76" s="586" t="s">
        <v>34</v>
      </c>
      <c r="Z76" s="840" t="s">
        <v>34</v>
      </c>
      <c r="AA76" s="586" t="s">
        <v>34</v>
      </c>
      <c r="AB76">
        <f t="shared" si="10"/>
        <v>68</v>
      </c>
      <c r="AD76" s="4" t="s">
        <v>1350</v>
      </c>
      <c r="AG76" s="581">
        <v>0.27</v>
      </c>
      <c r="AH76" t="s">
        <v>1653</v>
      </c>
    </row>
    <row r="77" spans="1:36" x14ac:dyDescent="0.35">
      <c r="A77">
        <f t="shared" si="4"/>
        <v>69</v>
      </c>
      <c r="B77" s="582" t="s">
        <v>2373</v>
      </c>
      <c r="C77" s="762">
        <f>C$73*AG77</f>
        <v>9.02</v>
      </c>
      <c r="D77" s="583">
        <f>D$73*AG77</f>
        <v>2.1729999999999996</v>
      </c>
      <c r="E77" s="584" t="s">
        <v>34</v>
      </c>
      <c r="F77" s="584" t="s">
        <v>34</v>
      </c>
      <c r="G77" s="755" t="s">
        <v>34</v>
      </c>
      <c r="H77" s="584" t="s">
        <v>34</v>
      </c>
      <c r="I77" s="584" t="s">
        <v>34</v>
      </c>
      <c r="J77" s="584" t="s">
        <v>34</v>
      </c>
      <c r="K77" s="584" t="s">
        <v>34</v>
      </c>
      <c r="L77" s="584" t="s">
        <v>34</v>
      </c>
      <c r="M77" s="584" t="s">
        <v>34</v>
      </c>
      <c r="N77" s="584" t="s">
        <v>34</v>
      </c>
      <c r="O77" s="584" t="s">
        <v>34</v>
      </c>
      <c r="P77" s="584" t="s">
        <v>34</v>
      </c>
      <c r="Q77" s="584" t="s">
        <v>34</v>
      </c>
      <c r="R77" s="584" t="s">
        <v>34</v>
      </c>
      <c r="S77" s="584" t="s">
        <v>34</v>
      </c>
      <c r="T77" s="584" t="s">
        <v>34</v>
      </c>
      <c r="U77" s="584" t="s">
        <v>34</v>
      </c>
      <c r="V77" s="584" t="s">
        <v>34</v>
      </c>
      <c r="W77" s="584" t="s">
        <v>34</v>
      </c>
      <c r="X77" s="584" t="s">
        <v>34</v>
      </c>
      <c r="Y77" s="586" t="s">
        <v>34</v>
      </c>
      <c r="Z77" s="840" t="s">
        <v>34</v>
      </c>
      <c r="AA77" s="586" t="s">
        <v>34</v>
      </c>
      <c r="AB77">
        <f t="shared" si="10"/>
        <v>69</v>
      </c>
      <c r="AD77" s="4" t="s">
        <v>1350</v>
      </c>
      <c r="AG77" s="581">
        <f>1-AG75-AG76-AG78</f>
        <v>0.41</v>
      </c>
      <c r="AH77" t="s">
        <v>1352</v>
      </c>
    </row>
    <row r="78" spans="1:36" x14ac:dyDescent="0.35">
      <c r="A78">
        <f t="shared" si="4"/>
        <v>70</v>
      </c>
      <c r="B78" s="582" t="s">
        <v>2374</v>
      </c>
      <c r="C78" s="762">
        <f>C$73*AG78</f>
        <v>1.1000000000000001</v>
      </c>
      <c r="D78" s="583">
        <f>D$73*AG78</f>
        <v>0.26500000000000001</v>
      </c>
      <c r="E78" s="584" t="s">
        <v>34</v>
      </c>
      <c r="F78" s="584" t="s">
        <v>34</v>
      </c>
      <c r="G78" s="755" t="s">
        <v>34</v>
      </c>
      <c r="H78" s="584" t="s">
        <v>34</v>
      </c>
      <c r="I78" s="584" t="s">
        <v>34</v>
      </c>
      <c r="J78" s="584" t="s">
        <v>34</v>
      </c>
      <c r="K78" s="584" t="s">
        <v>34</v>
      </c>
      <c r="L78" s="584" t="s">
        <v>34</v>
      </c>
      <c r="M78" s="584" t="s">
        <v>34</v>
      </c>
      <c r="N78" s="584" t="s">
        <v>34</v>
      </c>
      <c r="O78" s="584" t="s">
        <v>34</v>
      </c>
      <c r="P78" s="584" t="s">
        <v>34</v>
      </c>
      <c r="Q78" s="584" t="s">
        <v>34</v>
      </c>
      <c r="R78" s="584" t="s">
        <v>34</v>
      </c>
      <c r="S78" s="584" t="s">
        <v>34</v>
      </c>
      <c r="T78" s="584" t="s">
        <v>34</v>
      </c>
      <c r="U78" s="584" t="s">
        <v>34</v>
      </c>
      <c r="V78" s="584" t="s">
        <v>34</v>
      </c>
      <c r="W78" s="584" t="s">
        <v>34</v>
      </c>
      <c r="X78" s="584" t="s">
        <v>34</v>
      </c>
      <c r="Y78" s="586" t="s">
        <v>34</v>
      </c>
      <c r="Z78" s="840" t="s">
        <v>34</v>
      </c>
      <c r="AA78" s="586" t="s">
        <v>34</v>
      </c>
      <c r="AB78">
        <f t="shared" si="10"/>
        <v>70</v>
      </c>
      <c r="AD78" s="4" t="s">
        <v>1350</v>
      </c>
      <c r="AG78" s="581">
        <v>0.05</v>
      </c>
      <c r="AH78" t="s">
        <v>1351</v>
      </c>
    </row>
    <row r="79" spans="1:36" x14ac:dyDescent="0.35">
      <c r="A79">
        <f t="shared" si="4"/>
        <v>71</v>
      </c>
      <c r="B79" s="104" t="s">
        <v>2330</v>
      </c>
      <c r="C79" s="666">
        <v>21</v>
      </c>
      <c r="D79" s="174">
        <v>34.5</v>
      </c>
      <c r="E79" s="172">
        <v>67000</v>
      </c>
      <c r="F79" s="172">
        <v>0</v>
      </c>
      <c r="G79" s="747">
        <f>C79*H79</f>
        <v>1.68</v>
      </c>
      <c r="H79" s="601">
        <v>0.08</v>
      </c>
      <c r="I79" s="172">
        <f>SUM(J79:O79)</f>
        <v>0</v>
      </c>
      <c r="J79" s="172"/>
      <c r="K79" s="172">
        <v>0</v>
      </c>
      <c r="L79" s="172"/>
      <c r="M79" s="172"/>
      <c r="N79" s="172"/>
      <c r="O79" s="172"/>
      <c r="P79" s="172">
        <v>0</v>
      </c>
      <c r="Q79" s="172">
        <f>SUM(R79:S79)</f>
        <v>0</v>
      </c>
      <c r="R79" s="172"/>
      <c r="S79" s="172"/>
      <c r="T79" s="172"/>
      <c r="U79" s="172"/>
      <c r="V79" s="172"/>
      <c r="W79" s="172"/>
      <c r="X79" s="172"/>
      <c r="Y79" s="166"/>
      <c r="Z79" s="450" t="s">
        <v>34</v>
      </c>
      <c r="AA79" s="166" t="s">
        <v>34</v>
      </c>
      <c r="AB79">
        <f t="shared" si="10"/>
        <v>71</v>
      </c>
      <c r="AC79" s="4" t="s">
        <v>1425</v>
      </c>
      <c r="AD79" t="s">
        <v>34</v>
      </c>
      <c r="AG79" s="581"/>
    </row>
    <row r="80" spans="1:36" x14ac:dyDescent="0.35">
      <c r="A80">
        <f t="shared" si="4"/>
        <v>72</v>
      </c>
      <c r="B80" s="104" t="s">
        <v>2331</v>
      </c>
      <c r="C80" s="666">
        <f>C79*AG80</f>
        <v>7.35</v>
      </c>
      <c r="D80" s="174">
        <f>D79*AG80</f>
        <v>12.074999999999999</v>
      </c>
      <c r="E80" s="172" t="s">
        <v>34</v>
      </c>
      <c r="F80" s="172" t="s">
        <v>34</v>
      </c>
      <c r="G80" s="747">
        <f>G79*AG80</f>
        <v>0.58799999999999997</v>
      </c>
      <c r="H80" s="601">
        <v>0.08</v>
      </c>
      <c r="I80" s="172">
        <f t="shared" ref="I80:I83" si="14">SUM(J80:O80)</f>
        <v>0</v>
      </c>
      <c r="J80" s="172"/>
      <c r="K80" s="172">
        <v>0</v>
      </c>
      <c r="L80" s="172"/>
      <c r="M80" s="172"/>
      <c r="N80" s="172"/>
      <c r="O80" s="172"/>
      <c r="P80" s="172">
        <v>0</v>
      </c>
      <c r="Q80" s="172">
        <f t="shared" ref="Q80:Q83" si="15">SUM(R80:S80)</f>
        <v>0</v>
      </c>
      <c r="R80" s="172"/>
      <c r="S80" s="172"/>
      <c r="T80" s="172"/>
      <c r="U80" s="172"/>
      <c r="V80" s="172"/>
      <c r="W80" s="172"/>
      <c r="X80" s="172"/>
      <c r="Y80" s="166"/>
      <c r="Z80" s="450" t="s">
        <v>34</v>
      </c>
      <c r="AA80" s="166" t="s">
        <v>34</v>
      </c>
      <c r="AB80">
        <f t="shared" si="10"/>
        <v>72</v>
      </c>
      <c r="AG80" s="581">
        <v>0.35</v>
      </c>
      <c r="AH80" t="s">
        <v>1652</v>
      </c>
    </row>
    <row r="81" spans="1:33" x14ac:dyDescent="0.35">
      <c r="A81">
        <f t="shared" si="4"/>
        <v>73</v>
      </c>
      <c r="B81" s="104" t="s">
        <v>2320</v>
      </c>
      <c r="C81" s="666">
        <v>347</v>
      </c>
      <c r="D81" s="174">
        <v>107</v>
      </c>
      <c r="E81" s="172">
        <v>438000</v>
      </c>
      <c r="F81" s="172">
        <v>479000</v>
      </c>
      <c r="G81" s="747">
        <f>4.82+1.3</f>
        <v>6.12</v>
      </c>
      <c r="H81" s="601">
        <f>G81/C81</f>
        <v>1.7636887608069165E-2</v>
      </c>
      <c r="I81" s="172">
        <f t="shared" si="14"/>
        <v>0</v>
      </c>
      <c r="J81" s="172"/>
      <c r="K81" s="172">
        <v>0</v>
      </c>
      <c r="L81" s="172"/>
      <c r="M81" s="172"/>
      <c r="N81" s="172"/>
      <c r="O81" s="172"/>
      <c r="P81" s="172">
        <v>0</v>
      </c>
      <c r="Q81" s="172">
        <f t="shared" si="15"/>
        <v>0</v>
      </c>
      <c r="R81" s="172"/>
      <c r="S81" s="172"/>
      <c r="T81" s="172"/>
      <c r="U81" s="172"/>
      <c r="V81" s="172"/>
      <c r="W81" s="172"/>
      <c r="X81" s="172"/>
      <c r="Y81" s="166"/>
      <c r="Z81" s="450" t="s">
        <v>34</v>
      </c>
      <c r="AA81" s="166" t="s">
        <v>34</v>
      </c>
      <c r="AB81">
        <f t="shared" si="10"/>
        <v>73</v>
      </c>
      <c r="AD81" t="s">
        <v>1428</v>
      </c>
      <c r="AE81" t="s">
        <v>34</v>
      </c>
    </row>
    <row r="82" spans="1:33" x14ac:dyDescent="0.35">
      <c r="A82">
        <f t="shared" si="4"/>
        <v>74</v>
      </c>
      <c r="B82" s="104" t="s">
        <v>2321</v>
      </c>
      <c r="C82" s="666">
        <v>50</v>
      </c>
      <c r="D82" s="174">
        <v>11.5</v>
      </c>
      <c r="E82" s="172">
        <v>101000</v>
      </c>
      <c r="F82" s="172">
        <v>100000</v>
      </c>
      <c r="G82" s="747">
        <f>H82*C82</f>
        <v>3.25</v>
      </c>
      <c r="H82" s="601">
        <v>6.5000000000000002E-2</v>
      </c>
      <c r="I82" s="172">
        <f t="shared" si="14"/>
        <v>0</v>
      </c>
      <c r="J82" s="172"/>
      <c r="K82" s="172">
        <v>0</v>
      </c>
      <c r="L82" s="172"/>
      <c r="M82" s="172"/>
      <c r="N82" s="172"/>
      <c r="O82" s="172"/>
      <c r="P82" s="172">
        <v>0</v>
      </c>
      <c r="Q82" s="172">
        <f t="shared" si="15"/>
        <v>0</v>
      </c>
      <c r="R82" s="172"/>
      <c r="S82" s="172"/>
      <c r="T82" s="172"/>
      <c r="U82" s="172"/>
      <c r="V82" s="172"/>
      <c r="W82" s="172"/>
      <c r="X82" s="172"/>
      <c r="Y82" s="166"/>
      <c r="Z82" s="450" t="s">
        <v>34</v>
      </c>
      <c r="AA82" s="166" t="s">
        <v>34</v>
      </c>
      <c r="AB82">
        <f t="shared" si="10"/>
        <v>74</v>
      </c>
      <c r="AD82" s="4" t="s">
        <v>1429</v>
      </c>
      <c r="AE82" t="s">
        <v>34</v>
      </c>
    </row>
    <row r="83" spans="1:33" ht="15" thickBot="1" x14ac:dyDescent="0.4">
      <c r="A83">
        <f t="shared" si="4"/>
        <v>75</v>
      </c>
      <c r="B83" s="106" t="s">
        <v>2322</v>
      </c>
      <c r="C83" s="764">
        <v>255</v>
      </c>
      <c r="D83" s="651">
        <v>46.5</v>
      </c>
      <c r="E83" s="607">
        <v>193000</v>
      </c>
      <c r="F83" s="607" t="s">
        <v>34</v>
      </c>
      <c r="G83" s="750">
        <v>10.3</v>
      </c>
      <c r="H83" s="605">
        <f>G83/C83</f>
        <v>4.0392156862745103E-2</v>
      </c>
      <c r="I83" s="607">
        <f t="shared" si="14"/>
        <v>0</v>
      </c>
      <c r="J83" s="607"/>
      <c r="K83" s="607">
        <v>0</v>
      </c>
      <c r="L83" s="607"/>
      <c r="M83" s="607"/>
      <c r="N83" s="607"/>
      <c r="O83" s="607"/>
      <c r="P83" s="607">
        <v>0</v>
      </c>
      <c r="Q83" s="607">
        <f t="shared" si="15"/>
        <v>0</v>
      </c>
      <c r="R83" s="607"/>
      <c r="S83" s="607"/>
      <c r="T83" s="607"/>
      <c r="U83" s="607"/>
      <c r="V83" s="607"/>
      <c r="W83" s="607"/>
      <c r="X83" s="607"/>
      <c r="Y83" s="608"/>
      <c r="Z83" s="839" t="s">
        <v>34</v>
      </c>
      <c r="AA83" s="608" t="s">
        <v>34</v>
      </c>
      <c r="AB83">
        <f t="shared" si="10"/>
        <v>75</v>
      </c>
      <c r="AC83" s="4" t="s">
        <v>1430</v>
      </c>
      <c r="AD83" s="4" t="s">
        <v>1431</v>
      </c>
      <c r="AE83" t="s">
        <v>34</v>
      </c>
    </row>
    <row r="84" spans="1:33" ht="15" thickTop="1" x14ac:dyDescent="0.35"/>
    <row r="90" spans="1:33" x14ac:dyDescent="0.35">
      <c r="AC90" s="3" t="str">
        <f>AC4</f>
        <v>Main source</v>
      </c>
      <c r="AD90" s="3" t="str">
        <f>AD4</f>
        <v>2nd source</v>
      </c>
      <c r="AE90" s="3" t="str">
        <f>AE4</f>
        <v>3rd source</v>
      </c>
      <c r="AF90" s="3" t="str">
        <f>AG4</f>
        <v>Notes</v>
      </c>
      <c r="AG90" s="3" t="str">
        <f>AH4</f>
        <v>Notes 2</v>
      </c>
    </row>
    <row r="91" spans="1:33" ht="24" thickBot="1" x14ac:dyDescent="0.6">
      <c r="B91" s="435" t="s">
        <v>21</v>
      </c>
      <c r="C91" s="435"/>
      <c r="D91" s="435"/>
      <c r="E91" s="263"/>
      <c r="F91" s="263"/>
      <c r="G91" s="263"/>
      <c r="H91" s="263"/>
      <c r="I91" s="263"/>
      <c r="J91" s="263"/>
      <c r="K91" s="263"/>
      <c r="L91" s="263"/>
      <c r="M91" s="263"/>
      <c r="N91" s="263"/>
      <c r="O91" s="263"/>
      <c r="P91" s="263"/>
      <c r="Q91" s="263"/>
      <c r="R91" s="263"/>
      <c r="S91" s="263"/>
      <c r="T91" s="263"/>
      <c r="U91" s="263"/>
      <c r="V91" s="263"/>
      <c r="W91" s="263"/>
      <c r="X91" s="263"/>
      <c r="Y91" s="263"/>
      <c r="Z91" s="435"/>
      <c r="AA91" s="435"/>
      <c r="AB91" s="3"/>
    </row>
    <row r="92" spans="1:33" ht="15" thickTop="1" x14ac:dyDescent="0.35">
      <c r="B92" s="436" t="s">
        <v>296</v>
      </c>
      <c r="C92" s="437" t="str">
        <f t="shared" ref="C92:Y92" si="16">C6</f>
        <v>Economy</v>
      </c>
      <c r="D92" s="438" t="str">
        <f t="shared" si="16"/>
        <v>Population</v>
      </c>
      <c r="E92" s="438" t="str">
        <f t="shared" si="16"/>
        <v>Total</v>
      </c>
      <c r="F92" s="438" t="str">
        <f t="shared" si="16"/>
        <v xml:space="preserve"># of </v>
      </c>
      <c r="G92" s="438" t="str">
        <f t="shared" si="16"/>
        <v xml:space="preserve">Military </v>
      </c>
      <c r="H92" s="438" t="str">
        <f t="shared" si="16"/>
        <v>Military</v>
      </c>
      <c r="I92" s="438" t="str">
        <f t="shared" si="16"/>
        <v>Total # of</v>
      </c>
      <c r="J92" s="438" t="str">
        <f t="shared" si="16"/>
        <v># of which</v>
      </c>
      <c r="K92" s="438" t="str">
        <f t="shared" si="16"/>
        <v># of which</v>
      </c>
      <c r="L92" s="438" t="str">
        <f t="shared" si="16"/>
        <v># of which</v>
      </c>
      <c r="M92" s="438" t="str">
        <f t="shared" si="16"/>
        <v># of which</v>
      </c>
      <c r="N92" s="438" t="str">
        <f t="shared" si="16"/>
        <v># of which</v>
      </c>
      <c r="O92" s="438" t="str">
        <f t="shared" si="16"/>
        <v xml:space="preserve"># of patrol/ </v>
      </c>
      <c r="P92" s="438" t="str">
        <f t="shared" si="16"/>
        <v># of UAV</v>
      </c>
      <c r="Q92" s="438" t="str">
        <f t="shared" si="16"/>
        <v xml:space="preserve">Total # of </v>
      </c>
      <c r="R92" s="438" t="str">
        <f t="shared" si="16"/>
        <v># of which</v>
      </c>
      <c r="S92" s="438" t="str">
        <f t="shared" si="16"/>
        <v># of which</v>
      </c>
      <c r="T92" s="438" t="str">
        <f t="shared" si="16"/>
        <v xml:space="preserve"># of </v>
      </c>
      <c r="U92" s="438" t="str">
        <f t="shared" si="16"/>
        <v xml:space="preserve"># of </v>
      </c>
      <c r="V92" s="438" t="str">
        <f t="shared" si="16"/>
        <v># of heavy</v>
      </c>
      <c r="W92" s="438" t="str">
        <f t="shared" si="16"/>
        <v xml:space="preserve"># of </v>
      </c>
      <c r="X92" s="438" t="str">
        <f t="shared" si="16"/>
        <v xml:space="preserve"># of </v>
      </c>
      <c r="Y92" s="558" t="str">
        <f t="shared" si="16"/>
        <v xml:space="preserve"># of </v>
      </c>
      <c r="Z92" s="438" t="str">
        <f t="shared" ref="Z92:AA94" si="17">Z6</f>
        <v># of direct</v>
      </c>
      <c r="AA92" s="558" t="str">
        <f t="shared" si="17"/>
        <v># of</v>
      </c>
      <c r="AB92" s="3"/>
    </row>
    <row r="93" spans="1:33" x14ac:dyDescent="0.35">
      <c r="B93" s="440"/>
      <c r="C93" s="564" t="str">
        <f t="shared" ref="C93:Y93" si="18">C7</f>
        <v>GDP</v>
      </c>
      <c r="D93" s="441" t="str">
        <f t="shared" si="18"/>
        <v>million</v>
      </c>
      <c r="E93" s="441" t="str">
        <f t="shared" si="18"/>
        <v>military</v>
      </c>
      <c r="F93" s="441" t="str">
        <f t="shared" si="18"/>
        <v>military</v>
      </c>
      <c r="G93" s="441" t="str">
        <f t="shared" si="18"/>
        <v xml:space="preserve">spending </v>
      </c>
      <c r="H93" s="441" t="str">
        <f t="shared" si="18"/>
        <v>spending</v>
      </c>
      <c r="I93" s="441" t="str">
        <f t="shared" si="18"/>
        <v>fixed wing</v>
      </c>
      <c r="J93" s="441" t="str">
        <f t="shared" si="18"/>
        <v>fighter</v>
      </c>
      <c r="K93" s="441" t="str">
        <f t="shared" si="18"/>
        <v xml:space="preserve">strategic </v>
      </c>
      <c r="L93" s="441" t="str">
        <f t="shared" si="18"/>
        <v>fuel</v>
      </c>
      <c r="M93" s="441" t="str">
        <f t="shared" si="18"/>
        <v>transport</v>
      </c>
      <c r="N93" s="441" t="str">
        <f t="shared" si="18"/>
        <v>radar</v>
      </c>
      <c r="O93" s="441" t="str">
        <f t="shared" si="18"/>
        <v>electronic</v>
      </c>
      <c r="P93" s="441" t="str">
        <f t="shared" si="18"/>
        <v>bomber</v>
      </c>
      <c r="Q93" s="441" t="str">
        <f t="shared" si="18"/>
        <v>helicopter</v>
      </c>
      <c r="R93" s="441" t="str">
        <f t="shared" si="18"/>
        <v>combat &amp; ASW</v>
      </c>
      <c r="S93" s="441" t="str">
        <f t="shared" si="18"/>
        <v>transport</v>
      </c>
      <c r="T93" s="441" t="str">
        <f t="shared" si="18"/>
        <v>tanks</v>
      </c>
      <c r="U93" s="441" t="str">
        <f t="shared" si="18"/>
        <v xml:space="preserve">fighting </v>
      </c>
      <c r="V93" s="441" t="str">
        <f t="shared" si="18"/>
        <v>artillery</v>
      </c>
      <c r="W93" s="441" t="str">
        <f t="shared" si="18"/>
        <v xml:space="preserve">anti-aircraft </v>
      </c>
      <c r="X93" s="441" t="str">
        <f t="shared" si="18"/>
        <v xml:space="preserve">naval </v>
      </c>
      <c r="Y93" s="559" t="str">
        <f t="shared" si="18"/>
        <v>submarines</v>
      </c>
      <c r="Z93" s="441" t="str">
        <f t="shared" si="17"/>
        <v xml:space="preserve">military </v>
      </c>
      <c r="AA93" s="559" t="str">
        <f t="shared" si="17"/>
        <v>military</v>
      </c>
      <c r="AB93" s="3"/>
    </row>
    <row r="94" spans="1:33" ht="15" thickBot="1" x14ac:dyDescent="0.4">
      <c r="B94" s="444"/>
      <c r="C94" s="571" t="str">
        <f>C8</f>
        <v>billion USD</v>
      </c>
      <c r="D94" s="445"/>
      <c r="E94" s="445" t="str">
        <f t="shared" ref="E94:X94" si="19">E8</f>
        <v>staff</v>
      </c>
      <c r="F94" s="445" t="str">
        <f t="shared" si="19"/>
        <v>reserves</v>
      </c>
      <c r="G94" s="445" t="str">
        <f t="shared" si="19"/>
        <v>billion USD</v>
      </c>
      <c r="H94" s="445" t="str">
        <f t="shared" si="19"/>
        <v>in % of GDP</v>
      </c>
      <c r="I94" s="445" t="str">
        <f t="shared" si="19"/>
        <v>aircraft not including drones</v>
      </c>
      <c r="J94" s="445" t="str">
        <f t="shared" si="19"/>
        <v>aircraft</v>
      </c>
      <c r="K94" s="445" t="str">
        <f t="shared" si="19"/>
        <v>bombers</v>
      </c>
      <c r="L94" s="445" t="str">
        <f t="shared" si="19"/>
        <v>tankers</v>
      </c>
      <c r="M94" s="445" t="str">
        <f t="shared" si="19"/>
        <v>aircraft</v>
      </c>
      <c r="N94" s="445" t="str">
        <f t="shared" si="19"/>
        <v>aircraft</v>
      </c>
      <c r="O94" s="445" t="str">
        <f t="shared" si="19"/>
        <v>warfare</v>
      </c>
      <c r="P94" s="445" t="str">
        <f t="shared" si="19"/>
        <v>drones</v>
      </c>
      <c r="Q94" s="445" t="str">
        <f t="shared" si="19"/>
        <v>aircraft</v>
      </c>
      <c r="R94" s="445" t="str">
        <f t="shared" si="19"/>
        <v>helicopters</v>
      </c>
      <c r="S94" s="445" t="str">
        <f t="shared" si="19"/>
        <v>helicopters</v>
      </c>
      <c r="T94" s="445">
        <f t="shared" si="19"/>
        <v>0</v>
      </c>
      <c r="U94" s="445" t="str">
        <f t="shared" si="19"/>
        <v>vehicles</v>
      </c>
      <c r="V94" s="445" t="str">
        <f t="shared" si="19"/>
        <v>systems (only &gt;152mmplus rocket based artillery)</v>
      </c>
      <c r="W94" s="445" t="str">
        <f t="shared" si="19"/>
        <v>systems (not including manpads but do include anti-aircraft guns)</v>
      </c>
      <c r="X94" s="445" t="str">
        <f t="shared" si="19"/>
        <v>ships</v>
      </c>
      <c r="Y94" s="446"/>
      <c r="Z94" s="445" t="str">
        <f t="shared" si="17"/>
        <v>forces</v>
      </c>
      <c r="AA94" s="446" t="str">
        <f t="shared" si="17"/>
        <v>contractors</v>
      </c>
      <c r="AB94" s="3"/>
    </row>
    <row r="95" spans="1:33" ht="15" thickTop="1" x14ac:dyDescent="0.35">
      <c r="A95">
        <v>1</v>
      </c>
      <c r="B95" s="233" t="str">
        <f t="shared" ref="B95:B126" si="20">B9</f>
        <v>Russia trying to assimilate Ukraine</v>
      </c>
      <c r="C95" s="181"/>
      <c r="D95" s="473"/>
      <c r="E95" s="192"/>
      <c r="F95" s="192"/>
      <c r="G95" s="192"/>
      <c r="H95" s="192"/>
      <c r="I95" s="192"/>
      <c r="J95" s="192"/>
      <c r="K95" s="192"/>
      <c r="L95" s="192"/>
      <c r="M95" s="192"/>
      <c r="N95" s="192"/>
      <c r="O95" s="192"/>
      <c r="P95" s="192"/>
      <c r="Q95" s="192"/>
      <c r="R95" s="192"/>
      <c r="S95" s="192"/>
      <c r="T95" s="192"/>
      <c r="U95" s="192"/>
      <c r="V95" s="192"/>
      <c r="W95" s="192"/>
      <c r="X95" s="192"/>
      <c r="Y95" s="560"/>
      <c r="Z95" s="182"/>
      <c r="AA95" s="563"/>
      <c r="AB95">
        <v>1</v>
      </c>
    </row>
    <row r="96" spans="1:33" x14ac:dyDescent="0.35">
      <c r="A96">
        <f>A95+1</f>
        <v>2</v>
      </c>
      <c r="B96" s="104" t="str">
        <f t="shared" si="20"/>
        <v>Russia AK</v>
      </c>
      <c r="C96" s="432" t="s">
        <v>1705</v>
      </c>
      <c r="D96" s="455" t="s">
        <v>1705</v>
      </c>
      <c r="E96" s="468" t="s">
        <v>1705</v>
      </c>
      <c r="F96" s="427" t="s">
        <v>1705</v>
      </c>
      <c r="G96" s="427" t="s">
        <v>88</v>
      </c>
      <c r="H96" s="468" t="s">
        <v>1706</v>
      </c>
      <c r="I96" s="427" t="s">
        <v>88</v>
      </c>
      <c r="J96" s="427" t="s">
        <v>88</v>
      </c>
      <c r="K96" s="427" t="s">
        <v>88</v>
      </c>
      <c r="L96" s="427" t="s">
        <v>88</v>
      </c>
      <c r="M96" s="427"/>
      <c r="N96" s="427" t="s">
        <v>88</v>
      </c>
      <c r="O96" s="427"/>
      <c r="P96" s="427"/>
      <c r="Q96" s="427" t="s">
        <v>88</v>
      </c>
      <c r="R96" s="427"/>
      <c r="S96" s="427"/>
      <c r="T96" s="427" t="s">
        <v>88</v>
      </c>
      <c r="U96" s="427" t="s">
        <v>88</v>
      </c>
      <c r="V96" s="427" t="s">
        <v>88</v>
      </c>
      <c r="W96" s="427" t="s">
        <v>88</v>
      </c>
      <c r="X96" s="427" t="s">
        <v>88</v>
      </c>
      <c r="Y96" s="429" t="s">
        <v>88</v>
      </c>
      <c r="Z96" s="172" t="s">
        <v>34</v>
      </c>
      <c r="AA96" s="166" t="s">
        <v>34</v>
      </c>
      <c r="AB96">
        <f>AB95+1</f>
        <v>2</v>
      </c>
    </row>
    <row r="97" spans="1:33" x14ac:dyDescent="0.35">
      <c r="A97">
        <f t="shared" ref="A97:A129" si="21">A96+1</f>
        <v>3</v>
      </c>
      <c r="B97" s="104" t="str">
        <f t="shared" si="20"/>
        <v xml:space="preserve"> - Belarus AK (nearly fully controlled by Russia)</v>
      </c>
      <c r="C97" s="432" t="s">
        <v>1346</v>
      </c>
      <c r="D97" s="455" t="s">
        <v>1346</v>
      </c>
      <c r="E97" s="427" t="s">
        <v>1366</v>
      </c>
      <c r="F97" s="427" t="s">
        <v>1366</v>
      </c>
      <c r="G97" s="427" t="s">
        <v>35</v>
      </c>
      <c r="H97" s="427" t="s">
        <v>1366</v>
      </c>
      <c r="I97" t="s">
        <v>1566</v>
      </c>
      <c r="J97" t="s">
        <v>1566</v>
      </c>
      <c r="K97" t="s">
        <v>1566</v>
      </c>
      <c r="L97" t="s">
        <v>1566</v>
      </c>
      <c r="M97" t="s">
        <v>1566</v>
      </c>
      <c r="N97" t="s">
        <v>1566</v>
      </c>
      <c r="O97" t="s">
        <v>1566</v>
      </c>
      <c r="P97" s="455"/>
      <c r="Q97" s="455" t="s">
        <v>1566</v>
      </c>
      <c r="R97" s="455" t="s">
        <v>1566</v>
      </c>
      <c r="S97" s="455" t="s">
        <v>1566</v>
      </c>
      <c r="T97" s="612" t="s">
        <v>1368</v>
      </c>
      <c r="U97" s="468" t="s">
        <v>1567</v>
      </c>
      <c r="V97" s="427" t="s">
        <v>1568</v>
      </c>
      <c r="W97" s="427"/>
      <c r="X97" s="427" t="s">
        <v>1660</v>
      </c>
      <c r="Y97" s="429" t="s">
        <v>1660</v>
      </c>
      <c r="Z97" s="172" t="s">
        <v>34</v>
      </c>
      <c r="AA97" s="166" t="s">
        <v>34</v>
      </c>
      <c r="AB97">
        <f t="shared" ref="AB97:AB161" si="22">AB96+1</f>
        <v>3</v>
      </c>
    </row>
    <row r="98" spans="1:33" x14ac:dyDescent="0.35">
      <c r="A98">
        <f t="shared" si="21"/>
        <v>4</v>
      </c>
      <c r="B98" s="104" t="str">
        <f t="shared" si="20"/>
        <v xml:space="preserve"> - Georgia D? (partly occupied and partially controlled by Russia through bribes (incl cheap oil and gas) and old school blackmail like compromising videos of people with power)</v>
      </c>
      <c r="C98" s="432" t="s">
        <v>1663</v>
      </c>
      <c r="D98" s="455" t="s">
        <v>1663</v>
      </c>
      <c r="E98" s="427" t="s">
        <v>1665</v>
      </c>
      <c r="F98" s="427" t="s">
        <v>1665</v>
      </c>
      <c r="G98" s="427" t="s">
        <v>35</v>
      </c>
      <c r="H98" s="427" t="s">
        <v>1665</v>
      </c>
      <c r="I98" t="s">
        <v>1666</v>
      </c>
      <c r="J98" t="s">
        <v>1666</v>
      </c>
      <c r="K98" t="s">
        <v>1666</v>
      </c>
      <c r="L98" t="s">
        <v>1666</v>
      </c>
      <c r="M98" t="s">
        <v>1666</v>
      </c>
      <c r="N98" t="s">
        <v>1666</v>
      </c>
      <c r="O98" t="s">
        <v>1666</v>
      </c>
      <c r="P98" t="s">
        <v>1666</v>
      </c>
      <c r="Q98" t="s">
        <v>1666</v>
      </c>
      <c r="R98" t="s">
        <v>1666</v>
      </c>
      <c r="S98" t="s">
        <v>1666</v>
      </c>
      <c r="T98" s="612" t="s">
        <v>1667</v>
      </c>
      <c r="U98" s="612" t="s">
        <v>1667</v>
      </c>
      <c r="V98" s="612" t="s">
        <v>1667</v>
      </c>
      <c r="W98" s="612" t="s">
        <v>1666</v>
      </c>
      <c r="X98" s="427" t="s">
        <v>1674</v>
      </c>
      <c r="Y98" s="427" t="s">
        <v>1674</v>
      </c>
      <c r="Z98" s="172" t="s">
        <v>34</v>
      </c>
      <c r="AA98" s="166" t="s">
        <v>34</v>
      </c>
      <c r="AB98">
        <f t="shared" si="22"/>
        <v>4</v>
      </c>
      <c r="AG98" t="s">
        <v>1664</v>
      </c>
    </row>
    <row r="99" spans="1:33" x14ac:dyDescent="0.35">
      <c r="A99">
        <f t="shared" si="21"/>
        <v>5</v>
      </c>
      <c r="B99" s="104" t="str">
        <f t="shared" si="20"/>
        <v xml:space="preserve"> - Hungary D N E (appears to be partially controlled by Russia through bribes (incl cheap oil and gas) and old school blackmail like compromising videos of people with power)</v>
      </c>
      <c r="C99" s="432" t="s">
        <v>1643</v>
      </c>
      <c r="D99" s="455" t="s">
        <v>1643</v>
      </c>
      <c r="E99" s="427" t="s">
        <v>1644</v>
      </c>
      <c r="F99" s="427" t="s">
        <v>1644</v>
      </c>
      <c r="G99" s="427" t="s">
        <v>35</v>
      </c>
      <c r="H99" s="427" t="s">
        <v>1644</v>
      </c>
      <c r="I99" t="s">
        <v>1645</v>
      </c>
      <c r="J99" t="s">
        <v>1645</v>
      </c>
      <c r="K99" t="s">
        <v>1645</v>
      </c>
      <c r="L99" t="s">
        <v>1645</v>
      </c>
      <c r="M99" t="s">
        <v>1645</v>
      </c>
      <c r="N99" t="s">
        <v>1645</v>
      </c>
      <c r="O99" t="s">
        <v>1645</v>
      </c>
      <c r="P99" t="s">
        <v>1645</v>
      </c>
      <c r="Q99" t="s">
        <v>1645</v>
      </c>
      <c r="R99" t="s">
        <v>1645</v>
      </c>
      <c r="S99" t="s">
        <v>1645</v>
      </c>
      <c r="T99" s="662" t="s">
        <v>1646</v>
      </c>
      <c r="U99" s="662" t="s">
        <v>1646</v>
      </c>
      <c r="V99" s="662" t="s">
        <v>1646</v>
      </c>
      <c r="W99" s="662" t="s">
        <v>1646</v>
      </c>
      <c r="X99" s="427" t="s">
        <v>1660</v>
      </c>
      <c r="Y99" s="429" t="s">
        <v>1660</v>
      </c>
      <c r="Z99" s="172" t="s">
        <v>34</v>
      </c>
      <c r="AA99" s="166" t="s">
        <v>34</v>
      </c>
      <c r="AB99">
        <f t="shared" si="22"/>
        <v>5</v>
      </c>
    </row>
    <row r="100" spans="1:33" x14ac:dyDescent="0.35">
      <c r="A100">
        <f t="shared" si="21"/>
        <v>6</v>
      </c>
      <c r="B100" s="104" t="str">
        <f t="shared" si="20"/>
        <v xml:space="preserve"> - Austria D E (appears to be partially controlled by Russia through bribes (incl cheap oil and gas) and old school blackmail like compromising videos of people with power)</v>
      </c>
      <c r="C100" s="432" t="s">
        <v>1670</v>
      </c>
      <c r="D100" s="455" t="s">
        <v>1670</v>
      </c>
      <c r="E100" s="427" t="s">
        <v>1671</v>
      </c>
      <c r="F100" s="427" t="s">
        <v>1671</v>
      </c>
      <c r="G100" s="427" t="s">
        <v>35</v>
      </c>
      <c r="H100" s="427" t="s">
        <v>1671</v>
      </c>
      <c r="I100" t="s">
        <v>1673</v>
      </c>
      <c r="J100" t="s">
        <v>1673</v>
      </c>
      <c r="K100" t="s">
        <v>1673</v>
      </c>
      <c r="L100" t="s">
        <v>1673</v>
      </c>
      <c r="M100" t="s">
        <v>1673</v>
      </c>
      <c r="N100" t="s">
        <v>1673</v>
      </c>
      <c r="O100" t="s">
        <v>1673</v>
      </c>
      <c r="P100" t="s">
        <v>1673</v>
      </c>
      <c r="Q100" t="s">
        <v>1673</v>
      </c>
      <c r="R100" t="s">
        <v>1673</v>
      </c>
      <c r="S100" t="s">
        <v>1673</v>
      </c>
      <c r="T100" s="662" t="s">
        <v>1675</v>
      </c>
      <c r="U100" s="662" t="s">
        <v>1675</v>
      </c>
      <c r="V100" s="662" t="s">
        <v>1675</v>
      </c>
      <c r="W100" s="662" t="s">
        <v>1673</v>
      </c>
      <c r="X100" s="427" t="s">
        <v>1660</v>
      </c>
      <c r="Y100" s="429" t="s">
        <v>1660</v>
      </c>
      <c r="Z100" s="172" t="s">
        <v>34</v>
      </c>
      <c r="AA100" s="166" t="s">
        <v>34</v>
      </c>
      <c r="AB100">
        <f t="shared" si="22"/>
        <v>6</v>
      </c>
    </row>
    <row r="101" spans="1:33" x14ac:dyDescent="0.35">
      <c r="A101">
        <f t="shared" si="21"/>
        <v>7</v>
      </c>
      <c r="B101" s="104" t="str">
        <f t="shared" si="20"/>
        <v>Ukraine D (border Russia partly occupied)</v>
      </c>
      <c r="C101" s="432" t="s">
        <v>1704</v>
      </c>
      <c r="D101" s="455" t="s">
        <v>1704</v>
      </c>
      <c r="E101" s="427" t="s">
        <v>1419</v>
      </c>
      <c r="F101" s="172" t="s">
        <v>34</v>
      </c>
      <c r="G101" s="427" t="s">
        <v>35</v>
      </c>
      <c r="H101" s="427" t="s">
        <v>1419</v>
      </c>
      <c r="I101" s="427" t="s">
        <v>1701</v>
      </c>
      <c r="J101" s="427" t="s">
        <v>1701</v>
      </c>
      <c r="K101" s="427" t="s">
        <v>1701</v>
      </c>
      <c r="L101" s="427" t="s">
        <v>1701</v>
      </c>
      <c r="M101" s="427" t="s">
        <v>1701</v>
      </c>
      <c r="N101" s="427" t="s">
        <v>1701</v>
      </c>
      <c r="O101" s="427" t="s">
        <v>1701</v>
      </c>
      <c r="P101" s="427" t="s">
        <v>1701</v>
      </c>
      <c r="Q101" s="427" t="s">
        <v>35</v>
      </c>
      <c r="R101" s="427" t="s">
        <v>1701</v>
      </c>
      <c r="S101" s="427" t="s">
        <v>1701</v>
      </c>
      <c r="T101" s="455" t="s">
        <v>1715</v>
      </c>
      <c r="U101" s="455" t="s">
        <v>1715</v>
      </c>
      <c r="V101" s="455" t="s">
        <v>1715</v>
      </c>
      <c r="W101" s="455" t="s">
        <v>1702</v>
      </c>
      <c r="X101" s="427" t="s">
        <v>1364</v>
      </c>
      <c r="Y101" s="429" t="s">
        <v>1364</v>
      </c>
      <c r="Z101" s="172" t="s">
        <v>34</v>
      </c>
      <c r="AA101" s="166" t="s">
        <v>34</v>
      </c>
      <c r="AB101">
        <f t="shared" si="22"/>
        <v>7</v>
      </c>
    </row>
    <row r="102" spans="1:33" x14ac:dyDescent="0.35">
      <c r="A102">
        <f t="shared" si="21"/>
        <v>8</v>
      </c>
      <c r="B102" s="104" t="str">
        <f t="shared" si="20"/>
        <v>Poland D N E (border Russia and Belarus, donated 27 Mig-29)</v>
      </c>
      <c r="C102" s="432" t="s">
        <v>88</v>
      </c>
      <c r="D102" s="455" t="s">
        <v>88</v>
      </c>
      <c r="E102" s="427" t="s">
        <v>1569</v>
      </c>
      <c r="F102" s="427" t="s">
        <v>1569</v>
      </c>
      <c r="G102" s="427" t="s">
        <v>88</v>
      </c>
      <c r="H102" s="427" t="s">
        <v>35</v>
      </c>
      <c r="I102" s="455" t="s">
        <v>1570</v>
      </c>
      <c r="J102" s="455" t="s">
        <v>1570</v>
      </c>
      <c r="K102" s="455" t="s">
        <v>1570</v>
      </c>
      <c r="L102" s="455" t="s">
        <v>1570</v>
      </c>
      <c r="M102" s="455" t="s">
        <v>1570</v>
      </c>
      <c r="N102" s="455" t="s">
        <v>1570</v>
      </c>
      <c r="O102" s="455" t="s">
        <v>1570</v>
      </c>
      <c r="P102" s="455" t="s">
        <v>1570</v>
      </c>
      <c r="Q102" s="455" t="s">
        <v>1571</v>
      </c>
      <c r="R102" s="455" t="s">
        <v>1571</v>
      </c>
      <c r="S102" s="455" t="s">
        <v>1571</v>
      </c>
      <c r="T102" s="455" t="s">
        <v>1367</v>
      </c>
      <c r="U102" s="427"/>
      <c r="V102" s="427" t="s">
        <v>1367</v>
      </c>
      <c r="W102" s="427" t="s">
        <v>1572</v>
      </c>
      <c r="X102" s="427" t="s">
        <v>1573</v>
      </c>
      <c r="Y102" s="429" t="s">
        <v>1573</v>
      </c>
      <c r="Z102" s="172" t="s">
        <v>34</v>
      </c>
      <c r="AA102" s="166" t="s">
        <v>34</v>
      </c>
      <c r="AB102">
        <f t="shared" si="22"/>
        <v>8</v>
      </c>
    </row>
    <row r="103" spans="1:33" x14ac:dyDescent="0.35">
      <c r="A103">
        <f t="shared" si="21"/>
        <v>9</v>
      </c>
      <c r="B103" s="104" t="str">
        <f t="shared" si="20"/>
        <v>Finland D N E (border Russia)</v>
      </c>
      <c r="C103" s="432" t="s">
        <v>88</v>
      </c>
      <c r="D103" s="455" t="s">
        <v>88</v>
      </c>
      <c r="E103" t="s">
        <v>1580</v>
      </c>
      <c r="F103" t="s">
        <v>1580</v>
      </c>
      <c r="G103" s="427" t="s">
        <v>35</v>
      </c>
      <c r="H103" s="427" t="s">
        <v>1580</v>
      </c>
      <c r="I103" s="455" t="s">
        <v>1604</v>
      </c>
      <c r="J103" s="455" t="s">
        <v>1604</v>
      </c>
      <c r="K103" s="455" t="s">
        <v>1604</v>
      </c>
      <c r="L103" s="455" t="s">
        <v>1604</v>
      </c>
      <c r="M103" s="455" t="s">
        <v>1604</v>
      </c>
      <c r="N103" s="455" t="s">
        <v>1604</v>
      </c>
      <c r="O103" s="455" t="s">
        <v>1604</v>
      </c>
      <c r="P103" s="455"/>
      <c r="Q103" s="455"/>
      <c r="R103" s="455" t="s">
        <v>1605</v>
      </c>
      <c r="S103" s="455" t="s">
        <v>1605</v>
      </c>
      <c r="T103" s="455" t="s">
        <v>1605</v>
      </c>
      <c r="U103" s="455" t="s">
        <v>1605</v>
      </c>
      <c r="V103" s="455" t="s">
        <v>1605</v>
      </c>
      <c r="W103" s="455" t="s">
        <v>1605</v>
      </c>
      <c r="X103" s="427" t="s">
        <v>1606</v>
      </c>
      <c r="Y103" s="429"/>
      <c r="Z103" s="172" t="s">
        <v>34</v>
      </c>
      <c r="AA103" s="166" t="s">
        <v>34</v>
      </c>
      <c r="AB103">
        <f t="shared" si="22"/>
        <v>9</v>
      </c>
    </row>
    <row r="104" spans="1:33" x14ac:dyDescent="0.35">
      <c r="A104">
        <f t="shared" si="21"/>
        <v>10</v>
      </c>
      <c r="B104" s="104" t="str">
        <f t="shared" si="20"/>
        <v>Norway D N (border Russia, donate 6 F16s)</v>
      </c>
      <c r="C104" s="432" t="s">
        <v>88</v>
      </c>
      <c r="D104" s="455" t="s">
        <v>88</v>
      </c>
      <c r="E104" s="427" t="s">
        <v>1582</v>
      </c>
      <c r="F104" s="427" t="s">
        <v>1582</v>
      </c>
      <c r="G104" s="427" t="s">
        <v>35</v>
      </c>
      <c r="H104" s="427" t="s">
        <v>1582</v>
      </c>
      <c r="I104" s="455" t="s">
        <v>1607</v>
      </c>
      <c r="J104" s="455" t="s">
        <v>1607</v>
      </c>
      <c r="K104" s="455" t="s">
        <v>1607</v>
      </c>
      <c r="L104" s="455" t="s">
        <v>1607</v>
      </c>
      <c r="M104" s="455" t="s">
        <v>1607</v>
      </c>
      <c r="N104" s="455" t="s">
        <v>1607</v>
      </c>
      <c r="O104" s="455" t="s">
        <v>1607</v>
      </c>
      <c r="P104" s="455"/>
      <c r="Q104" s="455" t="s">
        <v>1608</v>
      </c>
      <c r="R104" s="455" t="s">
        <v>1608</v>
      </c>
      <c r="S104" s="455" t="s">
        <v>1608</v>
      </c>
      <c r="T104" s="455" t="s">
        <v>1608</v>
      </c>
      <c r="U104" s="455" t="s">
        <v>1608</v>
      </c>
      <c r="V104" s="455" t="s">
        <v>1608</v>
      </c>
      <c r="W104" s="455" t="s">
        <v>1608</v>
      </c>
      <c r="X104" s="427" t="s">
        <v>1609</v>
      </c>
      <c r="Y104" s="429" t="s">
        <v>1609</v>
      </c>
      <c r="Z104" s="172" t="s">
        <v>34</v>
      </c>
      <c r="AA104" s="166" t="s">
        <v>34</v>
      </c>
      <c r="AB104">
        <f t="shared" si="22"/>
        <v>10</v>
      </c>
    </row>
    <row r="105" spans="1:33" x14ac:dyDescent="0.35">
      <c r="A105">
        <f t="shared" si="21"/>
        <v>11</v>
      </c>
      <c r="B105" s="104" t="str">
        <f t="shared" si="20"/>
        <v>Sweden D N E</v>
      </c>
      <c r="C105" s="432" t="s">
        <v>88</v>
      </c>
      <c r="D105" s="455" t="s">
        <v>88</v>
      </c>
      <c r="E105" s="427" t="s">
        <v>1585</v>
      </c>
      <c r="F105" s="427" t="s">
        <v>1585</v>
      </c>
      <c r="G105" s="427" t="s">
        <v>35</v>
      </c>
      <c r="H105" s="427" t="s">
        <v>1585</v>
      </c>
      <c r="I105" s="455" t="s">
        <v>1610</v>
      </c>
      <c r="J105" s="455" t="s">
        <v>1610</v>
      </c>
      <c r="K105" s="455" t="s">
        <v>1610</v>
      </c>
      <c r="L105" s="455" t="s">
        <v>1610</v>
      </c>
      <c r="M105" s="455" t="s">
        <v>1610</v>
      </c>
      <c r="N105" s="455" t="s">
        <v>1610</v>
      </c>
      <c r="O105" s="455" t="s">
        <v>1610</v>
      </c>
      <c r="P105" s="455" t="s">
        <v>1610</v>
      </c>
      <c r="Q105" s="455" t="s">
        <v>1610</v>
      </c>
      <c r="R105" s="455" t="s">
        <v>1610</v>
      </c>
      <c r="S105" s="455" t="s">
        <v>1610</v>
      </c>
      <c r="T105" s="455" t="s">
        <v>1612</v>
      </c>
      <c r="U105" s="455" t="s">
        <v>1612</v>
      </c>
      <c r="V105" s="455" t="s">
        <v>1612</v>
      </c>
      <c r="W105" s="455" t="s">
        <v>1612</v>
      </c>
      <c r="X105" s="455" t="s">
        <v>1612</v>
      </c>
      <c r="Y105" s="429" t="s">
        <v>1612</v>
      </c>
      <c r="Z105" s="172" t="s">
        <v>34</v>
      </c>
      <c r="AA105" s="166" t="s">
        <v>34</v>
      </c>
      <c r="AB105">
        <f t="shared" si="22"/>
        <v>11</v>
      </c>
    </row>
    <row r="106" spans="1:33" x14ac:dyDescent="0.35">
      <c r="A106">
        <f t="shared" si="21"/>
        <v>12</v>
      </c>
      <c r="B106" s="104" t="str">
        <f t="shared" si="20"/>
        <v>Denmark D N E (donate 19 F16s)</v>
      </c>
      <c r="C106" s="432" t="s">
        <v>88</v>
      </c>
      <c r="D106" s="455" t="s">
        <v>88</v>
      </c>
      <c r="E106" s="427" t="s">
        <v>1586</v>
      </c>
      <c r="F106" s="427" t="s">
        <v>1586</v>
      </c>
      <c r="G106" s="427" t="s">
        <v>35</v>
      </c>
      <c r="H106" s="427" t="s">
        <v>1585</v>
      </c>
      <c r="I106" s="455" t="s">
        <v>1614</v>
      </c>
      <c r="J106" s="455" t="s">
        <v>1614</v>
      </c>
      <c r="K106" s="455" t="s">
        <v>1614</v>
      </c>
      <c r="L106" s="455" t="s">
        <v>1614</v>
      </c>
      <c r="M106" s="455" t="s">
        <v>1614</v>
      </c>
      <c r="N106" s="455" t="s">
        <v>1614</v>
      </c>
      <c r="O106" s="455" t="s">
        <v>1614</v>
      </c>
      <c r="P106" s="455" t="s">
        <v>1614</v>
      </c>
      <c r="Q106" s="455" t="s">
        <v>1614</v>
      </c>
      <c r="R106" s="455" t="s">
        <v>1614</v>
      </c>
      <c r="S106" s="455" t="s">
        <v>1614</v>
      </c>
      <c r="T106" s="455" t="s">
        <v>1613</v>
      </c>
      <c r="U106" s="455" t="s">
        <v>1613</v>
      </c>
      <c r="V106" s="455" t="s">
        <v>1613</v>
      </c>
      <c r="W106" s="455"/>
      <c r="X106" s="427"/>
      <c r="Y106" s="429"/>
      <c r="Z106" s="172" t="s">
        <v>34</v>
      </c>
      <c r="AA106" s="166" t="s">
        <v>34</v>
      </c>
      <c r="AB106">
        <f t="shared" si="22"/>
        <v>12</v>
      </c>
    </row>
    <row r="107" spans="1:33" x14ac:dyDescent="0.35">
      <c r="A107">
        <f t="shared" si="21"/>
        <v>13</v>
      </c>
      <c r="B107" s="104" t="str">
        <f t="shared" si="20"/>
        <v>Iceland D N</v>
      </c>
      <c r="C107" s="432" t="s">
        <v>1724</v>
      </c>
      <c r="D107" s="455" t="s">
        <v>1724</v>
      </c>
      <c r="E107" s="427" t="s">
        <v>1732</v>
      </c>
      <c r="F107" s="427" t="s">
        <v>1732</v>
      </c>
      <c r="G107" s="427" t="s">
        <v>35</v>
      </c>
      <c r="H107" s="427" t="s">
        <v>1732</v>
      </c>
      <c r="I107" s="455" t="s">
        <v>34</v>
      </c>
      <c r="J107" s="455"/>
      <c r="K107" s="455"/>
      <c r="L107" s="455"/>
      <c r="M107" s="455"/>
      <c r="N107" s="455"/>
      <c r="O107" s="455"/>
      <c r="P107" s="455"/>
      <c r="Q107" s="455"/>
      <c r="R107" s="455"/>
      <c r="S107" s="455"/>
      <c r="T107" s="455"/>
      <c r="U107" s="455"/>
      <c r="V107" s="455"/>
      <c r="W107" s="455"/>
      <c r="X107" s="427"/>
      <c r="Y107" s="429"/>
      <c r="Z107" s="172" t="s">
        <v>34</v>
      </c>
      <c r="AA107" s="166" t="s">
        <v>34</v>
      </c>
      <c r="AB107">
        <f t="shared" si="22"/>
        <v>13</v>
      </c>
    </row>
    <row r="108" spans="1:33" x14ac:dyDescent="0.35">
      <c r="A108">
        <f t="shared" si="21"/>
        <v>14</v>
      </c>
      <c r="B108" s="104" t="str">
        <f t="shared" si="20"/>
        <v>Estonia D N E (border Russia)</v>
      </c>
      <c r="C108" s="432" t="s">
        <v>1574</v>
      </c>
      <c r="D108" s="455" t="s">
        <v>1574</v>
      </c>
      <c r="E108" s="427" t="s">
        <v>1587</v>
      </c>
      <c r="F108" s="427" t="s">
        <v>1587</v>
      </c>
      <c r="G108" s="427" t="s">
        <v>35</v>
      </c>
      <c r="H108" s="427" t="s">
        <v>1587</v>
      </c>
      <c r="I108" s="455" t="s">
        <v>1620</v>
      </c>
      <c r="J108" s="455" t="s">
        <v>1620</v>
      </c>
      <c r="K108" s="455" t="s">
        <v>1620</v>
      </c>
      <c r="L108" s="455" t="s">
        <v>1620</v>
      </c>
      <c r="M108" s="455" t="s">
        <v>1620</v>
      </c>
      <c r="N108" s="455" t="s">
        <v>1620</v>
      </c>
      <c r="O108" s="455" t="s">
        <v>1620</v>
      </c>
      <c r="P108" s="455" t="s">
        <v>1620</v>
      </c>
      <c r="Q108" s="455" t="s">
        <v>1620</v>
      </c>
      <c r="R108" s="455" t="s">
        <v>1620</v>
      </c>
      <c r="S108" s="455" t="s">
        <v>1620</v>
      </c>
      <c r="T108" s="455" t="s">
        <v>1619</v>
      </c>
      <c r="U108" s="455" t="s">
        <v>1619</v>
      </c>
      <c r="V108" s="455" t="s">
        <v>1619</v>
      </c>
      <c r="W108" s="455" t="s">
        <v>1619</v>
      </c>
      <c r="X108" s="455" t="s">
        <v>1619</v>
      </c>
      <c r="Y108" s="645" t="s">
        <v>1619</v>
      </c>
      <c r="Z108" s="172" t="s">
        <v>34</v>
      </c>
      <c r="AA108" s="166" t="s">
        <v>34</v>
      </c>
      <c r="AB108">
        <f t="shared" si="22"/>
        <v>14</v>
      </c>
    </row>
    <row r="109" spans="1:33" x14ac:dyDescent="0.35">
      <c r="A109">
        <f t="shared" si="21"/>
        <v>15</v>
      </c>
      <c r="B109" s="104" t="str">
        <f t="shared" si="20"/>
        <v>Latvia D N E (border Russia)</v>
      </c>
      <c r="C109" s="432" t="s">
        <v>1576</v>
      </c>
      <c r="D109" s="455" t="s">
        <v>1576</v>
      </c>
      <c r="E109" s="427" t="s">
        <v>1589</v>
      </c>
      <c r="F109" s="427" t="s">
        <v>1589</v>
      </c>
      <c r="G109" s="427" t="s">
        <v>35</v>
      </c>
      <c r="H109" s="427" t="s">
        <v>1589</v>
      </c>
      <c r="I109" s="455" t="s">
        <v>1621</v>
      </c>
      <c r="J109" s="455" t="s">
        <v>1621</v>
      </c>
      <c r="K109" s="455" t="s">
        <v>1621</v>
      </c>
      <c r="L109" s="455" t="s">
        <v>1621</v>
      </c>
      <c r="M109" s="455" t="s">
        <v>1621</v>
      </c>
      <c r="N109" s="455" t="s">
        <v>1621</v>
      </c>
      <c r="O109" s="455" t="s">
        <v>1621</v>
      </c>
      <c r="P109" s="455" t="s">
        <v>1621</v>
      </c>
      <c r="Q109" s="455" t="s">
        <v>1621</v>
      </c>
      <c r="R109" s="455" t="s">
        <v>1621</v>
      </c>
      <c r="S109" s="455" t="s">
        <v>1621</v>
      </c>
      <c r="T109" s="455" t="s">
        <v>1622</v>
      </c>
      <c r="U109" s="455" t="s">
        <v>1622</v>
      </c>
      <c r="V109" s="455" t="s">
        <v>1622</v>
      </c>
      <c r="W109" s="455" t="s">
        <v>1622</v>
      </c>
      <c r="X109" s="455" t="s">
        <v>1623</v>
      </c>
      <c r="Y109" s="645" t="s">
        <v>1623</v>
      </c>
      <c r="Z109" s="172" t="s">
        <v>34</v>
      </c>
      <c r="AA109" s="166" t="s">
        <v>34</v>
      </c>
      <c r="AB109">
        <f t="shared" si="22"/>
        <v>15</v>
      </c>
    </row>
    <row r="110" spans="1:33" x14ac:dyDescent="0.35">
      <c r="A110">
        <f t="shared" si="21"/>
        <v>16</v>
      </c>
      <c r="B110" s="104" t="str">
        <f t="shared" si="20"/>
        <v>Lithuania D N E (border Russia)</v>
      </c>
      <c r="C110" s="432" t="s">
        <v>1575</v>
      </c>
      <c r="D110" s="455" t="s">
        <v>1575</v>
      </c>
      <c r="E110" s="427" t="s">
        <v>1588</v>
      </c>
      <c r="F110" s="427" t="s">
        <v>1588</v>
      </c>
      <c r="G110" s="427" t="s">
        <v>35</v>
      </c>
      <c r="H110" s="427" t="s">
        <v>1588</v>
      </c>
      <c r="I110" s="455" t="s">
        <v>1626</v>
      </c>
      <c r="J110" s="455" t="s">
        <v>1626</v>
      </c>
      <c r="K110" s="455" t="s">
        <v>1626</v>
      </c>
      <c r="L110" s="455" t="s">
        <v>1626</v>
      </c>
      <c r="M110" s="455" t="s">
        <v>1626</v>
      </c>
      <c r="N110" s="455" t="s">
        <v>1626</v>
      </c>
      <c r="O110" s="455" t="s">
        <v>1626</v>
      </c>
      <c r="P110" s="455" t="s">
        <v>1626</v>
      </c>
      <c r="Q110" s="455" t="s">
        <v>1626</v>
      </c>
      <c r="R110" s="455" t="s">
        <v>1626</v>
      </c>
      <c r="S110" s="455" t="s">
        <v>1626</v>
      </c>
      <c r="T110" s="455" t="s">
        <v>1627</v>
      </c>
      <c r="U110" s="455" t="s">
        <v>1627</v>
      </c>
      <c r="V110" s="455" t="s">
        <v>1627</v>
      </c>
      <c r="W110" s="455" t="s">
        <v>1627</v>
      </c>
      <c r="X110" s="455" t="s">
        <v>1628</v>
      </c>
      <c r="Y110" s="645" t="s">
        <v>1628</v>
      </c>
      <c r="Z110" s="172" t="s">
        <v>34</v>
      </c>
      <c r="AA110" s="166" t="s">
        <v>34</v>
      </c>
      <c r="AB110">
        <f t="shared" si="22"/>
        <v>16</v>
      </c>
    </row>
    <row r="111" spans="1:33" x14ac:dyDescent="0.35">
      <c r="A111">
        <f t="shared" si="21"/>
        <v>17</v>
      </c>
      <c r="B111" s="104" t="str">
        <f t="shared" si="20"/>
        <v>Romania D N E (border Black Sea)</v>
      </c>
      <c r="C111" s="432" t="s">
        <v>1578</v>
      </c>
      <c r="D111" s="455" t="s">
        <v>1578</v>
      </c>
      <c r="E111" s="427" t="s">
        <v>1591</v>
      </c>
      <c r="F111" s="427" t="s">
        <v>1591</v>
      </c>
      <c r="G111" s="427" t="s">
        <v>35</v>
      </c>
      <c r="H111" s="427" t="s">
        <v>1591</v>
      </c>
      <c r="I111" s="455" t="s">
        <v>1631</v>
      </c>
      <c r="J111" s="455" t="s">
        <v>1631</v>
      </c>
      <c r="K111" s="455" t="s">
        <v>1631</v>
      </c>
      <c r="L111" s="455" t="s">
        <v>1631</v>
      </c>
      <c r="M111" s="455" t="s">
        <v>1631</v>
      </c>
      <c r="N111" s="455" t="s">
        <v>1631</v>
      </c>
      <c r="O111" s="455" t="s">
        <v>1631</v>
      </c>
      <c r="P111" s="455" t="s">
        <v>1631</v>
      </c>
      <c r="Q111" s="455" t="s">
        <v>1631</v>
      </c>
      <c r="R111" s="455" t="s">
        <v>1631</v>
      </c>
      <c r="S111" s="455" t="s">
        <v>1631</v>
      </c>
      <c r="T111" s="455" t="s">
        <v>1633</v>
      </c>
      <c r="U111" s="455" t="s">
        <v>1633</v>
      </c>
      <c r="V111" s="455" t="s">
        <v>1633</v>
      </c>
      <c r="W111" s="455" t="s">
        <v>1633</v>
      </c>
      <c r="X111" s="455" t="s">
        <v>1633</v>
      </c>
      <c r="Y111" s="645" t="s">
        <v>1633</v>
      </c>
      <c r="Z111" s="172" t="s">
        <v>34</v>
      </c>
      <c r="AA111" s="166" t="s">
        <v>34</v>
      </c>
      <c r="AB111">
        <f t="shared" si="22"/>
        <v>17</v>
      </c>
    </row>
    <row r="112" spans="1:33" x14ac:dyDescent="0.35">
      <c r="A112">
        <f t="shared" si="21"/>
        <v>18</v>
      </c>
      <c r="B112" s="104" t="str">
        <f t="shared" si="20"/>
        <v>Bulgaria D N E (border Black Sea)</v>
      </c>
      <c r="C112" s="432" t="s">
        <v>1579</v>
      </c>
      <c r="D112" s="455" t="s">
        <v>1579</v>
      </c>
      <c r="E112" s="427" t="s">
        <v>1592</v>
      </c>
      <c r="F112" s="427" t="s">
        <v>1592</v>
      </c>
      <c r="G112" s="427" t="s">
        <v>35</v>
      </c>
      <c r="H112" s="427" t="s">
        <v>1592</v>
      </c>
      <c r="I112" s="455" t="s">
        <v>1638</v>
      </c>
      <c r="J112" s="455" t="s">
        <v>1638</v>
      </c>
      <c r="K112" s="455" t="s">
        <v>1638</v>
      </c>
      <c r="L112" s="455" t="s">
        <v>1638</v>
      </c>
      <c r="M112" s="455" t="s">
        <v>1638</v>
      </c>
      <c r="N112" s="455" t="s">
        <v>1638</v>
      </c>
      <c r="O112" s="455" t="s">
        <v>1638</v>
      </c>
      <c r="P112" s="455" t="s">
        <v>1638</v>
      </c>
      <c r="Q112" s="455" t="s">
        <v>1638</v>
      </c>
      <c r="R112" s="455" t="s">
        <v>1638</v>
      </c>
      <c r="S112" s="455" t="s">
        <v>1638</v>
      </c>
      <c r="T112" s="455" t="s">
        <v>1640</v>
      </c>
      <c r="U112" s="455" t="s">
        <v>1640</v>
      </c>
      <c r="V112" s="455" t="s">
        <v>1640</v>
      </c>
      <c r="W112" s="455" t="s">
        <v>1640</v>
      </c>
      <c r="X112" s="427" t="s">
        <v>1641</v>
      </c>
      <c r="Y112" s="429" t="s">
        <v>1641</v>
      </c>
      <c r="Z112" s="172" t="s">
        <v>34</v>
      </c>
      <c r="AA112" s="166" t="s">
        <v>34</v>
      </c>
      <c r="AB112">
        <f t="shared" si="22"/>
        <v>18</v>
      </c>
    </row>
    <row r="113" spans="1:31" x14ac:dyDescent="0.35">
      <c r="A113">
        <f t="shared" si="21"/>
        <v>19</v>
      </c>
      <c r="B113" s="104" t="str">
        <f t="shared" si="20"/>
        <v xml:space="preserve">Czech Republic D N E </v>
      </c>
      <c r="C113" s="432" t="s">
        <v>1584</v>
      </c>
      <c r="D113" s="455" t="s">
        <v>1584</v>
      </c>
      <c r="E113" s="427" t="s">
        <v>1594</v>
      </c>
      <c r="F113" s="427" t="s">
        <v>1594</v>
      </c>
      <c r="G113" s="427" t="s">
        <v>35</v>
      </c>
      <c r="H113" s="427" t="s">
        <v>1594</v>
      </c>
      <c r="I113" s="455" t="s">
        <v>1658</v>
      </c>
      <c r="J113" s="455" t="s">
        <v>1658</v>
      </c>
      <c r="K113" s="455" t="s">
        <v>1658</v>
      </c>
      <c r="L113" s="455" t="s">
        <v>1658</v>
      </c>
      <c r="M113" s="455" t="s">
        <v>1658</v>
      </c>
      <c r="N113" s="455" t="s">
        <v>1658</v>
      </c>
      <c r="O113" s="455" t="s">
        <v>1658</v>
      </c>
      <c r="P113" s="455" t="s">
        <v>1658</v>
      </c>
      <c r="Q113" s="455" t="s">
        <v>1658</v>
      </c>
      <c r="R113" s="455" t="s">
        <v>1658</v>
      </c>
      <c r="S113" s="455" t="s">
        <v>1658</v>
      </c>
      <c r="T113" s="455" t="s">
        <v>1661</v>
      </c>
      <c r="U113" s="455" t="s">
        <v>1661</v>
      </c>
      <c r="V113" s="455" t="s">
        <v>1661</v>
      </c>
      <c r="W113" s="612" t="s">
        <v>1662</v>
      </c>
      <c r="X113" s="427" t="s">
        <v>1660</v>
      </c>
      <c r="Y113" s="429" t="s">
        <v>1660</v>
      </c>
      <c r="Z113" s="172" t="s">
        <v>34</v>
      </c>
      <c r="AA113" s="166" t="s">
        <v>34</v>
      </c>
      <c r="AB113">
        <f t="shared" si="22"/>
        <v>19</v>
      </c>
      <c r="AE113" t="s">
        <v>1603</v>
      </c>
    </row>
    <row r="114" spans="1:31" x14ac:dyDescent="0.35">
      <c r="A114">
        <f t="shared" si="21"/>
        <v>20</v>
      </c>
      <c r="B114" s="104" t="str">
        <f t="shared" si="20"/>
        <v>Slovakia D N E (still export arms to Ukraine but since mid 2023 no m. aid)</v>
      </c>
      <c r="C114" s="432" t="s">
        <v>1600</v>
      </c>
      <c r="D114" s="455" t="s">
        <v>1600</v>
      </c>
      <c r="E114" s="427" t="s">
        <v>1601</v>
      </c>
      <c r="F114" s="427" t="s">
        <v>1601</v>
      </c>
      <c r="G114" s="427" t="s">
        <v>35</v>
      </c>
      <c r="H114" s="427" t="s">
        <v>1601</v>
      </c>
      <c r="I114" s="455" t="s">
        <v>1678</v>
      </c>
      <c r="J114" s="455" t="s">
        <v>1678</v>
      </c>
      <c r="K114" s="455" t="s">
        <v>1678</v>
      </c>
      <c r="L114" s="455" t="s">
        <v>1678</v>
      </c>
      <c r="M114" s="455" t="s">
        <v>1678</v>
      </c>
      <c r="N114" s="455" t="s">
        <v>1678</v>
      </c>
      <c r="O114" s="455" t="s">
        <v>1678</v>
      </c>
      <c r="P114" s="455" t="s">
        <v>1678</v>
      </c>
      <c r="Q114" s="455" t="s">
        <v>1678</v>
      </c>
      <c r="R114" s="455" t="s">
        <v>1678</v>
      </c>
      <c r="S114" s="455" t="s">
        <v>1678</v>
      </c>
      <c r="T114" s="455" t="s">
        <v>1679</v>
      </c>
      <c r="U114" s="455" t="s">
        <v>1679</v>
      </c>
      <c r="V114" s="455" t="s">
        <v>1679</v>
      </c>
      <c r="W114" s="427" t="s">
        <v>1677</v>
      </c>
      <c r="X114" s="427" t="s">
        <v>1660</v>
      </c>
      <c r="Y114" s="429" t="s">
        <v>1660</v>
      </c>
      <c r="Z114" s="172" t="s">
        <v>34</v>
      </c>
      <c r="AA114" s="166" t="s">
        <v>34</v>
      </c>
      <c r="AB114">
        <f t="shared" si="22"/>
        <v>20</v>
      </c>
    </row>
    <row r="115" spans="1:31" x14ac:dyDescent="0.35">
      <c r="A115">
        <f t="shared" si="21"/>
        <v>21</v>
      </c>
      <c r="B115" s="104" t="str">
        <f t="shared" si="20"/>
        <v>Switzerland D (support Ukr financially But not militarily)</v>
      </c>
      <c r="C115" s="432" t="s">
        <v>1669</v>
      </c>
      <c r="D115" s="455" t="s">
        <v>1669</v>
      </c>
      <c r="E115" s="427" t="s">
        <v>1672</v>
      </c>
      <c r="F115" s="427" t="s">
        <v>1672</v>
      </c>
      <c r="G115" s="427" t="s">
        <v>1672</v>
      </c>
      <c r="H115" s="427" t="s">
        <v>35</v>
      </c>
      <c r="I115" s="455" t="s">
        <v>1680</v>
      </c>
      <c r="J115" s="455" t="s">
        <v>1680</v>
      </c>
      <c r="K115" s="455" t="s">
        <v>1680</v>
      </c>
      <c r="L115" s="455" t="s">
        <v>1680</v>
      </c>
      <c r="M115" s="455" t="s">
        <v>1680</v>
      </c>
      <c r="N115" s="455" t="s">
        <v>1680</v>
      </c>
      <c r="O115" s="455" t="s">
        <v>1680</v>
      </c>
      <c r="P115" s="455" t="s">
        <v>1680</v>
      </c>
      <c r="Q115" s="455" t="s">
        <v>1680</v>
      </c>
      <c r="R115" s="455" t="s">
        <v>1680</v>
      </c>
      <c r="S115" s="455" t="s">
        <v>1680</v>
      </c>
      <c r="T115" s="455" t="s">
        <v>1681</v>
      </c>
      <c r="U115" s="455" t="s">
        <v>1681</v>
      </c>
      <c r="V115" s="455" t="s">
        <v>1683</v>
      </c>
      <c r="W115" s="468" t="s">
        <v>1682</v>
      </c>
      <c r="X115" s="427" t="s">
        <v>1660</v>
      </c>
      <c r="Y115" s="429" t="s">
        <v>1660</v>
      </c>
      <c r="Z115" s="172" t="s">
        <v>34</v>
      </c>
      <c r="AA115" s="166" t="s">
        <v>34</v>
      </c>
      <c r="AB115">
        <f t="shared" si="22"/>
        <v>21</v>
      </c>
    </row>
    <row r="116" spans="1:31" x14ac:dyDescent="0.35">
      <c r="A116">
        <f t="shared" si="21"/>
        <v>22</v>
      </c>
      <c r="B116" s="104" t="str">
        <f t="shared" si="20"/>
        <v>Greece D N E (donate 32 F16s)</v>
      </c>
      <c r="C116" s="432" t="s">
        <v>1710</v>
      </c>
      <c r="D116" s="455" t="s">
        <v>1710</v>
      </c>
      <c r="E116" s="468" t="s">
        <v>1711</v>
      </c>
      <c r="F116" s="427" t="s">
        <v>1711</v>
      </c>
      <c r="G116" s="427" t="s">
        <v>35</v>
      </c>
      <c r="H116" s="427" t="s">
        <v>1711</v>
      </c>
      <c r="I116" s="455" t="s">
        <v>1742</v>
      </c>
      <c r="J116" s="455" t="s">
        <v>1742</v>
      </c>
      <c r="K116" s="455" t="s">
        <v>1742</v>
      </c>
      <c r="L116" s="455" t="s">
        <v>1742</v>
      </c>
      <c r="M116" s="455" t="s">
        <v>1742</v>
      </c>
      <c r="N116" s="455" t="s">
        <v>1742</v>
      </c>
      <c r="O116" s="455" t="s">
        <v>1742</v>
      </c>
      <c r="P116" s="455" t="s">
        <v>1742</v>
      </c>
      <c r="Q116" s="455" t="s">
        <v>1742</v>
      </c>
      <c r="R116" s="455" t="s">
        <v>1742</v>
      </c>
      <c r="S116" s="455" t="s">
        <v>1742</v>
      </c>
      <c r="T116" s="455" t="s">
        <v>1743</v>
      </c>
      <c r="U116" s="455" t="s">
        <v>1743</v>
      </c>
      <c r="V116" s="455" t="s">
        <v>1743</v>
      </c>
      <c r="W116" s="468" t="s">
        <v>1744</v>
      </c>
      <c r="X116" s="427" t="s">
        <v>1746</v>
      </c>
      <c r="Y116" s="429" t="s">
        <v>1745</v>
      </c>
      <c r="Z116" s="172" t="s">
        <v>34</v>
      </c>
      <c r="AA116" s="166" t="s">
        <v>34</v>
      </c>
      <c r="AB116">
        <f t="shared" si="22"/>
        <v>22</v>
      </c>
    </row>
    <row r="117" spans="1:31" x14ac:dyDescent="0.35">
      <c r="A117">
        <f t="shared" si="21"/>
        <v>23</v>
      </c>
      <c r="B117" s="104" t="str">
        <f t="shared" si="20"/>
        <v>Slovenia D N E</v>
      </c>
      <c r="C117" s="432" t="s">
        <v>1719</v>
      </c>
      <c r="D117" s="455" t="s">
        <v>1719</v>
      </c>
      <c r="E117" s="427" t="s">
        <v>1738</v>
      </c>
      <c r="F117" s="427" t="s">
        <v>1738</v>
      </c>
      <c r="G117" s="427" t="s">
        <v>35</v>
      </c>
      <c r="H117" s="427" t="s">
        <v>1738</v>
      </c>
      <c r="I117" s="455" t="s">
        <v>1747</v>
      </c>
      <c r="J117" s="455" t="s">
        <v>1747</v>
      </c>
      <c r="K117" s="455" t="s">
        <v>1747</v>
      </c>
      <c r="L117" s="455" t="s">
        <v>1747</v>
      </c>
      <c r="M117" s="455" t="s">
        <v>1747</v>
      </c>
      <c r="N117" s="455" t="s">
        <v>1747</v>
      </c>
      <c r="O117" s="455" t="s">
        <v>1747</v>
      </c>
      <c r="P117" s="455" t="s">
        <v>1747</v>
      </c>
      <c r="Q117" s="455" t="s">
        <v>1747</v>
      </c>
      <c r="R117" s="455" t="s">
        <v>1747</v>
      </c>
      <c r="S117" s="455" t="s">
        <v>1747</v>
      </c>
      <c r="T117" s="455" t="s">
        <v>1748</v>
      </c>
      <c r="U117" s="455" t="s">
        <v>1748</v>
      </c>
      <c r="V117" s="455" t="s">
        <v>1748</v>
      </c>
      <c r="W117" s="455" t="s">
        <v>1748</v>
      </c>
      <c r="X117" s="427" t="s">
        <v>1749</v>
      </c>
      <c r="Y117" s="429" t="s">
        <v>1749</v>
      </c>
      <c r="Z117" s="172" t="s">
        <v>34</v>
      </c>
      <c r="AA117" s="166" t="s">
        <v>34</v>
      </c>
      <c r="AB117">
        <f t="shared" si="22"/>
        <v>23</v>
      </c>
    </row>
    <row r="118" spans="1:31" x14ac:dyDescent="0.35">
      <c r="A118">
        <f t="shared" si="21"/>
        <v>24</v>
      </c>
      <c r="B118" s="104" t="str">
        <f t="shared" si="20"/>
        <v>Croatia D N E</v>
      </c>
      <c r="C118" s="432" t="s">
        <v>1725</v>
      </c>
      <c r="D118" s="455" t="s">
        <v>1725</v>
      </c>
      <c r="E118" s="427" t="s">
        <v>1733</v>
      </c>
      <c r="F118" s="427" t="s">
        <v>1733</v>
      </c>
      <c r="G118" s="427" t="s">
        <v>35</v>
      </c>
      <c r="H118" s="427" t="s">
        <v>1733</v>
      </c>
      <c r="I118" s="455" t="s">
        <v>1750</v>
      </c>
      <c r="J118" s="455" t="s">
        <v>1750</v>
      </c>
      <c r="K118" s="455" t="s">
        <v>1750</v>
      </c>
      <c r="L118" s="455" t="s">
        <v>1750</v>
      </c>
      <c r="M118" s="455" t="s">
        <v>1750</v>
      </c>
      <c r="N118" s="455" t="s">
        <v>1750</v>
      </c>
      <c r="O118" s="455" t="s">
        <v>1750</v>
      </c>
      <c r="P118" s="455" t="s">
        <v>1750</v>
      </c>
      <c r="Q118" s="455" t="s">
        <v>1750</v>
      </c>
      <c r="R118" s="455" t="s">
        <v>1750</v>
      </c>
      <c r="S118" s="455" t="s">
        <v>1750</v>
      </c>
      <c r="T118" s="455" t="s">
        <v>1751</v>
      </c>
      <c r="U118" s="455" t="s">
        <v>1751</v>
      </c>
      <c r="V118" s="455" t="s">
        <v>1751</v>
      </c>
      <c r="W118" s="455" t="s">
        <v>1751</v>
      </c>
      <c r="X118" s="455" t="s">
        <v>1751</v>
      </c>
      <c r="Y118" s="455" t="s">
        <v>1751</v>
      </c>
      <c r="Z118" s="172" t="s">
        <v>34</v>
      </c>
      <c r="AA118" s="166" t="s">
        <v>34</v>
      </c>
      <c r="AB118">
        <f t="shared" si="22"/>
        <v>24</v>
      </c>
    </row>
    <row r="119" spans="1:31" x14ac:dyDescent="0.35">
      <c r="A119">
        <f t="shared" si="21"/>
        <v>25</v>
      </c>
      <c r="B119" s="104" t="str">
        <f t="shared" si="20"/>
        <v>Albania D N</v>
      </c>
      <c r="C119" s="432" t="s">
        <v>1726</v>
      </c>
      <c r="D119" s="455" t="s">
        <v>1726</v>
      </c>
      <c r="E119" s="427" t="s">
        <v>1739</v>
      </c>
      <c r="F119" s="427" t="s">
        <v>1739</v>
      </c>
      <c r="G119" s="427" t="s">
        <v>35</v>
      </c>
      <c r="H119" s="427" t="s">
        <v>1739</v>
      </c>
      <c r="I119" s="455" t="s">
        <v>1757</v>
      </c>
      <c r="J119" s="455" t="s">
        <v>1757</v>
      </c>
      <c r="K119" s="455" t="s">
        <v>1757</v>
      </c>
      <c r="L119" s="455" t="s">
        <v>1757</v>
      </c>
      <c r="M119" s="455" t="s">
        <v>1757</v>
      </c>
      <c r="N119" s="455" t="s">
        <v>1757</v>
      </c>
      <c r="O119" s="455" t="s">
        <v>1757</v>
      </c>
      <c r="P119" s="455" t="s">
        <v>1757</v>
      </c>
      <c r="Q119" s="455" t="s">
        <v>1757</v>
      </c>
      <c r="R119" s="455" t="s">
        <v>1757</v>
      </c>
      <c r="S119" s="455" t="s">
        <v>1757</v>
      </c>
      <c r="T119" s="455" t="s">
        <v>1758</v>
      </c>
      <c r="U119" s="455" t="s">
        <v>1758</v>
      </c>
      <c r="V119" s="455" t="s">
        <v>1758</v>
      </c>
      <c r="W119" s="455" t="s">
        <v>1758</v>
      </c>
      <c r="X119" s="455" t="s">
        <v>1758</v>
      </c>
      <c r="Y119" s="455" t="s">
        <v>1758</v>
      </c>
      <c r="Z119" s="172" t="s">
        <v>34</v>
      </c>
      <c r="AA119" s="166" t="s">
        <v>34</v>
      </c>
      <c r="AB119">
        <f t="shared" si="22"/>
        <v>25</v>
      </c>
    </row>
    <row r="120" spans="1:31" x14ac:dyDescent="0.35">
      <c r="A120">
        <f t="shared" si="21"/>
        <v>26</v>
      </c>
      <c r="B120" s="104" t="str">
        <f t="shared" si="20"/>
        <v>Montenegro D N</v>
      </c>
      <c r="C120" s="432" t="s">
        <v>1727</v>
      </c>
      <c r="D120" s="455" t="s">
        <v>1727</v>
      </c>
      <c r="E120" s="427" t="s">
        <v>1740</v>
      </c>
      <c r="F120" s="427" t="s">
        <v>1740</v>
      </c>
      <c r="G120" s="427" t="s">
        <v>35</v>
      </c>
      <c r="H120" s="427" t="s">
        <v>1740</v>
      </c>
      <c r="I120" s="455" t="s">
        <v>1761</v>
      </c>
      <c r="J120" s="455" t="s">
        <v>1761</v>
      </c>
      <c r="K120" s="455" t="s">
        <v>1761</v>
      </c>
      <c r="L120" s="455" t="s">
        <v>1761</v>
      </c>
      <c r="M120" s="455" t="s">
        <v>1761</v>
      </c>
      <c r="N120" s="455" t="s">
        <v>1761</v>
      </c>
      <c r="O120" s="455" t="s">
        <v>1761</v>
      </c>
      <c r="P120" s="455" t="s">
        <v>1761</v>
      </c>
      <c r="Q120" s="455" t="s">
        <v>1761</v>
      </c>
      <c r="R120" s="455" t="s">
        <v>1761</v>
      </c>
      <c r="S120" s="455" t="s">
        <v>1761</v>
      </c>
      <c r="T120" s="455" t="s">
        <v>1762</v>
      </c>
      <c r="U120" s="455" t="s">
        <v>1762</v>
      </c>
      <c r="V120" s="455" t="s">
        <v>1762</v>
      </c>
      <c r="W120" s="455" t="s">
        <v>1762</v>
      </c>
      <c r="X120" s="427" t="s">
        <v>1660</v>
      </c>
      <c r="Y120" s="429" t="s">
        <v>1660</v>
      </c>
      <c r="Z120" s="172" t="s">
        <v>34</v>
      </c>
      <c r="AA120" s="166" t="s">
        <v>34</v>
      </c>
      <c r="AB120">
        <f t="shared" si="22"/>
        <v>26</v>
      </c>
    </row>
    <row r="121" spans="1:31" x14ac:dyDescent="0.35">
      <c r="A121">
        <f t="shared" si="21"/>
        <v>27</v>
      </c>
      <c r="B121" s="104" t="str">
        <f t="shared" si="20"/>
        <v>North Macedonia D N</v>
      </c>
      <c r="C121" s="432" t="s">
        <v>1728</v>
      </c>
      <c r="D121" s="455" t="s">
        <v>1728</v>
      </c>
      <c r="E121" s="427" t="s">
        <v>1741</v>
      </c>
      <c r="F121" s="427" t="s">
        <v>1741</v>
      </c>
      <c r="G121" s="427" t="s">
        <v>35</v>
      </c>
      <c r="H121" s="427" t="s">
        <v>1741</v>
      </c>
      <c r="I121" s="455" t="s">
        <v>1759</v>
      </c>
      <c r="J121" s="455" t="s">
        <v>1759</v>
      </c>
      <c r="K121" s="455" t="s">
        <v>1759</v>
      </c>
      <c r="L121" s="455" t="s">
        <v>1759</v>
      </c>
      <c r="M121" s="455" t="s">
        <v>1759</v>
      </c>
      <c r="N121" s="455" t="s">
        <v>1759</v>
      </c>
      <c r="O121" s="455" t="s">
        <v>1759</v>
      </c>
      <c r="P121" s="455" t="s">
        <v>1759</v>
      </c>
      <c r="Q121" s="455" t="s">
        <v>1759</v>
      </c>
      <c r="R121" s="455" t="s">
        <v>1759</v>
      </c>
      <c r="S121" s="455" t="s">
        <v>1759</v>
      </c>
      <c r="T121" s="455" t="s">
        <v>1760</v>
      </c>
      <c r="U121" s="455" t="s">
        <v>1760</v>
      </c>
      <c r="V121" s="455" t="s">
        <v>1760</v>
      </c>
      <c r="W121" s="455" t="s">
        <v>1760</v>
      </c>
      <c r="X121" s="427" t="s">
        <v>1660</v>
      </c>
      <c r="Y121" s="429" t="s">
        <v>1660</v>
      </c>
      <c r="Z121" s="172" t="s">
        <v>34</v>
      </c>
      <c r="AA121" s="166" t="s">
        <v>34</v>
      </c>
      <c r="AB121">
        <f t="shared" si="22"/>
        <v>27</v>
      </c>
    </row>
    <row r="122" spans="1:31" x14ac:dyDescent="0.35">
      <c r="A122">
        <f t="shared" si="21"/>
        <v>28</v>
      </c>
      <c r="B122" s="104" t="str">
        <f t="shared" si="20"/>
        <v xml:space="preserve">Germany D N E </v>
      </c>
      <c r="C122" s="432" t="s">
        <v>88</v>
      </c>
      <c r="D122" s="455" t="s">
        <v>88</v>
      </c>
      <c r="E122" s="427" t="s">
        <v>1593</v>
      </c>
      <c r="F122" s="427" t="s">
        <v>1593</v>
      </c>
      <c r="G122" s="427" t="s">
        <v>35</v>
      </c>
      <c r="H122" s="427" t="s">
        <v>1593</v>
      </c>
      <c r="I122" s="455" t="s">
        <v>1686</v>
      </c>
      <c r="J122" s="455" t="s">
        <v>1686</v>
      </c>
      <c r="K122" s="455" t="s">
        <v>1686</v>
      </c>
      <c r="L122" s="455" t="s">
        <v>1686</v>
      </c>
      <c r="M122" s="455" t="s">
        <v>1686</v>
      </c>
      <c r="N122" s="455" t="s">
        <v>1686</v>
      </c>
      <c r="O122" s="455" t="s">
        <v>1686</v>
      </c>
      <c r="P122" s="455" t="s">
        <v>1686</v>
      </c>
      <c r="Q122" s="455" t="s">
        <v>1686</v>
      </c>
      <c r="R122" s="455" t="s">
        <v>1686</v>
      </c>
      <c r="S122" s="455" t="s">
        <v>1686</v>
      </c>
      <c r="T122" s="455" t="s">
        <v>1688</v>
      </c>
      <c r="U122" s="455" t="s">
        <v>1688</v>
      </c>
      <c r="V122" s="427" t="s">
        <v>1688</v>
      </c>
      <c r="W122" s="427" t="s">
        <v>1686</v>
      </c>
      <c r="X122" s="427"/>
      <c r="Y122" s="429"/>
      <c r="Z122" s="172" t="s">
        <v>34</v>
      </c>
      <c r="AA122" s="166" t="s">
        <v>34</v>
      </c>
      <c r="AB122">
        <f t="shared" si="22"/>
        <v>28</v>
      </c>
    </row>
    <row r="123" spans="1:31" x14ac:dyDescent="0.35">
      <c r="A123">
        <f t="shared" si="21"/>
        <v>29</v>
      </c>
      <c r="B123" s="104" t="str">
        <f t="shared" si="20"/>
        <v xml:space="preserve">UK D N </v>
      </c>
      <c r="C123" s="432" t="s">
        <v>88</v>
      </c>
      <c r="D123" s="455" t="s">
        <v>88</v>
      </c>
      <c r="E123" s="427" t="s">
        <v>1595</v>
      </c>
      <c r="F123" s="427" t="s">
        <v>1595</v>
      </c>
      <c r="G123" s="427" t="s">
        <v>35</v>
      </c>
      <c r="H123" s="427" t="s">
        <v>1595</v>
      </c>
      <c r="I123" s="455" t="s">
        <v>1753</v>
      </c>
      <c r="J123" s="455" t="s">
        <v>1753</v>
      </c>
      <c r="K123" s="455" t="s">
        <v>1753</v>
      </c>
      <c r="L123" s="455" t="s">
        <v>1753</v>
      </c>
      <c r="M123" s="455" t="s">
        <v>1753</v>
      </c>
      <c r="N123" s="455" t="s">
        <v>1753</v>
      </c>
      <c r="O123" s="455" t="s">
        <v>1753</v>
      </c>
      <c r="P123" s="455" t="s">
        <v>1753</v>
      </c>
      <c r="Q123" s="455" t="s">
        <v>1753</v>
      </c>
      <c r="R123" s="455" t="s">
        <v>1753</v>
      </c>
      <c r="S123" s="612" t="s">
        <v>1753</v>
      </c>
      <c r="T123" s="455" t="s">
        <v>1754</v>
      </c>
      <c r="U123" s="455" t="s">
        <v>1754</v>
      </c>
      <c r="V123" s="455" t="s">
        <v>1754</v>
      </c>
      <c r="W123" s="455" t="s">
        <v>1754</v>
      </c>
      <c r="X123" s="427" t="s">
        <v>1755</v>
      </c>
      <c r="Y123" s="429" t="s">
        <v>1755</v>
      </c>
      <c r="Z123" s="172" t="s">
        <v>34</v>
      </c>
      <c r="AA123" s="166" t="s">
        <v>34</v>
      </c>
      <c r="AB123">
        <f t="shared" si="22"/>
        <v>29</v>
      </c>
    </row>
    <row r="124" spans="1:31" x14ac:dyDescent="0.35">
      <c r="A124">
        <f t="shared" si="21"/>
        <v>30</v>
      </c>
      <c r="B124" s="104" t="str">
        <f t="shared" si="20"/>
        <v>Netherlands D N E (donate 42 F16s)</v>
      </c>
      <c r="C124" s="432" t="s">
        <v>1690</v>
      </c>
      <c r="D124" s="455" t="s">
        <v>1690</v>
      </c>
      <c r="E124" s="427" t="s">
        <v>1694</v>
      </c>
      <c r="F124" s="427" t="s">
        <v>1694</v>
      </c>
      <c r="G124" s="427" t="s">
        <v>35</v>
      </c>
      <c r="H124" s="427" t="s">
        <v>1694</v>
      </c>
      <c r="I124" s="455" t="s">
        <v>1763</v>
      </c>
      <c r="J124" s="455" t="s">
        <v>1763</v>
      </c>
      <c r="K124" s="455" t="s">
        <v>1763</v>
      </c>
      <c r="L124" s="455" t="s">
        <v>1763</v>
      </c>
      <c r="M124" s="455" t="s">
        <v>1763</v>
      </c>
      <c r="N124" s="455" t="s">
        <v>1763</v>
      </c>
      <c r="O124" s="455" t="s">
        <v>1763</v>
      </c>
      <c r="P124" s="455" t="s">
        <v>1763</v>
      </c>
      <c r="Q124" s="455" t="s">
        <v>1763</v>
      </c>
      <c r="R124" s="455" t="s">
        <v>1763</v>
      </c>
      <c r="S124" s="455" t="s">
        <v>1763</v>
      </c>
      <c r="T124" s="455" t="s">
        <v>1764</v>
      </c>
      <c r="U124" s="455" t="s">
        <v>1764</v>
      </c>
      <c r="V124" s="455" t="s">
        <v>1764</v>
      </c>
      <c r="W124" s="455" t="s">
        <v>1764</v>
      </c>
      <c r="X124" s="427" t="s">
        <v>1765</v>
      </c>
      <c r="Y124" s="429" t="s">
        <v>1765</v>
      </c>
      <c r="Z124" s="172" t="s">
        <v>34</v>
      </c>
      <c r="AA124" s="166" t="s">
        <v>34</v>
      </c>
      <c r="AB124">
        <f t="shared" si="22"/>
        <v>30</v>
      </c>
    </row>
    <row r="125" spans="1:31" x14ac:dyDescent="0.35">
      <c r="A125">
        <f t="shared" si="21"/>
        <v>31</v>
      </c>
      <c r="B125" s="104" t="str">
        <f t="shared" si="20"/>
        <v>Belgium D N E (donate 30 F16s)</v>
      </c>
      <c r="C125" s="432" t="s">
        <v>1691</v>
      </c>
      <c r="D125" s="455" t="s">
        <v>1691</v>
      </c>
      <c r="E125" s="427" t="s">
        <v>1695</v>
      </c>
      <c r="F125" s="427" t="s">
        <v>1695</v>
      </c>
      <c r="G125" s="427" t="s">
        <v>35</v>
      </c>
      <c r="H125" s="427" t="s">
        <v>1695</v>
      </c>
      <c r="I125" s="455" t="s">
        <v>1766</v>
      </c>
      <c r="J125" s="455" t="s">
        <v>1766</v>
      </c>
      <c r="K125" s="455" t="s">
        <v>1766</v>
      </c>
      <c r="L125" s="455" t="s">
        <v>1766</v>
      </c>
      <c r="M125" s="455" t="s">
        <v>1766</v>
      </c>
      <c r="N125" s="455" t="s">
        <v>1766</v>
      </c>
      <c r="O125" s="455" t="s">
        <v>1766</v>
      </c>
      <c r="P125" s="455" t="s">
        <v>1766</v>
      </c>
      <c r="Q125" s="455" t="s">
        <v>1766</v>
      </c>
      <c r="R125" s="455" t="s">
        <v>1766</v>
      </c>
      <c r="S125" s="455" t="s">
        <v>1766</v>
      </c>
      <c r="X125" s="427" t="s">
        <v>1768</v>
      </c>
      <c r="Y125" s="429" t="s">
        <v>1768</v>
      </c>
      <c r="Z125" s="172" t="s">
        <v>34</v>
      </c>
      <c r="AA125" s="166" t="s">
        <v>34</v>
      </c>
      <c r="AB125">
        <f t="shared" si="22"/>
        <v>31</v>
      </c>
    </row>
    <row r="126" spans="1:31" x14ac:dyDescent="0.35">
      <c r="A126">
        <f t="shared" si="21"/>
        <v>32</v>
      </c>
      <c r="B126" s="104" t="str">
        <f t="shared" si="20"/>
        <v>Luxembourg D N E</v>
      </c>
      <c r="C126" s="432" t="s">
        <v>1729</v>
      </c>
      <c r="D126" s="455" t="s">
        <v>1729</v>
      </c>
      <c r="E126" s="427" t="s">
        <v>1731</v>
      </c>
      <c r="F126" s="427" t="s">
        <v>1731</v>
      </c>
      <c r="G126" s="427" t="s">
        <v>35</v>
      </c>
      <c r="H126" s="427" t="s">
        <v>1731</v>
      </c>
      <c r="I126" s="455" t="s">
        <v>1737</v>
      </c>
      <c r="J126" s="455" t="s">
        <v>1737</v>
      </c>
      <c r="K126" s="455" t="s">
        <v>1737</v>
      </c>
      <c r="L126" s="455" t="s">
        <v>1737</v>
      </c>
      <c r="M126" s="455" t="s">
        <v>1737</v>
      </c>
      <c r="N126" s="455" t="s">
        <v>1737</v>
      </c>
      <c r="O126" s="455" t="s">
        <v>1737</v>
      </c>
      <c r="P126" s="455" t="s">
        <v>1737</v>
      </c>
      <c r="Q126" s="455" t="s">
        <v>1737</v>
      </c>
      <c r="R126" s="455" t="s">
        <v>1737</v>
      </c>
      <c r="S126" s="455" t="s">
        <v>1737</v>
      </c>
      <c r="T126" s="455" t="s">
        <v>1736</v>
      </c>
      <c r="U126" s="455" t="s">
        <v>1736</v>
      </c>
      <c r="V126" s="455" t="s">
        <v>1736</v>
      </c>
      <c r="W126" s="455" t="s">
        <v>1736</v>
      </c>
      <c r="X126" s="427" t="s">
        <v>1660</v>
      </c>
      <c r="Y126" s="429" t="s">
        <v>1660</v>
      </c>
      <c r="Z126" s="172" t="s">
        <v>34</v>
      </c>
      <c r="AA126" s="166" t="s">
        <v>34</v>
      </c>
      <c r="AB126">
        <f t="shared" si="22"/>
        <v>32</v>
      </c>
    </row>
    <row r="127" spans="1:31" x14ac:dyDescent="0.35">
      <c r="A127">
        <f t="shared" si="21"/>
        <v>33</v>
      </c>
      <c r="B127" s="104" t="str">
        <f t="shared" ref="B127:B158" si="23">B41</f>
        <v>France D N E</v>
      </c>
      <c r="C127" s="432" t="s">
        <v>88</v>
      </c>
      <c r="D127" s="455" t="s">
        <v>88</v>
      </c>
      <c r="E127" s="427" t="s">
        <v>1596</v>
      </c>
      <c r="F127" s="427" t="s">
        <v>1596</v>
      </c>
      <c r="G127" s="427" t="s">
        <v>35</v>
      </c>
      <c r="H127" s="427" t="s">
        <v>1596</v>
      </c>
      <c r="I127" s="612" t="s">
        <v>1769</v>
      </c>
      <c r="J127" s="455" t="s">
        <v>1769</v>
      </c>
      <c r="K127" s="455" t="s">
        <v>1769</v>
      </c>
      <c r="L127" s="455" t="s">
        <v>1769</v>
      </c>
      <c r="M127" s="455" t="s">
        <v>1769</v>
      </c>
      <c r="N127" s="455" t="s">
        <v>1769</v>
      </c>
      <c r="O127" s="455" t="s">
        <v>1769</v>
      </c>
      <c r="P127" s="455" t="s">
        <v>1769</v>
      </c>
      <c r="Q127" s="455" t="s">
        <v>1769</v>
      </c>
      <c r="R127" s="455" t="s">
        <v>1769</v>
      </c>
      <c r="S127" s="455" t="s">
        <v>1769</v>
      </c>
      <c r="T127" s="455" t="s">
        <v>1770</v>
      </c>
      <c r="U127" s="455" t="s">
        <v>1770</v>
      </c>
      <c r="V127" s="455" t="s">
        <v>1770</v>
      </c>
      <c r="W127" s="455" t="s">
        <v>1771</v>
      </c>
      <c r="X127" s="427" t="s">
        <v>1772</v>
      </c>
      <c r="Y127" s="429" t="s">
        <v>1772</v>
      </c>
      <c r="Z127" s="172" t="s">
        <v>34</v>
      </c>
      <c r="AA127" s="166" t="s">
        <v>34</v>
      </c>
      <c r="AB127">
        <f t="shared" si="22"/>
        <v>33</v>
      </c>
    </row>
    <row r="128" spans="1:31" x14ac:dyDescent="0.35">
      <c r="A128">
        <f t="shared" si="21"/>
        <v>34</v>
      </c>
      <c r="B128" s="104" t="str">
        <f t="shared" si="23"/>
        <v>Spain D N E</v>
      </c>
      <c r="C128" s="432" t="s">
        <v>1583</v>
      </c>
      <c r="D128" s="455" t="s">
        <v>1583</v>
      </c>
      <c r="E128" s="427" t="s">
        <v>1597</v>
      </c>
      <c r="F128" s="427" t="s">
        <v>1597</v>
      </c>
      <c r="G128" s="427" t="s">
        <v>35</v>
      </c>
      <c r="H128" s="427" t="s">
        <v>1597</v>
      </c>
      <c r="I128" s="455" t="s">
        <v>1773</v>
      </c>
      <c r="J128" s="455" t="s">
        <v>1773</v>
      </c>
      <c r="K128" s="455" t="s">
        <v>1773</v>
      </c>
      <c r="L128" s="455" t="s">
        <v>1773</v>
      </c>
      <c r="M128" s="455" t="s">
        <v>1773</v>
      </c>
      <c r="N128" s="455" t="s">
        <v>1773</v>
      </c>
      <c r="O128" s="455" t="s">
        <v>1773</v>
      </c>
      <c r="P128" s="455" t="s">
        <v>1773</v>
      </c>
      <c r="Q128" s="455" t="s">
        <v>1773</v>
      </c>
      <c r="R128" s="455" t="s">
        <v>1773</v>
      </c>
      <c r="S128" s="455" t="s">
        <v>1773</v>
      </c>
      <c r="T128" s="455" t="s">
        <v>1774</v>
      </c>
      <c r="U128" s="455" t="s">
        <v>1774</v>
      </c>
      <c r="V128" s="455" t="s">
        <v>1774</v>
      </c>
      <c r="W128" s="455" t="s">
        <v>1774</v>
      </c>
      <c r="X128" s="427" t="s">
        <v>1775</v>
      </c>
      <c r="Y128" s="429" t="s">
        <v>1775</v>
      </c>
      <c r="Z128" s="172" t="s">
        <v>34</v>
      </c>
      <c r="AA128" s="166" t="s">
        <v>34</v>
      </c>
      <c r="AB128">
        <f t="shared" si="22"/>
        <v>34</v>
      </c>
    </row>
    <row r="129" spans="1:28" x14ac:dyDescent="0.35">
      <c r="A129">
        <f t="shared" si="21"/>
        <v>35</v>
      </c>
      <c r="B129" s="104" t="str">
        <f t="shared" si="23"/>
        <v>Portugal D N E</v>
      </c>
      <c r="C129" s="432" t="s">
        <v>1684</v>
      </c>
      <c r="D129" s="455" t="s">
        <v>1684</v>
      </c>
      <c r="E129" s="427" t="s">
        <v>1685</v>
      </c>
      <c r="F129" s="427" t="s">
        <v>1685</v>
      </c>
      <c r="G129" s="427" t="s">
        <v>35</v>
      </c>
      <c r="H129" s="427" t="s">
        <v>1685</v>
      </c>
      <c r="I129" s="455" t="s">
        <v>1776</v>
      </c>
      <c r="J129" s="455" t="s">
        <v>1776</v>
      </c>
      <c r="K129" s="455" t="s">
        <v>1776</v>
      </c>
      <c r="L129" s="455" t="s">
        <v>1776</v>
      </c>
      <c r="M129" s="455" t="s">
        <v>1776</v>
      </c>
      <c r="N129" s="455" t="s">
        <v>1776</v>
      </c>
      <c r="O129" s="455" t="s">
        <v>1776</v>
      </c>
      <c r="P129" s="455" t="s">
        <v>1776</v>
      </c>
      <c r="Q129" s="455" t="s">
        <v>1776</v>
      </c>
      <c r="R129" s="455" t="s">
        <v>1776</v>
      </c>
      <c r="S129" s="455" t="s">
        <v>1776</v>
      </c>
      <c r="T129" s="455" t="s">
        <v>1777</v>
      </c>
      <c r="U129" s="455" t="s">
        <v>1777</v>
      </c>
      <c r="V129" s="455" t="s">
        <v>1777</v>
      </c>
      <c r="W129" s="455" t="s">
        <v>1777</v>
      </c>
      <c r="X129" s="427" t="s">
        <v>1778</v>
      </c>
      <c r="Y129" s="429" t="s">
        <v>1778</v>
      </c>
      <c r="Z129" s="172" t="s">
        <v>34</v>
      </c>
      <c r="AA129" s="166" t="s">
        <v>34</v>
      </c>
      <c r="AB129">
        <f t="shared" si="22"/>
        <v>35</v>
      </c>
    </row>
    <row r="130" spans="1:28" x14ac:dyDescent="0.35">
      <c r="A130">
        <f t="shared" ref="A130:A169" si="24">A129+1</f>
        <v>36</v>
      </c>
      <c r="B130" s="104" t="str">
        <f t="shared" si="23"/>
        <v>Italy D N E</v>
      </c>
      <c r="C130" s="432" t="s">
        <v>88</v>
      </c>
      <c r="D130" s="455" t="s">
        <v>88</v>
      </c>
      <c r="E130" s="427" t="s">
        <v>1598</v>
      </c>
      <c r="F130" s="427" t="s">
        <v>1598</v>
      </c>
      <c r="G130" s="427" t="s">
        <v>35</v>
      </c>
      <c r="H130" s="427" t="s">
        <v>1598</v>
      </c>
      <c r="I130" s="455" t="s">
        <v>1780</v>
      </c>
      <c r="J130" s="455" t="s">
        <v>1780</v>
      </c>
      <c r="K130" s="455" t="s">
        <v>1780</v>
      </c>
      <c r="L130" s="455" t="s">
        <v>1780</v>
      </c>
      <c r="M130" s="455" t="s">
        <v>1780</v>
      </c>
      <c r="N130" s="455" t="s">
        <v>1780</v>
      </c>
      <c r="O130" s="455" t="s">
        <v>1780</v>
      </c>
      <c r="P130" s="455" t="s">
        <v>1780</v>
      </c>
      <c r="Q130" s="455" t="s">
        <v>1780</v>
      </c>
      <c r="R130" s="455" t="s">
        <v>1780</v>
      </c>
      <c r="S130" s="455" t="s">
        <v>1780</v>
      </c>
      <c r="T130" s="455" t="s">
        <v>1781</v>
      </c>
      <c r="U130" s="455" t="s">
        <v>1781</v>
      </c>
      <c r="V130" s="455" t="s">
        <v>1781</v>
      </c>
      <c r="W130" s="455" t="s">
        <v>1781</v>
      </c>
      <c r="X130" s="427" t="s">
        <v>1783</v>
      </c>
      <c r="Y130" s="429" t="s">
        <v>1783</v>
      </c>
      <c r="Z130" s="172" t="s">
        <v>34</v>
      </c>
      <c r="AA130" s="166" t="s">
        <v>34</v>
      </c>
      <c r="AB130">
        <f t="shared" si="22"/>
        <v>36</v>
      </c>
    </row>
    <row r="131" spans="1:28" x14ac:dyDescent="0.35">
      <c r="A131">
        <f t="shared" si="24"/>
        <v>37</v>
      </c>
      <c r="B131" s="104" t="str">
        <f t="shared" si="23"/>
        <v>Canada D N</v>
      </c>
      <c r="C131" s="432" t="s">
        <v>88</v>
      </c>
      <c r="D131" s="455" t="s">
        <v>88</v>
      </c>
      <c r="E131" s="427" t="s">
        <v>1637</v>
      </c>
      <c r="F131" s="427" t="s">
        <v>1637</v>
      </c>
      <c r="G131" s="427" t="s">
        <v>35</v>
      </c>
      <c r="H131" s="427" t="s">
        <v>1637</v>
      </c>
      <c r="I131" s="455" t="s">
        <v>1784</v>
      </c>
      <c r="J131" s="455" t="s">
        <v>1784</v>
      </c>
      <c r="K131" s="455" t="s">
        <v>1784</v>
      </c>
      <c r="L131" s="455" t="s">
        <v>1784</v>
      </c>
      <c r="M131" s="455" t="s">
        <v>1784</v>
      </c>
      <c r="N131" s="455" t="s">
        <v>1784</v>
      </c>
      <c r="O131" s="455" t="s">
        <v>1784</v>
      </c>
      <c r="P131" s="455" t="s">
        <v>1784</v>
      </c>
      <c r="Q131" s="455" t="s">
        <v>1784</v>
      </c>
      <c r="R131" s="455" t="s">
        <v>1784</v>
      </c>
      <c r="S131" s="455" t="s">
        <v>1784</v>
      </c>
      <c r="T131" s="455" t="s">
        <v>1786</v>
      </c>
      <c r="U131" s="455" t="s">
        <v>1786</v>
      </c>
      <c r="V131" s="455" t="s">
        <v>1786</v>
      </c>
      <c r="W131" s="455" t="s">
        <v>1786</v>
      </c>
      <c r="X131" s="427" t="s">
        <v>1787</v>
      </c>
      <c r="Y131" s="429" t="s">
        <v>1787</v>
      </c>
      <c r="Z131" s="172" t="s">
        <v>34</v>
      </c>
      <c r="AA131" s="166" t="s">
        <v>34</v>
      </c>
      <c r="AB131">
        <f t="shared" si="22"/>
        <v>37</v>
      </c>
    </row>
    <row r="132" spans="1:28" x14ac:dyDescent="0.35">
      <c r="A132">
        <f t="shared" si="24"/>
        <v>38</v>
      </c>
      <c r="B132" s="104" t="str">
        <f t="shared" si="23"/>
        <v>Ukraine mil. &amp; fin. supporters #8 to #37 summed</v>
      </c>
      <c r="C132" s="432" t="s">
        <v>35</v>
      </c>
      <c r="D132" s="455" t="s">
        <v>35</v>
      </c>
      <c r="E132" s="427" t="s">
        <v>35</v>
      </c>
      <c r="F132" s="427" t="s">
        <v>35</v>
      </c>
      <c r="G132" s="427" t="s">
        <v>35</v>
      </c>
      <c r="H132" s="427" t="s">
        <v>35</v>
      </c>
      <c r="I132" s="427" t="s">
        <v>35</v>
      </c>
      <c r="J132" s="427" t="s">
        <v>35</v>
      </c>
      <c r="K132" s="427" t="s">
        <v>35</v>
      </c>
      <c r="L132" s="427" t="s">
        <v>35</v>
      </c>
      <c r="M132" s="427" t="s">
        <v>35</v>
      </c>
      <c r="N132" s="427" t="s">
        <v>35</v>
      </c>
      <c r="O132" s="427" t="s">
        <v>35</v>
      </c>
      <c r="P132" s="427" t="s">
        <v>35</v>
      </c>
      <c r="Q132" s="427" t="s">
        <v>35</v>
      </c>
      <c r="R132" s="427" t="s">
        <v>35</v>
      </c>
      <c r="S132" s="427" t="s">
        <v>35</v>
      </c>
      <c r="T132" s="427" t="s">
        <v>35</v>
      </c>
      <c r="U132" s="427" t="s">
        <v>35</v>
      </c>
      <c r="V132" s="427" t="s">
        <v>35</v>
      </c>
      <c r="W132" s="427" t="s">
        <v>35</v>
      </c>
      <c r="X132" s="427" t="s">
        <v>35</v>
      </c>
      <c r="Y132" s="429" t="s">
        <v>35</v>
      </c>
      <c r="Z132" s="172" t="s">
        <v>34</v>
      </c>
      <c r="AA132" s="166" t="s">
        <v>34</v>
      </c>
      <c r="AB132">
        <f t="shared" si="22"/>
        <v>38</v>
      </c>
    </row>
    <row r="133" spans="1:28" x14ac:dyDescent="0.35">
      <c r="A133">
        <f t="shared" si="24"/>
        <v>39</v>
      </c>
      <c r="B133" s="104" t="str">
        <f t="shared" si="23"/>
        <v>European Union = E</v>
      </c>
      <c r="C133" s="432" t="s">
        <v>88</v>
      </c>
      <c r="D133" s="455" t="s">
        <v>88</v>
      </c>
      <c r="E133" s="172" t="s">
        <v>34</v>
      </c>
      <c r="F133" s="172" t="s">
        <v>34</v>
      </c>
      <c r="G133" s="172" t="s">
        <v>34</v>
      </c>
      <c r="H133" s="172" t="s">
        <v>34</v>
      </c>
      <c r="I133" s="172" t="s">
        <v>34</v>
      </c>
      <c r="J133" s="172" t="s">
        <v>34</v>
      </c>
      <c r="K133" s="172" t="s">
        <v>34</v>
      </c>
      <c r="L133" s="172" t="s">
        <v>34</v>
      </c>
      <c r="M133" s="172" t="s">
        <v>34</v>
      </c>
      <c r="N133" s="172" t="s">
        <v>34</v>
      </c>
      <c r="O133" s="172" t="s">
        <v>34</v>
      </c>
      <c r="P133" s="172" t="s">
        <v>34</v>
      </c>
      <c r="Q133" s="172" t="s">
        <v>34</v>
      </c>
      <c r="R133" s="172" t="s">
        <v>34</v>
      </c>
      <c r="S133" s="172" t="s">
        <v>34</v>
      </c>
      <c r="T133" s="172" t="s">
        <v>34</v>
      </c>
      <c r="U133" s="172" t="s">
        <v>34</v>
      </c>
      <c r="V133" s="172" t="s">
        <v>34</v>
      </c>
      <c r="W133" s="172" t="s">
        <v>34</v>
      </c>
      <c r="X133" s="172" t="s">
        <v>34</v>
      </c>
      <c r="Y133" s="429" t="s">
        <v>34</v>
      </c>
      <c r="Z133" s="172" t="s">
        <v>34</v>
      </c>
      <c r="AA133" s="166" t="s">
        <v>34</v>
      </c>
      <c r="AB133">
        <f t="shared" si="22"/>
        <v>39</v>
      </c>
    </row>
    <row r="134" spans="1:28" x14ac:dyDescent="0.35">
      <c r="A134">
        <f t="shared" si="24"/>
        <v>40</v>
      </c>
      <c r="B134" s="104" t="str">
        <f t="shared" si="23"/>
        <v>Moldova D? (border Ukraine partly occupied by Russia)</v>
      </c>
      <c r="C134" s="432" t="s">
        <v>1577</v>
      </c>
      <c r="D134" s="455" t="s">
        <v>1577</v>
      </c>
      <c r="E134" s="427" t="s">
        <v>1590</v>
      </c>
      <c r="F134" s="427" t="s">
        <v>1590</v>
      </c>
      <c r="G134" s="427" t="s">
        <v>35</v>
      </c>
      <c r="H134" s="427" t="s">
        <v>1590</v>
      </c>
      <c r="I134" s="455" t="s">
        <v>1630</v>
      </c>
      <c r="J134" s="455" t="s">
        <v>1630</v>
      </c>
      <c r="K134" s="455" t="s">
        <v>1630</v>
      </c>
      <c r="L134" s="455" t="s">
        <v>1630</v>
      </c>
      <c r="M134" s="455" t="s">
        <v>1630</v>
      </c>
      <c r="N134" s="455" t="s">
        <v>1630</v>
      </c>
      <c r="O134" s="455" t="s">
        <v>1630</v>
      </c>
      <c r="P134" s="455" t="s">
        <v>1630</v>
      </c>
      <c r="Q134" s="455" t="s">
        <v>1630</v>
      </c>
      <c r="R134" s="455" t="s">
        <v>1630</v>
      </c>
      <c r="S134" s="455" t="s">
        <v>1630</v>
      </c>
      <c r="T134" s="455" t="s">
        <v>1630</v>
      </c>
      <c r="U134" s="455" t="s">
        <v>1630</v>
      </c>
      <c r="V134" s="455" t="s">
        <v>1630</v>
      </c>
      <c r="W134" s="455" t="s">
        <v>1630</v>
      </c>
      <c r="X134" s="455" t="s">
        <v>1630</v>
      </c>
      <c r="Y134" s="645" t="s">
        <v>1630</v>
      </c>
      <c r="Z134" s="172" t="s">
        <v>34</v>
      </c>
      <c r="AA134" s="166" t="s">
        <v>34</v>
      </c>
      <c r="AB134">
        <f t="shared" si="22"/>
        <v>40</v>
      </c>
    </row>
    <row r="135" spans="1:28" ht="15" thickBot="1" x14ac:dyDescent="0.4">
      <c r="A135">
        <f t="shared" si="24"/>
        <v>41</v>
      </c>
      <c r="B135" s="104" t="str">
        <f t="shared" si="23"/>
        <v>Serbia D? (export weapons to Europe that are donated to Ukraine)</v>
      </c>
      <c r="C135" s="455" t="s">
        <v>1708</v>
      </c>
      <c r="D135" s="455" t="s">
        <v>1708</v>
      </c>
      <c r="E135" s="427" t="s">
        <v>1716</v>
      </c>
      <c r="F135" s="427" t="s">
        <v>1716</v>
      </c>
      <c r="G135" s="427" t="s">
        <v>35</v>
      </c>
      <c r="H135" s="427" t="s">
        <v>1716</v>
      </c>
      <c r="I135" s="455" t="s">
        <v>1717</v>
      </c>
      <c r="J135" s="455" t="s">
        <v>1717</v>
      </c>
      <c r="K135" s="455" t="s">
        <v>1717</v>
      </c>
      <c r="L135" s="455" t="s">
        <v>1717</v>
      </c>
      <c r="M135" s="455" t="s">
        <v>1717</v>
      </c>
      <c r="N135" s="455" t="s">
        <v>1717</v>
      </c>
      <c r="O135" s="455" t="s">
        <v>1717</v>
      </c>
      <c r="P135" s="455" t="s">
        <v>1717</v>
      </c>
      <c r="Q135" s="455" t="s">
        <v>1717</v>
      </c>
      <c r="R135" s="455" t="s">
        <v>1717</v>
      </c>
      <c r="S135" s="455" t="s">
        <v>1717</v>
      </c>
      <c r="T135" s="455"/>
      <c r="U135" s="427"/>
      <c r="V135" s="427"/>
      <c r="W135" s="427"/>
      <c r="X135" s="427" t="s">
        <v>1660</v>
      </c>
      <c r="Y135" s="429" t="s">
        <v>1660</v>
      </c>
      <c r="Z135" s="172" t="s">
        <v>34</v>
      </c>
      <c r="AA135" s="166" t="s">
        <v>34</v>
      </c>
      <c r="AB135">
        <f t="shared" si="22"/>
        <v>41</v>
      </c>
    </row>
    <row r="136" spans="1:28" ht="15" thickTop="1" x14ac:dyDescent="0.35">
      <c r="A136">
        <f t="shared" si="24"/>
        <v>42</v>
      </c>
      <c r="B136" s="233" t="str">
        <f t="shared" si="23"/>
        <v>China A threaten to invade Taiwan D</v>
      </c>
      <c r="C136" s="652"/>
      <c r="D136" s="652"/>
      <c r="E136" s="653"/>
      <c r="F136" s="653"/>
      <c r="G136" s="653"/>
      <c r="H136" s="653"/>
      <c r="I136" s="654"/>
      <c r="J136" s="654"/>
      <c r="K136" s="654"/>
      <c r="L136" s="654"/>
      <c r="M136" s="654"/>
      <c r="N136" s="654"/>
      <c r="O136" s="654"/>
      <c r="P136" s="655"/>
      <c r="Q136" s="655"/>
      <c r="R136" s="655"/>
      <c r="S136" s="655"/>
      <c r="T136" s="654"/>
      <c r="U136" s="653"/>
      <c r="V136" s="653"/>
      <c r="W136" s="653"/>
      <c r="X136" s="653"/>
      <c r="Y136" s="656"/>
      <c r="Z136" s="653"/>
      <c r="AA136" s="656"/>
      <c r="AB136">
        <f t="shared" si="22"/>
        <v>42</v>
      </c>
    </row>
    <row r="137" spans="1:28" x14ac:dyDescent="0.35">
      <c r="A137">
        <f t="shared" si="24"/>
        <v>43</v>
      </c>
      <c r="B137" s="104" t="str">
        <f t="shared" si="23"/>
        <v>Taiwan D</v>
      </c>
      <c r="C137" s="432" t="s">
        <v>88</v>
      </c>
      <c r="D137" s="455" t="s">
        <v>88</v>
      </c>
      <c r="E137" s="427" t="s">
        <v>1433</v>
      </c>
      <c r="F137" s="427" t="s">
        <v>1433</v>
      </c>
      <c r="G137" s="427" t="s">
        <v>88</v>
      </c>
      <c r="H137" s="427" t="s">
        <v>35</v>
      </c>
      <c r="I137" s="455" t="s">
        <v>1546</v>
      </c>
      <c r="J137" s="455" t="s">
        <v>1546</v>
      </c>
      <c r="K137" s="455" t="s">
        <v>1546</v>
      </c>
      <c r="L137" s="455" t="s">
        <v>1546</v>
      </c>
      <c r="M137" s="455" t="s">
        <v>1546</v>
      </c>
      <c r="N137" s="455" t="s">
        <v>1546</v>
      </c>
      <c r="O137" s="455" t="s">
        <v>1546</v>
      </c>
      <c r="P137" s="455" t="s">
        <v>1546</v>
      </c>
      <c r="Q137" s="455" t="s">
        <v>1549</v>
      </c>
      <c r="R137" s="455" t="s">
        <v>1549</v>
      </c>
      <c r="S137" s="455" t="s">
        <v>1549</v>
      </c>
      <c r="T137" s="455" t="s">
        <v>1549</v>
      </c>
      <c r="U137" s="455" t="s">
        <v>1549</v>
      </c>
      <c r="V137" s="455" t="s">
        <v>1549</v>
      </c>
      <c r="W137" s="427" t="s">
        <v>1548</v>
      </c>
      <c r="X137" s="427" t="s">
        <v>1549</v>
      </c>
      <c r="Y137" s="429" t="s">
        <v>1550</v>
      </c>
      <c r="Z137" s="427"/>
      <c r="AA137" s="429"/>
      <c r="AB137">
        <f t="shared" si="22"/>
        <v>43</v>
      </c>
    </row>
    <row r="138" spans="1:28" x14ac:dyDescent="0.35">
      <c r="A138">
        <f t="shared" si="24"/>
        <v>44</v>
      </c>
      <c r="B138" s="104" t="str">
        <f t="shared" si="23"/>
        <v>China A (note China is not a kleptocracy which IMO makes her morally superior to the AKs)</v>
      </c>
      <c r="C138" s="432" t="s">
        <v>88</v>
      </c>
      <c r="D138" s="455" t="s">
        <v>88</v>
      </c>
      <c r="E138" s="427" t="s">
        <v>1434</v>
      </c>
      <c r="F138" s="427" t="s">
        <v>1434</v>
      </c>
      <c r="G138" s="427" t="s">
        <v>88</v>
      </c>
      <c r="H138" s="427" t="s">
        <v>35</v>
      </c>
      <c r="I138" s="455" t="s">
        <v>1558</v>
      </c>
      <c r="J138" s="455" t="s">
        <v>1558</v>
      </c>
      <c r="K138" s="455" t="s">
        <v>1558</v>
      </c>
      <c r="L138" s="455" t="s">
        <v>1558</v>
      </c>
      <c r="M138" s="455" t="s">
        <v>1558</v>
      </c>
      <c r="N138" s="455" t="s">
        <v>1558</v>
      </c>
      <c r="O138" s="455" t="s">
        <v>1558</v>
      </c>
      <c r="P138" s="455" t="s">
        <v>1558</v>
      </c>
      <c r="Q138" s="455" t="s">
        <v>1559</v>
      </c>
      <c r="R138" s="455" t="s">
        <v>1559</v>
      </c>
      <c r="S138" s="455" t="s">
        <v>1559</v>
      </c>
      <c r="T138" s="455" t="s">
        <v>1559</v>
      </c>
      <c r="U138" s="455" t="s">
        <v>1559</v>
      </c>
      <c r="V138" s="455" t="s">
        <v>1559</v>
      </c>
      <c r="W138" s="427"/>
      <c r="X138" s="468" t="s">
        <v>1560</v>
      </c>
      <c r="Y138" s="429" t="s">
        <v>1543</v>
      </c>
      <c r="Z138" s="427"/>
      <c r="AA138" s="429"/>
      <c r="AB138">
        <f t="shared" si="22"/>
        <v>44</v>
      </c>
    </row>
    <row r="139" spans="1:28" x14ac:dyDescent="0.35">
      <c r="A139">
        <f t="shared" si="24"/>
        <v>45</v>
      </c>
      <c r="B139" s="104" t="str">
        <f t="shared" si="23"/>
        <v>USA D N</v>
      </c>
      <c r="C139" s="432" t="s">
        <v>88</v>
      </c>
      <c r="D139" s="455" t="s">
        <v>88</v>
      </c>
      <c r="E139" s="427" t="s">
        <v>35</v>
      </c>
      <c r="F139" s="427" t="s">
        <v>1435</v>
      </c>
      <c r="G139" s="427" t="s">
        <v>88</v>
      </c>
      <c r="H139" s="427" t="s">
        <v>35</v>
      </c>
      <c r="I139" s="455" t="s">
        <v>1456</v>
      </c>
      <c r="J139" s="455" t="s">
        <v>1452</v>
      </c>
      <c r="K139" s="455" t="s">
        <v>1452</v>
      </c>
      <c r="L139" s="455" t="s">
        <v>1452</v>
      </c>
      <c r="M139" s="455" t="s">
        <v>1452</v>
      </c>
      <c r="N139" s="455" t="s">
        <v>1452</v>
      </c>
      <c r="O139" s="455"/>
      <c r="P139" s="455"/>
      <c r="Q139" s="455" t="s">
        <v>1452</v>
      </c>
      <c r="R139" s="455" t="s">
        <v>88</v>
      </c>
      <c r="S139" s="455" t="s">
        <v>1452</v>
      </c>
      <c r="T139" s="455" t="s">
        <v>1540</v>
      </c>
      <c r="U139" s="427" t="s">
        <v>1542</v>
      </c>
      <c r="V139" s="427"/>
      <c r="W139" s="427"/>
      <c r="X139" s="427"/>
      <c r="Y139" s="429" t="s">
        <v>1543</v>
      </c>
      <c r="Z139" s="427" t="s">
        <v>1442</v>
      </c>
      <c r="AA139" s="429" t="s">
        <v>1435</v>
      </c>
      <c r="AB139">
        <f t="shared" si="22"/>
        <v>45</v>
      </c>
    </row>
    <row r="140" spans="1:28" x14ac:dyDescent="0.35">
      <c r="A140">
        <f t="shared" si="24"/>
        <v>46</v>
      </c>
      <c r="B140" s="104" t="str">
        <f t="shared" si="23"/>
        <v>Japan D</v>
      </c>
      <c r="C140" s="432" t="s">
        <v>88</v>
      </c>
      <c r="D140" s="455" t="s">
        <v>88</v>
      </c>
      <c r="E140" s="427"/>
      <c r="F140" s="427"/>
      <c r="G140" s="427" t="s">
        <v>88</v>
      </c>
      <c r="H140" s="427" t="s">
        <v>35</v>
      </c>
      <c r="I140" s="455" t="s">
        <v>1788</v>
      </c>
      <c r="J140" s="455" t="s">
        <v>1788</v>
      </c>
      <c r="K140" s="455" t="s">
        <v>1788</v>
      </c>
      <c r="L140" s="455" t="s">
        <v>1788</v>
      </c>
      <c r="M140" s="455" t="s">
        <v>1788</v>
      </c>
      <c r="N140" s="455" t="s">
        <v>1788</v>
      </c>
      <c r="O140" s="455" t="s">
        <v>1788</v>
      </c>
      <c r="P140" s="455" t="s">
        <v>1788</v>
      </c>
      <c r="Q140" s="455" t="s">
        <v>1788</v>
      </c>
      <c r="R140" s="455" t="s">
        <v>1788</v>
      </c>
      <c r="S140" s="455" t="s">
        <v>1788</v>
      </c>
      <c r="T140" s="455" t="s">
        <v>1789</v>
      </c>
      <c r="U140" s="455" t="s">
        <v>1789</v>
      </c>
      <c r="V140" s="455" t="s">
        <v>1789</v>
      </c>
      <c r="W140" s="455" t="s">
        <v>1789</v>
      </c>
      <c r="X140" s="427" t="s">
        <v>1791</v>
      </c>
      <c r="Y140" s="429" t="s">
        <v>1791</v>
      </c>
      <c r="Z140" s="427" t="s">
        <v>34</v>
      </c>
      <c r="AA140" s="429" t="s">
        <v>34</v>
      </c>
      <c r="AB140">
        <f t="shared" si="22"/>
        <v>46</v>
      </c>
    </row>
    <row r="141" spans="1:28" x14ac:dyDescent="0.35">
      <c r="A141">
        <f t="shared" si="24"/>
        <v>47</v>
      </c>
      <c r="B141" s="104" t="str">
        <f t="shared" si="23"/>
        <v>Philippines D?</v>
      </c>
      <c r="C141" s="432" t="s">
        <v>88</v>
      </c>
      <c r="D141" s="455" t="s">
        <v>88</v>
      </c>
      <c r="E141" s="427"/>
      <c r="F141" s="427"/>
      <c r="G141" s="427" t="s">
        <v>88</v>
      </c>
      <c r="H141" s="427" t="s">
        <v>35</v>
      </c>
      <c r="I141" s="455" t="s">
        <v>1794</v>
      </c>
      <c r="J141" s="455" t="s">
        <v>1794</v>
      </c>
      <c r="K141" s="455" t="s">
        <v>1794</v>
      </c>
      <c r="L141" s="455" t="s">
        <v>1794</v>
      </c>
      <c r="M141" s="455" t="s">
        <v>1794</v>
      </c>
      <c r="N141" s="455" t="s">
        <v>1794</v>
      </c>
      <c r="O141" s="455" t="s">
        <v>1794</v>
      </c>
      <c r="P141" s="455" t="s">
        <v>1794</v>
      </c>
      <c r="Q141" s="455" t="s">
        <v>1794</v>
      </c>
      <c r="R141" s="455" t="s">
        <v>1794</v>
      </c>
      <c r="S141" s="455" t="s">
        <v>1794</v>
      </c>
      <c r="T141" s="455" t="s">
        <v>1795</v>
      </c>
      <c r="U141" s="455" t="s">
        <v>1795</v>
      </c>
      <c r="V141" s="455" t="s">
        <v>1795</v>
      </c>
      <c r="W141" s="427" t="s">
        <v>1794</v>
      </c>
      <c r="X141" s="427" t="s">
        <v>1796</v>
      </c>
      <c r="Y141" s="429" t="s">
        <v>1796</v>
      </c>
      <c r="Z141" s="427" t="s">
        <v>34</v>
      </c>
      <c r="AA141" s="429" t="s">
        <v>34</v>
      </c>
      <c r="AB141">
        <f t="shared" si="22"/>
        <v>47</v>
      </c>
    </row>
    <row r="142" spans="1:28" x14ac:dyDescent="0.35">
      <c r="A142">
        <f t="shared" si="24"/>
        <v>48</v>
      </c>
      <c r="B142" s="104" t="str">
        <f t="shared" si="23"/>
        <v>Australia D</v>
      </c>
      <c r="C142" s="612" t="s">
        <v>1345</v>
      </c>
      <c r="D142" s="455" t="s">
        <v>1345</v>
      </c>
      <c r="E142" s="468" t="s">
        <v>1417</v>
      </c>
      <c r="F142" s="427" t="s">
        <v>1417</v>
      </c>
      <c r="G142" s="427" t="s">
        <v>35</v>
      </c>
      <c r="H142" s="468" t="s">
        <v>1416</v>
      </c>
      <c r="I142" s="455" t="s">
        <v>1797</v>
      </c>
      <c r="J142" s="455" t="s">
        <v>1797</v>
      </c>
      <c r="K142" s="455" t="s">
        <v>1797</v>
      </c>
      <c r="L142" s="455" t="s">
        <v>1797</v>
      </c>
      <c r="M142" s="455" t="s">
        <v>1797</v>
      </c>
      <c r="N142" s="455" t="s">
        <v>1797</v>
      </c>
      <c r="O142" s="455" t="s">
        <v>1797</v>
      </c>
      <c r="P142" s="455" t="s">
        <v>1797</v>
      </c>
      <c r="Q142" s="455" t="s">
        <v>1798</v>
      </c>
      <c r="R142" s="455" t="s">
        <v>1798</v>
      </c>
      <c r="S142" s="455" t="s">
        <v>1798</v>
      </c>
      <c r="T142" s="455" t="s">
        <v>1800</v>
      </c>
      <c r="U142" s="455" t="s">
        <v>1800</v>
      </c>
      <c r="V142" s="455" t="s">
        <v>1800</v>
      </c>
      <c r="W142" s="427" t="s">
        <v>1799</v>
      </c>
      <c r="X142" s="427" t="s">
        <v>1798</v>
      </c>
      <c r="Y142" s="429" t="s">
        <v>1798</v>
      </c>
      <c r="Z142" s="427" t="s">
        <v>34</v>
      </c>
      <c r="AA142" s="429" t="s">
        <v>34</v>
      </c>
      <c r="AB142">
        <f t="shared" si="22"/>
        <v>48</v>
      </c>
    </row>
    <row r="143" spans="1:28" ht="15" thickBot="1" x14ac:dyDescent="0.4">
      <c r="A143">
        <f t="shared" si="24"/>
        <v>49</v>
      </c>
      <c r="B143" s="104" t="str">
        <f t="shared" si="23"/>
        <v>New Zealand D</v>
      </c>
      <c r="C143" s="612" t="s">
        <v>1635</v>
      </c>
      <c r="D143" s="455" t="s">
        <v>1635</v>
      </c>
      <c r="E143" s="468" t="s">
        <v>1636</v>
      </c>
      <c r="F143" s="468" t="s">
        <v>1636</v>
      </c>
      <c r="G143" s="427" t="s">
        <v>35</v>
      </c>
      <c r="H143" s="468" t="s">
        <v>1636</v>
      </c>
      <c r="I143" s="455" t="s">
        <v>1801</v>
      </c>
      <c r="J143" s="455" t="s">
        <v>1801</v>
      </c>
      <c r="K143" s="455" t="s">
        <v>1801</v>
      </c>
      <c r="L143" s="455" t="s">
        <v>1801</v>
      </c>
      <c r="M143" s="455" t="s">
        <v>1801</v>
      </c>
      <c r="N143" s="455" t="s">
        <v>1801</v>
      </c>
      <c r="O143" s="455" t="s">
        <v>1801</v>
      </c>
      <c r="P143" s="455" t="s">
        <v>1801</v>
      </c>
      <c r="Q143" s="455" t="s">
        <v>1801</v>
      </c>
      <c r="R143" s="455" t="s">
        <v>1801</v>
      </c>
      <c r="S143" s="455" t="s">
        <v>1801</v>
      </c>
      <c r="T143" s="455" t="s">
        <v>1802</v>
      </c>
      <c r="U143" s="455" t="s">
        <v>1802</v>
      </c>
      <c r="V143" s="455" t="s">
        <v>1802</v>
      </c>
      <c r="W143" s="455" t="s">
        <v>1802</v>
      </c>
      <c r="X143" s="427"/>
      <c r="Y143" s="429"/>
      <c r="Z143" s="427" t="s">
        <v>34</v>
      </c>
      <c r="AA143" s="429" t="s">
        <v>34</v>
      </c>
      <c r="AB143">
        <f t="shared" si="22"/>
        <v>49</v>
      </c>
    </row>
    <row r="144" spans="1:28" ht="15" thickTop="1" x14ac:dyDescent="0.35">
      <c r="A144">
        <f t="shared" si="24"/>
        <v>50</v>
      </c>
      <c r="B144" s="233" t="str">
        <f t="shared" si="23"/>
        <v>North Korea threaten to annihilate South Korea</v>
      </c>
      <c r="C144" s="646"/>
      <c r="D144" s="646"/>
      <c r="E144" s="648"/>
      <c r="F144" s="648"/>
      <c r="G144" s="648"/>
      <c r="H144" s="648"/>
      <c r="I144" s="646"/>
      <c r="J144" s="646"/>
      <c r="K144" s="646"/>
      <c r="L144" s="646"/>
      <c r="M144" s="646"/>
      <c r="N144" s="646"/>
      <c r="O144" s="646"/>
      <c r="P144" s="658"/>
      <c r="Q144" s="658"/>
      <c r="R144" s="658"/>
      <c r="S144" s="658"/>
      <c r="T144" s="646"/>
      <c r="U144" s="648"/>
      <c r="V144" s="648"/>
      <c r="W144" s="648"/>
      <c r="X144" s="648"/>
      <c r="Y144" s="650"/>
      <c r="Z144" s="657"/>
      <c r="AA144" s="676"/>
      <c r="AB144">
        <f t="shared" si="22"/>
        <v>50</v>
      </c>
    </row>
    <row r="145" spans="1:28" x14ac:dyDescent="0.35">
      <c r="A145">
        <f t="shared" si="24"/>
        <v>51</v>
      </c>
      <c r="B145" s="104" t="str">
        <f t="shared" si="23"/>
        <v xml:space="preserve">North Korea AK </v>
      </c>
      <c r="C145" s="432" t="s">
        <v>88</v>
      </c>
      <c r="D145" s="455" t="s">
        <v>88</v>
      </c>
      <c r="E145" t="s">
        <v>1441</v>
      </c>
      <c r="F145" t="s">
        <v>1441</v>
      </c>
      <c r="G145" s="427" t="s">
        <v>88</v>
      </c>
      <c r="H145" s="427" t="s">
        <v>35</v>
      </c>
      <c r="I145" t="s">
        <v>1551</v>
      </c>
      <c r="J145" t="s">
        <v>1551</v>
      </c>
      <c r="K145" t="s">
        <v>1551</v>
      </c>
      <c r="L145" t="s">
        <v>1551</v>
      </c>
      <c r="M145" t="s">
        <v>1551</v>
      </c>
      <c r="N145" t="s">
        <v>1551</v>
      </c>
      <c r="O145" t="s">
        <v>1551</v>
      </c>
      <c r="P145" t="s">
        <v>1551</v>
      </c>
      <c r="Q145" t="s">
        <v>1551</v>
      </c>
      <c r="R145" t="s">
        <v>1551</v>
      </c>
      <c r="S145" t="s">
        <v>1551</v>
      </c>
      <c r="T145" t="s">
        <v>1555</v>
      </c>
      <c r="U145" t="s">
        <v>1555</v>
      </c>
      <c r="W145" t="s">
        <v>1556</v>
      </c>
      <c r="X145" t="s">
        <v>1557</v>
      </c>
      <c r="Y145" s="25" t="s">
        <v>1543</v>
      </c>
      <c r="Z145" s="427" t="s">
        <v>34</v>
      </c>
      <c r="AA145" s="429" t="s">
        <v>34</v>
      </c>
      <c r="AB145">
        <f t="shared" si="22"/>
        <v>51</v>
      </c>
    </row>
    <row r="146" spans="1:28" ht="15" thickBot="1" x14ac:dyDescent="0.4">
      <c r="A146">
        <f t="shared" si="24"/>
        <v>52</v>
      </c>
      <c r="B146" s="106" t="str">
        <f t="shared" si="23"/>
        <v>South Korea D</v>
      </c>
      <c r="C146" s="580" t="s">
        <v>88</v>
      </c>
      <c r="D146" s="579" t="s">
        <v>88</v>
      </c>
      <c r="E146" s="14" t="s">
        <v>1440</v>
      </c>
      <c r="F146" s="14" t="s">
        <v>1440</v>
      </c>
      <c r="G146" s="606" t="s">
        <v>88</v>
      </c>
      <c r="H146" s="606" t="s">
        <v>35</v>
      </c>
      <c r="I146" s="14" t="s">
        <v>1561</v>
      </c>
      <c r="J146" s="14" t="s">
        <v>1561</v>
      </c>
      <c r="K146" s="14" t="s">
        <v>1561</v>
      </c>
      <c r="L146" s="14" t="s">
        <v>1561</v>
      </c>
      <c r="M146" s="14" t="s">
        <v>1561</v>
      </c>
      <c r="N146" s="14" t="s">
        <v>1561</v>
      </c>
      <c r="O146" s="14" t="s">
        <v>1561</v>
      </c>
      <c r="P146" s="14" t="s">
        <v>1561</v>
      </c>
      <c r="Q146" s="14" t="s">
        <v>1563</v>
      </c>
      <c r="R146" s="14" t="s">
        <v>1563</v>
      </c>
      <c r="S146" s="14" t="s">
        <v>1563</v>
      </c>
      <c r="T146" s="14" t="s">
        <v>1564</v>
      </c>
      <c r="U146" s="14" t="s">
        <v>1564</v>
      </c>
      <c r="V146" s="14" t="s">
        <v>1564</v>
      </c>
      <c r="W146" s="14" t="s">
        <v>1562</v>
      </c>
      <c r="X146" s="14" t="s">
        <v>1565</v>
      </c>
      <c r="Y146" s="28" t="s">
        <v>1565</v>
      </c>
      <c r="Z146" s="606" t="s">
        <v>34</v>
      </c>
      <c r="AA146" s="661" t="s">
        <v>34</v>
      </c>
      <c r="AB146">
        <f t="shared" si="22"/>
        <v>52</v>
      </c>
    </row>
    <row r="147" spans="1:28" ht="15" thickTop="1" x14ac:dyDescent="0.35">
      <c r="A147">
        <f t="shared" si="24"/>
        <v>53</v>
      </c>
      <c r="B147" s="189" t="str">
        <f t="shared" si="23"/>
        <v xml:space="preserve">Iran-Turkey/Islamists proxies trying to annihilate Israel </v>
      </c>
      <c r="C147" s="575"/>
      <c r="D147" s="576"/>
      <c r="E147" s="577"/>
      <c r="F147" s="577"/>
      <c r="G147" s="577"/>
      <c r="H147" s="577"/>
      <c r="I147" s="576"/>
      <c r="J147" s="576"/>
      <c r="K147" s="576"/>
      <c r="L147" s="576"/>
      <c r="M147" s="576"/>
      <c r="N147" s="576"/>
      <c r="O147" s="576"/>
      <c r="P147" s="576"/>
      <c r="Q147" s="576"/>
      <c r="R147" s="576"/>
      <c r="S147" s="576"/>
      <c r="T147" s="576"/>
      <c r="U147" s="577"/>
      <c r="V147" s="577"/>
      <c r="W147" s="577"/>
      <c r="X147" s="577"/>
      <c r="Y147" s="578"/>
      <c r="Z147" s="577"/>
      <c r="AA147" s="578"/>
      <c r="AB147">
        <f t="shared" si="22"/>
        <v>53</v>
      </c>
    </row>
    <row r="148" spans="1:28" x14ac:dyDescent="0.35">
      <c r="A148">
        <f t="shared" si="24"/>
        <v>54</v>
      </c>
      <c r="B148" s="104" t="str">
        <f t="shared" si="23"/>
        <v>Israel D</v>
      </c>
      <c r="C148" s="432" t="s">
        <v>88</v>
      </c>
      <c r="D148" s="455" t="s">
        <v>88</v>
      </c>
      <c r="E148" s="427" t="s">
        <v>1378</v>
      </c>
      <c r="F148" s="468" t="s">
        <v>1378</v>
      </c>
      <c r="G148" s="427" t="s">
        <v>88</v>
      </c>
      <c r="H148" s="427" t="s">
        <v>35</v>
      </c>
      <c r="I148" s="425" t="s">
        <v>1377</v>
      </c>
      <c r="J148" s="425" t="s">
        <v>1377</v>
      </c>
      <c r="K148" s="425" t="s">
        <v>1377</v>
      </c>
      <c r="L148" s="425" t="s">
        <v>1377</v>
      </c>
      <c r="M148" s="425" t="s">
        <v>1377</v>
      </c>
      <c r="N148" s="425" t="s">
        <v>1377</v>
      </c>
      <c r="O148" s="425" t="s">
        <v>1377</v>
      </c>
      <c r="P148" s="574" t="str">
        <f>WeaponsSpecs!P89</f>
        <v>&gt;150 in Israeli service is my best guess Germany has ordered 140 and India has at least 15 and other countries as well</v>
      </c>
      <c r="Q148" s="574" t="s">
        <v>1377</v>
      </c>
      <c r="R148" s="574"/>
      <c r="S148" s="574"/>
      <c r="T148" t="s">
        <v>1379</v>
      </c>
      <c r="U148" s="395" t="s">
        <v>1379</v>
      </c>
      <c r="V148" s="468" t="s">
        <v>1380</v>
      </c>
      <c r="W148" s="427"/>
      <c r="X148" s="427" t="s">
        <v>1369</v>
      </c>
      <c r="Y148" s="429" t="s">
        <v>1369</v>
      </c>
      <c r="Z148" s="427"/>
      <c r="AA148" s="429"/>
      <c r="AB148">
        <f t="shared" si="22"/>
        <v>54</v>
      </c>
    </row>
    <row r="149" spans="1:28" x14ac:dyDescent="0.35">
      <c r="A149">
        <f t="shared" si="24"/>
        <v>55</v>
      </c>
      <c r="B149" s="104" t="str">
        <f t="shared" si="23"/>
        <v>Iran AK</v>
      </c>
      <c r="C149" s="432" t="s">
        <v>88</v>
      </c>
      <c r="D149" s="455" t="s">
        <v>88</v>
      </c>
      <c r="E149" s="427"/>
      <c r="F149" s="427"/>
      <c r="G149" s="427" t="s">
        <v>88</v>
      </c>
      <c r="H149" s="427" t="s">
        <v>1424</v>
      </c>
      <c r="I149" s="574" t="s">
        <v>1533</v>
      </c>
      <c r="J149" s="574" t="s">
        <v>1533</v>
      </c>
      <c r="K149" s="574" t="s">
        <v>1533</v>
      </c>
      <c r="L149" s="574" t="s">
        <v>1533</v>
      </c>
      <c r="M149" s="574" t="s">
        <v>1533</v>
      </c>
      <c r="N149" s="574" t="s">
        <v>1533</v>
      </c>
      <c r="O149" s="574" t="s">
        <v>1533</v>
      </c>
      <c r="P149" s="561" t="s">
        <v>34</v>
      </c>
      <c r="Q149" s="574" t="s">
        <v>1533</v>
      </c>
      <c r="R149" s="574" t="s">
        <v>1533</v>
      </c>
      <c r="S149" s="574" t="s">
        <v>1533</v>
      </c>
      <c r="T149" s="574" t="s">
        <v>1534</v>
      </c>
      <c r="U149" s="574" t="s">
        <v>1534</v>
      </c>
      <c r="V149" s="574" t="s">
        <v>1534</v>
      </c>
      <c r="W149" s="427" t="s">
        <v>1537</v>
      </c>
      <c r="X149" s="427" t="s">
        <v>1539</v>
      </c>
      <c r="Y149" s="429" t="s">
        <v>1538</v>
      </c>
      <c r="Z149" s="427"/>
      <c r="AA149" s="429"/>
      <c r="AB149">
        <f t="shared" si="22"/>
        <v>55</v>
      </c>
    </row>
    <row r="150" spans="1:28" x14ac:dyDescent="0.35">
      <c r="A150">
        <f t="shared" si="24"/>
        <v>56</v>
      </c>
      <c r="B150" s="104" t="str">
        <f t="shared" si="23"/>
        <v>Turkey AK N (Islamist rule opposition is oppressed want Israel destroyed)</v>
      </c>
      <c r="C150" s="432" t="s">
        <v>1807</v>
      </c>
      <c r="D150" s="455" t="s">
        <v>1807</v>
      </c>
      <c r="E150" s="427" t="s">
        <v>1808</v>
      </c>
      <c r="F150" s="427" t="s">
        <v>1808</v>
      </c>
      <c r="G150" s="427" t="s">
        <v>35</v>
      </c>
      <c r="H150" s="427" t="s">
        <v>1808</v>
      </c>
      <c r="I150" s="574" t="s">
        <v>1804</v>
      </c>
      <c r="J150" s="574" t="s">
        <v>1804</v>
      </c>
      <c r="K150" s="574" t="s">
        <v>1804</v>
      </c>
      <c r="L150" s="574" t="s">
        <v>1804</v>
      </c>
      <c r="M150" s="574" t="s">
        <v>1804</v>
      </c>
      <c r="N150" s="574" t="s">
        <v>1804</v>
      </c>
      <c r="O150" s="574" t="s">
        <v>1804</v>
      </c>
      <c r="P150" s="574" t="s">
        <v>1804</v>
      </c>
      <c r="Q150" s="574" t="s">
        <v>1804</v>
      </c>
      <c r="R150" s="574" t="s">
        <v>1804</v>
      </c>
      <c r="S150" s="574" t="s">
        <v>1804</v>
      </c>
      <c r="T150" s="574" t="s">
        <v>1805</v>
      </c>
      <c r="U150" s="574" t="s">
        <v>1805</v>
      </c>
      <c r="V150" s="574" t="s">
        <v>1805</v>
      </c>
      <c r="W150" s="574" t="s">
        <v>1805</v>
      </c>
      <c r="X150" s="427" t="s">
        <v>34</v>
      </c>
      <c r="Y150" s="429"/>
      <c r="Z150" s="427" t="s">
        <v>34</v>
      </c>
      <c r="AA150" s="429"/>
      <c r="AB150">
        <f t="shared" si="22"/>
        <v>56</v>
      </c>
    </row>
    <row r="151" spans="1:28" x14ac:dyDescent="0.35">
      <c r="A151">
        <f t="shared" si="24"/>
        <v>57</v>
      </c>
      <c r="B151" s="587" t="str">
        <f t="shared" si="23"/>
        <v>Syria, all AK (a failed dysfunctional state)</v>
      </c>
      <c r="C151" s="589" t="s">
        <v>1344</v>
      </c>
      <c r="D151" s="590" t="s">
        <v>1344</v>
      </c>
      <c r="E151" s="591" t="s">
        <v>1411</v>
      </c>
      <c r="F151" s="591" t="s">
        <v>1411</v>
      </c>
      <c r="G151" s="591" t="s">
        <v>35</v>
      </c>
      <c r="H151" s="609" t="s">
        <v>1411</v>
      </c>
      <c r="I151" s="641" t="s">
        <v>1409</v>
      </c>
      <c r="J151" s="641" t="s">
        <v>1409</v>
      </c>
      <c r="K151" s="641" t="s">
        <v>1409</v>
      </c>
      <c r="L151" s="641" t="s">
        <v>1409</v>
      </c>
      <c r="M151" s="641" t="s">
        <v>1409</v>
      </c>
      <c r="N151" s="641" t="s">
        <v>1409</v>
      </c>
      <c r="O151" s="641" t="s">
        <v>1409</v>
      </c>
      <c r="P151" s="592"/>
      <c r="Q151" s="641" t="s">
        <v>1409</v>
      </c>
      <c r="R151" s="641" t="s">
        <v>1409</v>
      </c>
      <c r="S151" s="641" t="s">
        <v>1409</v>
      </c>
      <c r="T151" s="592" t="s">
        <v>1412</v>
      </c>
      <c r="U151" s="591" t="s">
        <v>1412</v>
      </c>
      <c r="V151" s="591" t="s">
        <v>1412</v>
      </c>
      <c r="W151" s="591" t="s">
        <v>34</v>
      </c>
      <c r="X151" s="609" t="s">
        <v>1413</v>
      </c>
      <c r="Y151" s="594" t="s">
        <v>34</v>
      </c>
      <c r="Z151" s="591" t="s">
        <v>34</v>
      </c>
      <c r="AA151" s="594"/>
      <c r="AB151">
        <f t="shared" si="22"/>
        <v>57</v>
      </c>
    </row>
    <row r="152" spans="1:28" x14ac:dyDescent="0.35">
      <c r="A152">
        <f t="shared" si="24"/>
        <v>58</v>
      </c>
      <c r="B152" s="587" t="str">
        <f t="shared" si="23"/>
        <v xml:space="preserve"> - Damascus (Syrian capital)</v>
      </c>
      <c r="C152" s="590"/>
      <c r="D152" s="590"/>
      <c r="E152" s="591"/>
      <c r="F152" s="591"/>
      <c r="G152" s="591"/>
      <c r="H152" s="591"/>
      <c r="I152" s="592"/>
      <c r="J152" s="592"/>
      <c r="K152" s="592"/>
      <c r="L152" s="592"/>
      <c r="M152" s="592"/>
      <c r="N152" s="592"/>
      <c r="O152" s="592"/>
      <c r="P152" s="593"/>
      <c r="Q152" s="593"/>
      <c r="R152" s="593"/>
      <c r="S152" s="593"/>
      <c r="T152" s="592"/>
      <c r="U152" s="591"/>
      <c r="V152" s="591"/>
      <c r="W152" s="591"/>
      <c r="X152" s="591"/>
      <c r="Y152" s="594"/>
      <c r="Z152" s="591"/>
      <c r="AA152" s="594"/>
      <c r="AB152">
        <f t="shared" si="22"/>
        <v>58</v>
      </c>
    </row>
    <row r="153" spans="1:28" x14ac:dyDescent="0.35">
      <c r="A153">
        <f t="shared" si="24"/>
        <v>59</v>
      </c>
      <c r="B153" s="587" t="str">
        <f t="shared" si="23"/>
        <v>Syria, 13% Shia rulers with Russia and Iran aid</v>
      </c>
      <c r="C153" s="590"/>
      <c r="D153" s="590"/>
      <c r="E153" s="591"/>
      <c r="F153" s="591"/>
      <c r="G153" s="591"/>
      <c r="H153" s="591"/>
      <c r="I153" s="592"/>
      <c r="J153" s="592"/>
      <c r="K153" s="592"/>
      <c r="L153" s="592"/>
      <c r="M153" s="592"/>
      <c r="N153" s="592"/>
      <c r="O153" s="592"/>
      <c r="P153" s="593"/>
      <c r="Q153" s="593"/>
      <c r="R153" s="593"/>
      <c r="S153" s="593"/>
      <c r="T153" s="592"/>
      <c r="U153" s="591"/>
      <c r="V153" s="591"/>
      <c r="W153" s="591"/>
      <c r="X153" s="591"/>
      <c r="Y153" s="594"/>
      <c r="Z153" s="591"/>
      <c r="AA153" s="594"/>
      <c r="AB153">
        <f t="shared" si="22"/>
        <v>59</v>
      </c>
    </row>
    <row r="154" spans="1:28" x14ac:dyDescent="0.35">
      <c r="A154">
        <f t="shared" si="24"/>
        <v>60</v>
      </c>
      <c r="B154" s="587" t="str">
        <f t="shared" si="23"/>
        <v>Syria, 8.5% Kurds, Sunni</v>
      </c>
      <c r="C154" s="590"/>
      <c r="D154" s="590"/>
      <c r="E154" s="591"/>
      <c r="F154" s="591"/>
      <c r="G154" s="591"/>
      <c r="H154" s="591"/>
      <c r="I154" s="592"/>
      <c r="J154" s="592"/>
      <c r="K154" s="592"/>
      <c r="L154" s="592"/>
      <c r="M154" s="592"/>
      <c r="N154" s="592"/>
      <c r="O154" s="592"/>
      <c r="P154" s="593"/>
      <c r="Q154" s="593"/>
      <c r="R154" s="593"/>
      <c r="S154" s="593"/>
      <c r="T154" s="592"/>
      <c r="U154" s="591"/>
      <c r="V154" s="591"/>
      <c r="W154" s="591"/>
      <c r="X154" s="591"/>
      <c r="Y154" s="594"/>
      <c r="Z154" s="591"/>
      <c r="AA154" s="594"/>
      <c r="AB154">
        <f t="shared" si="22"/>
        <v>60</v>
      </c>
    </row>
    <row r="155" spans="1:28" x14ac:dyDescent="0.35">
      <c r="A155">
        <f t="shared" si="24"/>
        <v>61</v>
      </c>
      <c r="B155" s="587" t="str">
        <f t="shared" si="23"/>
        <v>Syria, 3% Turkmens Sunni</v>
      </c>
      <c r="C155" s="590"/>
      <c r="D155" s="590"/>
      <c r="E155" s="591"/>
      <c r="F155" s="591"/>
      <c r="G155" s="591"/>
      <c r="H155" s="591"/>
      <c r="I155" s="592"/>
      <c r="J155" s="592"/>
      <c r="K155" s="592"/>
      <c r="L155" s="592"/>
      <c r="M155" s="592"/>
      <c r="N155" s="592"/>
      <c r="O155" s="592"/>
      <c r="P155" s="593"/>
      <c r="Q155" s="593"/>
      <c r="R155" s="593"/>
      <c r="S155" s="593"/>
      <c r="T155" s="592"/>
      <c r="U155" s="591"/>
      <c r="V155" s="591"/>
      <c r="W155" s="591"/>
      <c r="X155" s="591"/>
      <c r="Y155" s="594"/>
      <c r="Z155" s="591"/>
      <c r="AA155" s="594"/>
      <c r="AB155">
        <f t="shared" si="22"/>
        <v>61</v>
      </c>
    </row>
    <row r="156" spans="1:28" x14ac:dyDescent="0.35">
      <c r="A156">
        <f t="shared" si="24"/>
        <v>62</v>
      </c>
      <c r="B156" s="587" t="str">
        <f t="shared" si="23"/>
        <v>Syria, 62.5% Other Sunni AQ, ISIS + good Sunni</v>
      </c>
      <c r="C156" s="590"/>
      <c r="D156" s="590"/>
      <c r="E156" s="591"/>
      <c r="F156" s="591"/>
      <c r="G156" s="591"/>
      <c r="H156" s="591"/>
      <c r="I156" s="592"/>
      <c r="J156" s="592"/>
      <c r="K156" s="592"/>
      <c r="L156" s="592"/>
      <c r="M156" s="592"/>
      <c r="N156" s="592"/>
      <c r="O156" s="592"/>
      <c r="P156" s="593"/>
      <c r="Q156" s="593"/>
      <c r="R156" s="593"/>
      <c r="S156" s="593"/>
      <c r="T156" s="592"/>
      <c r="U156" s="591"/>
      <c r="V156" s="591"/>
      <c r="W156" s="591"/>
      <c r="X156" s="591"/>
      <c r="Y156" s="594"/>
      <c r="Z156" s="591"/>
      <c r="AA156" s="594"/>
      <c r="AB156">
        <f t="shared" si="22"/>
        <v>62</v>
      </c>
    </row>
    <row r="157" spans="1:28" x14ac:dyDescent="0.35">
      <c r="A157">
        <f t="shared" si="24"/>
        <v>63</v>
      </c>
      <c r="B157" s="587" t="str">
        <f t="shared" si="23"/>
        <v>Syria, 10% Christians</v>
      </c>
      <c r="C157" s="590"/>
      <c r="D157" s="590"/>
      <c r="E157" s="591"/>
      <c r="F157" s="591"/>
      <c r="G157" s="591"/>
      <c r="H157" s="591"/>
      <c r="I157" s="592"/>
      <c r="J157" s="592"/>
      <c r="K157" s="592"/>
      <c r="L157" s="592"/>
      <c r="M157" s="592"/>
      <c r="N157" s="592"/>
      <c r="O157" s="592"/>
      <c r="P157" s="593"/>
      <c r="Q157" s="593"/>
      <c r="R157" s="593"/>
      <c r="S157" s="593"/>
      <c r="T157" s="592"/>
      <c r="U157" s="591"/>
      <c r="V157" s="591"/>
      <c r="W157" s="591"/>
      <c r="X157" s="591"/>
      <c r="Y157" s="594"/>
      <c r="Z157" s="591"/>
      <c r="AA157" s="594"/>
      <c r="AB157">
        <f t="shared" si="22"/>
        <v>63</v>
      </c>
    </row>
    <row r="158" spans="1:28" x14ac:dyDescent="0.35">
      <c r="A158">
        <f t="shared" si="24"/>
        <v>64</v>
      </c>
      <c r="B158" s="587" t="str">
        <f t="shared" si="23"/>
        <v>Syria, 3% Druze</v>
      </c>
      <c r="C158" s="590"/>
      <c r="D158" s="590"/>
      <c r="E158" s="591"/>
      <c r="F158" s="591"/>
      <c r="G158" s="591"/>
      <c r="H158" s="591"/>
      <c r="I158" s="592"/>
      <c r="J158" s="592"/>
      <c r="K158" s="592"/>
      <c r="L158" s="592"/>
      <c r="M158" s="592"/>
      <c r="N158" s="592"/>
      <c r="O158" s="592"/>
      <c r="P158" s="593"/>
      <c r="Q158" s="593"/>
      <c r="R158" s="593"/>
      <c r="S158" s="593"/>
      <c r="T158" s="592"/>
      <c r="U158" s="591"/>
      <c r="V158" s="591"/>
      <c r="W158" s="591"/>
      <c r="X158" s="591"/>
      <c r="Y158" s="594"/>
      <c r="Z158" s="591"/>
      <c r="AA158" s="594"/>
      <c r="AB158">
        <f t="shared" si="22"/>
        <v>64</v>
      </c>
    </row>
    <row r="159" spans="1:28" x14ac:dyDescent="0.35">
      <c r="A159">
        <f t="shared" si="24"/>
        <v>65</v>
      </c>
      <c r="B159" s="582" t="str">
        <f t="shared" ref="B159:B169" si="25">B73</f>
        <v>Lebanon, all AK (a failed dysfunctional state)</v>
      </c>
      <c r="C159" s="595" t="s">
        <v>1342</v>
      </c>
      <c r="D159" s="595" t="s">
        <v>1342</v>
      </c>
      <c r="E159" s="596" t="s">
        <v>1370</v>
      </c>
      <c r="F159" s="596" t="s">
        <v>1370</v>
      </c>
      <c r="G159" s="596"/>
      <c r="H159" s="596" t="s">
        <v>156</v>
      </c>
      <c r="I159" s="597"/>
      <c r="J159" s="597"/>
      <c r="K159" s="597"/>
      <c r="L159" s="597" t="s">
        <v>1377</v>
      </c>
      <c r="M159" s="597"/>
      <c r="N159" s="597"/>
      <c r="O159" s="597"/>
      <c r="P159" s="598"/>
      <c r="Q159" s="598"/>
      <c r="R159" s="598"/>
      <c r="S159" s="598"/>
      <c r="T159" s="597"/>
      <c r="U159" s="596"/>
      <c r="V159" s="596"/>
      <c r="W159" s="596"/>
      <c r="X159" s="596"/>
      <c r="Y159" s="599"/>
      <c r="Z159" s="596" t="s">
        <v>34</v>
      </c>
      <c r="AA159" s="599"/>
      <c r="AB159">
        <f t="shared" si="22"/>
        <v>65</v>
      </c>
    </row>
    <row r="160" spans="1:28" x14ac:dyDescent="0.35">
      <c r="A160">
        <f t="shared" si="24"/>
        <v>66</v>
      </c>
      <c r="B160" s="582" t="str">
        <f t="shared" si="25"/>
        <v xml:space="preserve"> - Beirut (Lebanon capital)</v>
      </c>
      <c r="C160" s="600" t="s">
        <v>34</v>
      </c>
      <c r="D160" s="595" t="s">
        <v>1343</v>
      </c>
      <c r="E160" s="596"/>
      <c r="F160" s="596"/>
      <c r="G160" s="596"/>
      <c r="H160" s="596"/>
      <c r="I160" s="597"/>
      <c r="J160" s="597"/>
      <c r="K160" s="597"/>
      <c r="L160" s="597"/>
      <c r="M160" s="597"/>
      <c r="N160" s="597"/>
      <c r="O160" s="597"/>
      <c r="P160" s="598"/>
      <c r="Q160" s="598"/>
      <c r="R160" s="598"/>
      <c r="S160" s="598"/>
      <c r="T160" s="597"/>
      <c r="U160" s="596"/>
      <c r="V160" s="596"/>
      <c r="W160" s="596"/>
      <c r="X160" s="596"/>
      <c r="Y160" s="599"/>
      <c r="Z160" s="596" t="s">
        <v>34</v>
      </c>
      <c r="AA160" s="599"/>
      <c r="AB160">
        <f t="shared" si="22"/>
        <v>66</v>
      </c>
    </row>
    <row r="161" spans="1:32" x14ac:dyDescent="0.35">
      <c r="A161">
        <f t="shared" si="24"/>
        <v>67</v>
      </c>
      <c r="B161" s="582" t="str">
        <f t="shared" si="25"/>
        <v>Lebanon, 27% Shia, Hizballah + good Shia</v>
      </c>
      <c r="C161" s="600"/>
      <c r="D161" s="600"/>
      <c r="E161" s="596" t="s">
        <v>1371</v>
      </c>
      <c r="F161" s="596" t="s">
        <v>1371</v>
      </c>
      <c r="G161" s="596"/>
      <c r="H161" s="596"/>
      <c r="I161" s="597"/>
      <c r="J161" s="597"/>
      <c r="K161" s="597"/>
      <c r="L161" s="597"/>
      <c r="M161" s="597"/>
      <c r="N161" s="597"/>
      <c r="O161" s="597"/>
      <c r="P161" s="598"/>
      <c r="Q161" s="598"/>
      <c r="R161" s="598"/>
      <c r="S161" s="598"/>
      <c r="T161" s="597"/>
      <c r="U161" s="596"/>
      <c r="V161" s="596"/>
      <c r="W161" s="596"/>
      <c r="X161" s="596"/>
      <c r="Y161" s="599"/>
      <c r="Z161" s="596"/>
      <c r="AA161" s="599"/>
      <c r="AB161">
        <f t="shared" si="22"/>
        <v>67</v>
      </c>
      <c r="AC161" t="s">
        <v>1372</v>
      </c>
    </row>
    <row r="162" spans="1:32" x14ac:dyDescent="0.35">
      <c r="A162">
        <f t="shared" si="24"/>
        <v>68</v>
      </c>
      <c r="B162" s="582" t="str">
        <f t="shared" si="25"/>
        <v>Lebanon, 27% Sunni, AQ, ISIS, Hamas + good Sunni</v>
      </c>
      <c r="C162" s="600"/>
      <c r="D162" s="600"/>
      <c r="E162" s="596"/>
      <c r="F162" s="596"/>
      <c r="G162" s="596"/>
      <c r="H162" s="596"/>
      <c r="I162" s="597"/>
      <c r="J162" s="597"/>
      <c r="K162" s="597"/>
      <c r="L162" s="597"/>
      <c r="M162" s="597"/>
      <c r="N162" s="597"/>
      <c r="O162" s="597"/>
      <c r="P162" s="598"/>
      <c r="Q162" s="598"/>
      <c r="R162" s="598"/>
      <c r="S162" s="598"/>
      <c r="T162" s="597"/>
      <c r="U162" s="596"/>
      <c r="V162" s="596"/>
      <c r="W162" s="596"/>
      <c r="X162" s="596"/>
      <c r="Y162" s="599"/>
      <c r="Z162" s="596"/>
      <c r="AA162" s="599"/>
      <c r="AB162">
        <f t="shared" ref="AB162:AB169" si="26">AB161+1</f>
        <v>68</v>
      </c>
    </row>
    <row r="163" spans="1:32" x14ac:dyDescent="0.35">
      <c r="A163">
        <f t="shared" si="24"/>
        <v>69</v>
      </c>
      <c r="B163" s="582" t="str">
        <f t="shared" si="25"/>
        <v>Lebanon, 41%, Christians</v>
      </c>
      <c r="C163" s="600"/>
      <c r="D163" s="600"/>
      <c r="E163" s="596"/>
      <c r="F163" s="596"/>
      <c r="G163" s="596"/>
      <c r="H163" s="596"/>
      <c r="I163" s="597"/>
      <c r="J163" s="597"/>
      <c r="K163" s="597"/>
      <c r="L163" s="597"/>
      <c r="M163" s="597"/>
      <c r="N163" s="597"/>
      <c r="O163" s="597"/>
      <c r="P163" s="598"/>
      <c r="Q163" s="598"/>
      <c r="R163" s="598"/>
      <c r="S163" s="598"/>
      <c r="T163" s="597"/>
      <c r="U163" s="596"/>
      <c r="V163" s="596"/>
      <c r="W163" s="596"/>
      <c r="X163" s="596"/>
      <c r="Y163" s="599"/>
      <c r="Z163" s="596"/>
      <c r="AA163" s="599"/>
      <c r="AB163">
        <f t="shared" si="26"/>
        <v>69</v>
      </c>
    </row>
    <row r="164" spans="1:32" x14ac:dyDescent="0.35">
      <c r="A164">
        <f t="shared" si="24"/>
        <v>70</v>
      </c>
      <c r="B164" s="582" t="str">
        <f t="shared" si="25"/>
        <v>Lebanon 5% Druze</v>
      </c>
      <c r="C164" s="600"/>
      <c r="D164" s="600"/>
      <c r="E164" s="596"/>
      <c r="F164" s="596"/>
      <c r="G164" s="596"/>
      <c r="H164" s="596"/>
      <c r="I164" s="597"/>
      <c r="J164" s="597"/>
      <c r="K164" s="597"/>
      <c r="L164" s="597"/>
      <c r="M164" s="597"/>
      <c r="N164" s="597"/>
      <c r="O164" s="597"/>
      <c r="P164" s="598"/>
      <c r="Q164" s="598"/>
      <c r="R164" s="598"/>
      <c r="S164" s="598"/>
      <c r="T164" s="597"/>
      <c r="U164" s="596"/>
      <c r="V164" s="596"/>
      <c r="W164" s="596"/>
      <c r="X164" s="596"/>
      <c r="Y164" s="599"/>
      <c r="Z164" s="596"/>
      <c r="AA164" s="599"/>
      <c r="AB164">
        <f t="shared" si="26"/>
        <v>70</v>
      </c>
    </row>
    <row r="165" spans="1:32" x14ac:dyDescent="0.35">
      <c r="A165">
        <f t="shared" si="24"/>
        <v>71</v>
      </c>
      <c r="B165" s="104" t="str">
        <f t="shared" si="25"/>
        <v>Yemen, all AK (failed state)</v>
      </c>
      <c r="C165" s="455" t="s">
        <v>1347</v>
      </c>
      <c r="D165" s="455" t="s">
        <v>1347</v>
      </c>
      <c r="E165" s="468" t="s">
        <v>1414</v>
      </c>
      <c r="F165" s="427" t="s">
        <v>1414</v>
      </c>
      <c r="G165" s="427" t="s">
        <v>1414</v>
      </c>
      <c r="H165" s="468" t="s">
        <v>1414</v>
      </c>
      <c r="I165" s="574"/>
      <c r="J165" s="574"/>
      <c r="K165" s="574"/>
      <c r="L165" s="574"/>
      <c r="M165" s="574"/>
      <c r="N165" s="574"/>
      <c r="O165" s="574"/>
      <c r="P165" s="561"/>
      <c r="Q165" s="561"/>
      <c r="R165" s="561"/>
      <c r="S165" s="561"/>
      <c r="T165" s="574"/>
      <c r="U165" s="427"/>
      <c r="V165" s="427"/>
      <c r="W165" s="427"/>
      <c r="X165" s="427"/>
      <c r="Y165" s="429"/>
      <c r="Z165" s="427" t="s">
        <v>34</v>
      </c>
      <c r="AA165" s="429"/>
      <c r="AB165">
        <f t="shared" si="26"/>
        <v>71</v>
      </c>
      <c r="AF165" t="s">
        <v>1347</v>
      </c>
    </row>
    <row r="166" spans="1:32" x14ac:dyDescent="0.35">
      <c r="A166">
        <f t="shared" si="24"/>
        <v>72</v>
      </c>
      <c r="B166" s="104" t="str">
        <f t="shared" si="25"/>
        <v xml:space="preserve">Yemen 35% Shia Houthis controlled </v>
      </c>
      <c r="C166" s="455" t="s">
        <v>1656</v>
      </c>
      <c r="D166" s="455" t="s">
        <v>1656</v>
      </c>
      <c r="E166" s="427"/>
      <c r="F166" s="427"/>
      <c r="G166" s="427" t="s">
        <v>35</v>
      </c>
      <c r="H166" s="427" t="s">
        <v>1415</v>
      </c>
      <c r="I166" s="574"/>
      <c r="J166" s="574"/>
      <c r="K166" s="574"/>
      <c r="L166" s="574"/>
      <c r="M166" s="574"/>
      <c r="N166" s="574"/>
      <c r="O166" s="574"/>
      <c r="P166" s="561"/>
      <c r="Q166" s="561"/>
      <c r="R166" s="561"/>
      <c r="S166" s="561"/>
      <c r="T166" s="574"/>
      <c r="U166" s="427"/>
      <c r="V166" s="427"/>
      <c r="W166" s="427"/>
      <c r="X166" s="427"/>
      <c r="Y166" s="429"/>
      <c r="Z166" s="427" t="s">
        <v>34</v>
      </c>
      <c r="AA166" s="429"/>
      <c r="AB166">
        <f t="shared" si="26"/>
        <v>72</v>
      </c>
    </row>
    <row r="167" spans="1:32" x14ac:dyDescent="0.35">
      <c r="A167">
        <f t="shared" si="24"/>
        <v>73</v>
      </c>
      <c r="B167" s="104" t="str">
        <f t="shared" si="25"/>
        <v>Egypt A</v>
      </c>
      <c r="C167" s="455" t="s">
        <v>1348</v>
      </c>
      <c r="D167" s="455" t="s">
        <v>1348</v>
      </c>
      <c r="E167" s="427" t="s">
        <v>1410</v>
      </c>
      <c r="F167" s="427" t="s">
        <v>1410</v>
      </c>
      <c r="G167" s="468" t="s">
        <v>1410</v>
      </c>
      <c r="H167" s="427" t="s">
        <v>35</v>
      </c>
      <c r="I167" s="574"/>
      <c r="J167" s="574"/>
      <c r="K167" s="574"/>
      <c r="L167" s="574"/>
      <c r="M167" s="574"/>
      <c r="N167" s="574"/>
      <c r="O167" s="574"/>
      <c r="P167" s="561"/>
      <c r="Q167" s="561"/>
      <c r="R167" s="561"/>
      <c r="S167" s="561"/>
      <c r="T167" s="574"/>
      <c r="U167" s="427"/>
      <c r="V167" s="427"/>
      <c r="W167" s="427"/>
      <c r="X167" s="427"/>
      <c r="Y167" s="429"/>
      <c r="Z167" s="427" t="s">
        <v>34</v>
      </c>
      <c r="AA167" s="429"/>
      <c r="AB167">
        <f t="shared" si="26"/>
        <v>73</v>
      </c>
    </row>
    <row r="168" spans="1:32" x14ac:dyDescent="0.35">
      <c r="A168">
        <f t="shared" si="24"/>
        <v>74</v>
      </c>
      <c r="B168" s="104" t="str">
        <f t="shared" si="25"/>
        <v>Jordan A (not a failed state but close)</v>
      </c>
      <c r="C168" s="455" t="s">
        <v>1349</v>
      </c>
      <c r="D168" s="455" t="s">
        <v>1349</v>
      </c>
      <c r="E168" s="4" t="s">
        <v>1429</v>
      </c>
      <c r="F168" s="4" t="s">
        <v>1429</v>
      </c>
      <c r="G168" t="s">
        <v>35</v>
      </c>
      <c r="H168" t="s">
        <v>1429</v>
      </c>
      <c r="I168" s="574"/>
      <c r="J168" s="574"/>
      <c r="K168" s="574"/>
      <c r="L168" s="574"/>
      <c r="M168" s="574"/>
      <c r="N168" s="574"/>
      <c r="O168" s="574"/>
      <c r="P168" s="561"/>
      <c r="Q168" s="561"/>
      <c r="R168" s="561"/>
      <c r="S168" s="561"/>
      <c r="T168" s="574"/>
      <c r="U168" s="427"/>
      <c r="V168" s="427"/>
      <c r="W168" s="427"/>
      <c r="X168" s="427"/>
      <c r="Y168" s="429"/>
      <c r="Z168" s="427" t="s">
        <v>34</v>
      </c>
      <c r="AA168" s="429"/>
      <c r="AB168">
        <f t="shared" si="26"/>
        <v>74</v>
      </c>
    </row>
    <row r="169" spans="1:32" ht="15" thickBot="1" x14ac:dyDescent="0.4">
      <c r="A169">
        <f t="shared" si="24"/>
        <v>75</v>
      </c>
      <c r="B169" s="106" t="str">
        <f t="shared" si="25"/>
        <v>Iraq A (not a failed state but close)</v>
      </c>
      <c r="C169" s="579" t="s">
        <v>1430</v>
      </c>
      <c r="D169" s="579" t="s">
        <v>1430</v>
      </c>
      <c r="E169" s="606" t="s">
        <v>1432</v>
      </c>
      <c r="F169" s="606" t="s">
        <v>1432</v>
      </c>
      <c r="G169" s="606" t="s">
        <v>1432</v>
      </c>
      <c r="H169" s="606" t="s">
        <v>35</v>
      </c>
      <c r="I169" s="659"/>
      <c r="J169" s="659"/>
      <c r="K169" s="659"/>
      <c r="L169" s="659"/>
      <c r="M169" s="659"/>
      <c r="N169" s="659"/>
      <c r="O169" s="659"/>
      <c r="P169" s="660"/>
      <c r="Q169" s="660"/>
      <c r="R169" s="660"/>
      <c r="S169" s="660"/>
      <c r="T169" s="659"/>
      <c r="U169" s="606"/>
      <c r="V169" s="606"/>
      <c r="W169" s="606"/>
      <c r="X169" s="606"/>
      <c r="Y169" s="661"/>
      <c r="Z169" s="606"/>
      <c r="AA169" s="661"/>
      <c r="AB169">
        <f t="shared" si="26"/>
        <v>75</v>
      </c>
    </row>
    <row r="170" spans="1:32" ht="15" thickTop="1" x14ac:dyDescent="0.35"/>
  </sheetData>
  <phoneticPr fontId="8" type="noConversion"/>
  <hyperlinks>
    <hyperlink ref="D159" r:id="rId1" xr:uid="{C4F76CA9-F83C-4150-B48A-6E0D33BB3858}"/>
    <hyperlink ref="C159" r:id="rId2" xr:uid="{C14189B5-F91E-4D3A-9FCE-8CB2C7B2EAC7}"/>
    <hyperlink ref="C151" r:id="rId3" xr:uid="{4BDAB8D8-B1B3-456F-8A23-B86F7CE8D282}"/>
    <hyperlink ref="AI73" r:id="rId4" location="Religion" xr:uid="{8080FD70-B556-4C43-980C-46C89D460342}"/>
    <hyperlink ref="AC67" r:id="rId5" location="Religion" xr:uid="{F6D17D8B-2718-4772-9AB7-EC9427FC3386}"/>
    <hyperlink ref="AC75" r:id="rId6" location=":~:text=Hezbollah%20is%20considered%20a%20terrorist%20organization%20by%20the,with%20repressive%2C%20anti-Israel%20regimes%20in%20Iran%20and%20Syria." xr:uid="{6F90B247-F9DE-43FC-B2D1-4E66ED5DC2DF}"/>
    <hyperlink ref="AC62" r:id="rId7" xr:uid="{590D770C-1303-4FF5-98CB-53B885038517}"/>
    <hyperlink ref="AC73" r:id="rId8" location="Religion" xr:uid="{F700928F-4A72-42FB-9C43-789CBC58423E}"/>
    <hyperlink ref="D160" r:id="rId9" xr:uid="{F7B37216-8052-41E7-9E2F-0756A5854DC4}"/>
    <hyperlink ref="AC74" r:id="rId10" xr:uid="{DB434567-F55B-4D68-9DEA-20E39B1CCDB8}"/>
    <hyperlink ref="AD62" r:id="rId11" location="Aircraft" xr:uid="{73E0DED8-D876-4344-8410-9392E3981536}"/>
    <hyperlink ref="U148" r:id="rId12" location="Vehicles" xr:uid="{51A01C0C-7753-485B-8FD5-51CB0CECDDD1}"/>
    <hyperlink ref="V148" r:id="rId13" location="Artillery" xr:uid="{E31077C6-26F5-410C-A3B7-00012BE9CE03}"/>
    <hyperlink ref="AC65" r:id="rId14" xr:uid="{42705DB1-715E-4A76-8A61-52435108362D}"/>
    <hyperlink ref="AD65" r:id="rId15" xr:uid="{FE695AC7-AA75-4593-83F4-A3DF846B116D}"/>
    <hyperlink ref="X151" r:id="rId16" xr:uid="{C251C7EB-7E65-4CE2-A946-199CF6144769}"/>
    <hyperlink ref="H142" r:id="rId17" xr:uid="{22509622-645D-4544-B9CF-DC440453A065}"/>
    <hyperlink ref="H165" r:id="rId18" xr:uid="{1813A67F-CA53-456E-A8EF-2EAB0A3CA890}"/>
    <hyperlink ref="AD75" r:id="rId19" location="Religion" xr:uid="{3717946C-7C77-4085-A7F6-A4AA34D42B92}"/>
    <hyperlink ref="AD76:AD78" r:id="rId20" location="Religion" display="https://en.wikipedia.org/wiki/Lebanon#Religion" xr:uid="{24DD16FF-25EE-4135-828A-B390ECA05EFE}"/>
    <hyperlink ref="AH65" r:id="rId21" xr:uid="{5403EA62-54AA-4EB2-B5B1-A0B75E64DD69}"/>
    <hyperlink ref="AE2" r:id="rId22" location="ethno" xr:uid="{173C6218-5DDC-4BAC-AB33-AF34D7F2EF68}"/>
    <hyperlink ref="AH73" r:id="rId23" xr:uid="{98A81C41-3E39-49D4-8845-5C9F16304393}"/>
    <hyperlink ref="AC63" r:id="rId24" xr:uid="{C00BCD3D-CF50-4507-A4BA-E8B276B30C50}"/>
    <hyperlink ref="E165" r:id="rId25" xr:uid="{8441D965-C65F-46AC-AAD7-935E9E874F9E}"/>
    <hyperlink ref="AC79" r:id="rId26" xr:uid="{C4F35B48-37A1-468B-B308-DBAA93675866}"/>
    <hyperlink ref="G167" r:id="rId27" xr:uid="{BCF33DBF-3E8C-4DE6-9BDD-38842CD2103F}"/>
    <hyperlink ref="AD82" r:id="rId28" xr:uid="{4BBDCBFE-29BF-4913-BEB9-83348DAF277B}"/>
    <hyperlink ref="E168" r:id="rId29" xr:uid="{71C633C8-A79E-4A02-B13C-B9BBE4EBC69D}"/>
    <hyperlink ref="F168" r:id="rId30" xr:uid="{65C54292-256C-4658-95A4-A866D2413669}"/>
    <hyperlink ref="AD83" r:id="rId31" xr:uid="{F5265639-9156-4FE0-8C0F-90C9700B4B96}"/>
    <hyperlink ref="AC83" r:id="rId32" xr:uid="{CBA07585-1256-4AF3-B029-1B9B1A08F997}"/>
    <hyperlink ref="AC51" r:id="rId33" xr:uid="{FDABE7BE-3CF2-449A-9794-FD454622D406}"/>
    <hyperlink ref="AC52" r:id="rId34" xr:uid="{4EFEE06D-690D-4F51-873D-4EF779F29F45}"/>
    <hyperlink ref="AC53" r:id="rId35" xr:uid="{2993634E-FF97-4D4C-B523-61F7F856DA4F}"/>
    <hyperlink ref="AC54" r:id="rId36" xr:uid="{01A0934F-7D71-4F6F-92C9-43834E9DAE83}"/>
    <hyperlink ref="E142" r:id="rId37" xr:uid="{F6B648ED-C406-4A64-9C00-2D5FCDB26114}"/>
    <hyperlink ref="AD56" r:id="rId38" xr:uid="{6097B539-D5F4-4173-A562-3A2EA7AB836B}"/>
    <hyperlink ref="C142" r:id="rId39" xr:uid="{39B7AB86-60EC-4E3F-9C68-85CA67E0D4B8}"/>
    <hyperlink ref="AD55" r:id="rId40" xr:uid="{617EE2F5-28BB-4822-B3D9-8000539F475F}"/>
    <hyperlink ref="AC59" r:id="rId41" xr:uid="{22654BD2-A734-4FC4-A052-2749EC6ADA18}"/>
    <hyperlink ref="AC60" r:id="rId42" xr:uid="{C9ACD585-0B0B-4DFC-A04D-88F3EC7E54A4}"/>
    <hyperlink ref="AD53" r:id="rId43" xr:uid="{201B4D88-D36D-48F7-A90E-7D275424DB69}"/>
    <hyperlink ref="I148" r:id="rId44" location="Aircraft" xr:uid="{7965B3A8-03FE-4228-9B66-E411A0874824}"/>
    <hyperlink ref="AD63" r:id="rId45" xr:uid="{9848336A-246D-495C-8244-B7C941541A19}"/>
    <hyperlink ref="Q151" r:id="rId46" xr:uid="{845C03B3-BD19-4046-BEB5-B200A3EB3267}"/>
    <hyperlink ref="R151:S151" r:id="rId47" display="https://en.wikipedia.org/wiki/Syrian_Air_Force" xr:uid="{096CF611-688C-4C56-AC54-0D3CBA1C6AEA}"/>
    <hyperlink ref="H151" r:id="rId48" xr:uid="{2445D923-9BF6-4904-B8CC-A01BC299A56D}"/>
    <hyperlink ref="I151" r:id="rId49" xr:uid="{CC70FD94-CD54-4053-91EA-4E4DC1816734}"/>
    <hyperlink ref="J151:O151" r:id="rId50" display="https://en.wikipedia.org/wiki/Syrian_Air_Force" xr:uid="{E25B7662-B174-414F-8D54-CDCB76934F8D}"/>
    <hyperlink ref="AD51" r:id="rId51" location="Equipment_and_procurement" xr:uid="{14DA1AFD-DE0C-49E7-A261-E2271A7DAA27}"/>
    <hyperlink ref="AD59" r:id="rId52" location="Current_inventory" xr:uid="{F31E5B11-4938-4219-8A19-AB029D27C491}"/>
    <hyperlink ref="X138" r:id="rId53" location="Active_ships" xr:uid="{D33A01B8-CD68-4410-B760-A96FE85C574D}"/>
    <hyperlink ref="T97" r:id="rId54" xr:uid="{00614912-DB32-46F3-9182-612CAF27D789}"/>
    <hyperlink ref="U97" r:id="rId55" location="Vehicles" xr:uid="{96F0C223-9E4B-4160-8BC4-FAFB49724510}"/>
    <hyperlink ref="AC11" r:id="rId56" xr:uid="{97545F69-915A-48E4-8E5C-9D38E18F563F}"/>
    <hyperlink ref="F148" r:id="rId57" xr:uid="{634161C4-A12A-440A-855E-1B8765B61EA9}"/>
    <hyperlink ref="AC48" r:id="rId58" xr:uid="{E47D4578-3A1D-40CF-B285-E26206E8887B}"/>
    <hyperlink ref="AC37" r:id="rId59" xr:uid="{7031D55B-5D01-4F8A-A859-252891781F9E}"/>
    <hyperlink ref="AD42" r:id="rId60" xr:uid="{93DE78D2-37D0-4E42-8952-5741ADFF7380}"/>
    <hyperlink ref="AC44" r:id="rId61" xr:uid="{AFF3AEC0-ED90-44D5-AB17-821DD66DF4EE}"/>
    <hyperlink ref="AE17" r:id="rId62" xr:uid="{6803D0E3-CDCB-43E9-B702-94AC7CF322FA}"/>
    <hyperlink ref="AC20" r:id="rId63" xr:uid="{84904AE4-3ACC-4E35-B574-6032BEAC6B94}"/>
    <hyperlink ref="AE22" r:id="rId64" xr:uid="{95452B4B-2B64-4633-8A31-018E62D653E0}"/>
    <hyperlink ref="AF22" r:id="rId65" location="Vehicles" xr:uid="{0C118FE8-8C63-4CEB-9897-FD4ECC1F6886}"/>
    <hyperlink ref="AF24" r:id="rId66" xr:uid="{87325492-ACF9-4C23-B6F1-EA9CF3CFE73A}"/>
    <hyperlink ref="AG24" r:id="rId67" xr:uid="{FDE6AABA-65F1-4CE9-B59A-92E3A52F6EC7}"/>
    <hyperlink ref="AF25" r:id="rId68" xr:uid="{E7BE4A81-F8CA-4F30-8B5E-DF2DFA47727A}"/>
    <hyperlink ref="AC45" r:id="rId69" xr:uid="{62152188-0496-4F76-AAB0-D3C6673DF07A}"/>
    <hyperlink ref="AC26" r:id="rId70" xr:uid="{5F266BBF-E739-4299-88D1-FEF61B9A025F}"/>
    <hyperlink ref="AC13" r:id="rId71" xr:uid="{F1BBCE15-D07B-4CBE-A670-CA506F5711C0}"/>
    <hyperlink ref="AE13" r:id="rId72" xr:uid="{23FED2DA-6227-470C-B1E9-BC3B6E89A3EC}"/>
    <hyperlink ref="AF13" r:id="rId73" location="Vehicles" xr:uid="{27E63853-8A90-4A0F-93BB-2F5077A10B36}"/>
    <hyperlink ref="W113" r:id="rId74" location="Air_defence_systems" xr:uid="{BAB275DE-51FE-47C4-B5BC-FA8822B10659}"/>
    <hyperlink ref="AD12" r:id="rId75" xr:uid="{EA52389D-8548-40E0-9B64-E5E8BC906864}"/>
    <hyperlink ref="AF14" r:id="rId76" location="Armoured_vehicles" xr:uid="{76F0909B-D7A7-4A0F-9D0F-A5B627454885}"/>
    <hyperlink ref="W115" r:id="rId77" location="Air_defence_systems" xr:uid="{8F913B79-4B78-492F-AF76-9E54C8DEC237}"/>
    <hyperlink ref="AD16" r:id="rId78" xr:uid="{0523DA17-3E5F-48C5-A916-FA18E3542A95}"/>
    <hyperlink ref="AJ31" r:id="rId79" location="S" xr:uid="{C4BE4980-B885-4FC1-AAB6-A7745A6C83AB}"/>
    <hyperlink ref="AJ32" r:id="rId80" location="C" xr:uid="{BADF0A89-164D-435B-AE77-47C87DFBD590}"/>
    <hyperlink ref="AJ35" r:id="rId81" location="N" xr:uid="{CFA86A89-38B2-4ECD-9081-7943816AB301}"/>
    <hyperlink ref="AD10" r:id="rId82" xr:uid="{D082B8D2-A597-4B93-820D-E1D942CC89CD}"/>
    <hyperlink ref="H96" r:id="rId83" xr:uid="{1E9C4DAE-07A2-489E-A503-D82B79EE2A4C}"/>
    <hyperlink ref="AC49" r:id="rId84" xr:uid="{A360B91B-A7BE-4A4D-B620-D7F058C3091A}"/>
    <hyperlink ref="AJ49" r:id="rId85" location="S" xr:uid="{D47EAC1F-F648-4192-8281-86811EBBCBBF}"/>
    <hyperlink ref="E116" r:id="rId86" xr:uid="{3439975C-CE41-465B-A0CA-BB5DEE51A8C4}"/>
    <hyperlink ref="AE10" r:id="rId87" xr:uid="{9992DE55-2A00-4C42-AED0-8D122DBC0805}"/>
    <hyperlink ref="AD49" r:id="rId88" xr:uid="{005D9904-5AEB-4085-8105-6EBFC949F8A3}"/>
    <hyperlink ref="AJ40" r:id="rId89" location="L" xr:uid="{B3FE7BC2-AB83-4FBF-B491-4CA69DAB6B99}"/>
    <hyperlink ref="AJ21" r:id="rId90" location="I" xr:uid="{C7392511-0029-42AC-83AA-8C7CAE5D416C}"/>
    <hyperlink ref="AD40" r:id="rId91" xr:uid="{4E16522E-B149-467B-937D-80FE9CB57F19}"/>
    <hyperlink ref="S123" r:id="rId92" xr:uid="{DD1ADCC8-5A46-489C-9797-C129F42E435B}"/>
    <hyperlink ref="AE33" r:id="rId93" location="Summary" xr:uid="{12AFB1DB-D783-4393-A843-E0FD84DABDD8}"/>
    <hyperlink ref="AF33" r:id="rId94" location="Vehicles" xr:uid="{B20F225A-78B6-43CF-AE1A-C6EDA36664B1}"/>
    <hyperlink ref="AF38" r:id="rId95" location="Combat_vehicles" xr:uid="{AF50BAD1-EC77-416B-83E7-FC53ECFE687A}"/>
    <hyperlink ref="AE39" r:id="rId96" location="Current_aircraft" xr:uid="{A39B2E23-6BB7-427E-A359-37ED26BD17F5}"/>
    <hyperlink ref="AG39" r:id="rId97" location="Active_fleet_of_ships" xr:uid="{BFF0FCE4-97D2-46A6-928B-C24D09D7EAFD}"/>
    <hyperlink ref="I127" r:id="rId98" xr:uid="{CFC733B1-604F-47CA-B92C-CCF91A5539F2}"/>
    <hyperlink ref="AE41" r:id="rId99" location="Vehicles" xr:uid="{8F3721FE-DE39-4C30-99A4-354A5D6318A4}"/>
    <hyperlink ref="AD41" r:id="rId100" xr:uid="{6279C4A4-E922-4E89-9780-94A94636415D}"/>
    <hyperlink ref="AC41" r:id="rId101" xr:uid="{8BF16378-8DE7-4F7F-B766-96BFA1E5E16D}"/>
    <hyperlink ref="AE42" r:id="rId102" location="Current_inventory" xr:uid="{1A504D06-3CD6-4861-8FE3-8BBF20D59266}"/>
    <hyperlink ref="AE43" r:id="rId103" location="Aircraft" xr:uid="{D6F68DC4-0527-49D4-94D8-FC9AE9B60F4B}"/>
    <hyperlink ref="AE55" r:id="rId104" location="Aircraft" xr:uid="{F5131C74-4E9B-4251-ADB5-E5F45EBF7057}"/>
    <hyperlink ref="AG56" r:id="rId105" location="Air_defence" xr:uid="{1DE1A2F3-BBBF-48D2-A511-1FE1BA69C17A}"/>
    <hyperlink ref="AD64" r:id="rId106" xr:uid="{33DA31D2-C841-4BB1-9FB6-BDCB2435C876}"/>
    <hyperlink ref="AD19" r:id="rId107" location="Aircraft" xr:uid="{46057DE0-94B3-4280-AB1B-6E71387FB9D0}"/>
    <hyperlink ref="J148:O148" r:id="rId108" location="Aircraft" display="https://en.wikipedia.org/wiki/Israeli_Air_Force#Aircraft" xr:uid="{6A5E5D52-666F-46EC-B20C-AF81841B627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FFB5E-CF0C-422E-AA40-D05BC4CCEDC8}">
  <dimension ref="A1:W82"/>
  <sheetViews>
    <sheetView zoomScale="120" zoomScaleNormal="120" workbookViewId="0">
      <pane xSplit="2" ySplit="8" topLeftCell="C9" activePane="bottomRight" state="frozen"/>
      <selection pane="topRight" activeCell="C1" sqref="C1"/>
      <selection pane="bottomLeft" activeCell="A9" sqref="A9"/>
      <selection pane="bottomRight" activeCell="R35" sqref="R35"/>
    </sheetView>
  </sheetViews>
  <sheetFormatPr defaultRowHeight="14.5" x14ac:dyDescent="0.35"/>
  <cols>
    <col min="1" max="1" width="1" customWidth="1"/>
    <col min="2" max="2" width="26.453125" customWidth="1"/>
    <col min="3" max="3" width="19.36328125" customWidth="1"/>
    <col min="4" max="4" width="17.36328125" customWidth="1"/>
    <col min="5" max="5" width="10.453125" customWidth="1"/>
    <col min="6" max="6" width="11.7265625" customWidth="1"/>
    <col min="7" max="7" width="12" customWidth="1"/>
    <col min="8" max="9" width="9.81640625" customWidth="1"/>
    <col min="10" max="10" width="10" customWidth="1"/>
    <col min="11" max="14" width="8.36328125" customWidth="1"/>
    <col min="15" max="15" width="8.7265625" customWidth="1"/>
    <col min="16" max="17" width="7.54296875" customWidth="1"/>
    <col min="18" max="18" width="100.7265625" customWidth="1"/>
    <col min="19" max="19" width="28.1796875" customWidth="1"/>
    <col min="20" max="22" width="12.54296875" customWidth="1"/>
  </cols>
  <sheetData>
    <row r="1" spans="1:22" ht="28.5" x14ac:dyDescent="0.65">
      <c r="A1" s="1" t="s">
        <v>157</v>
      </c>
      <c r="B1" s="1" t="str">
        <f>UkrAid24jan2022ToOct312023!A1</f>
        <v>AQ Islamists advance to Hama, Putin replaces his top Syrian general &amp; much more #69/96</v>
      </c>
    </row>
    <row r="2" spans="1:22" x14ac:dyDescent="0.35">
      <c r="B2" s="434" t="str">
        <f>UkrAid24jan2022ToOct312023!A2</f>
        <v>Proprietary. © H. Mathiesen. This material can be used by others free of charge provided that the author H. Mathiesen is attributed and a clickable link is made visible to the location of used material on www.hmexperience.dk</v>
      </c>
      <c r="Q2" s="4"/>
      <c r="R2" s="4"/>
    </row>
    <row r="3" spans="1:22" x14ac:dyDescent="0.35">
      <c r="B3" s="456" t="str">
        <f>UkrAid24jan2022ToOct312023!A3</f>
        <v>Links to all sources are available in sources table below</v>
      </c>
      <c r="C3" s="458"/>
      <c r="G3" t="s">
        <v>26</v>
      </c>
      <c r="H3" t="s">
        <v>27</v>
      </c>
      <c r="K3">
        <v>0.93</v>
      </c>
      <c r="N3" t="s">
        <v>30</v>
      </c>
      <c r="P3" s="4" t="s">
        <v>31</v>
      </c>
    </row>
    <row r="4" spans="1:22" x14ac:dyDescent="0.35">
      <c r="G4">
        <f>(11+12+0.5)/12</f>
        <v>1.9583333333333333</v>
      </c>
      <c r="H4" t="s">
        <v>28</v>
      </c>
      <c r="N4" t="s">
        <v>29</v>
      </c>
      <c r="P4" t="s">
        <v>32</v>
      </c>
    </row>
    <row r="5" spans="1:22" ht="24" thickBot="1" x14ac:dyDescent="0.6">
      <c r="B5" s="449" t="s">
        <v>159</v>
      </c>
      <c r="C5" s="449"/>
      <c r="D5" s="448"/>
      <c r="E5" s="449"/>
      <c r="F5" s="448"/>
      <c r="G5" s="448"/>
      <c r="H5" s="448"/>
      <c r="I5" s="448"/>
      <c r="J5" s="448"/>
      <c r="K5" s="448"/>
      <c r="L5" s="448"/>
      <c r="M5" s="448"/>
      <c r="N5" s="448"/>
      <c r="O5" s="448"/>
      <c r="P5" s="448"/>
      <c r="Q5" s="448"/>
      <c r="S5" s="2" t="str">
        <f>B5</f>
        <v>Top 15 donar countries plus EU supporting Ukraine</v>
      </c>
      <c r="T5" s="2"/>
      <c r="U5" s="2"/>
    </row>
    <row r="6" spans="1:22" ht="15" thickTop="1" x14ac:dyDescent="0.35">
      <c r="B6" s="5"/>
      <c r="C6" s="231" t="s">
        <v>153</v>
      </c>
      <c r="D6" s="232"/>
      <c r="E6" s="15" t="s">
        <v>8</v>
      </c>
      <c r="F6" s="6" t="s">
        <v>8</v>
      </c>
      <c r="G6" s="15" t="s">
        <v>23</v>
      </c>
      <c r="H6" s="6" t="s">
        <v>211</v>
      </c>
      <c r="I6" s="6" t="s">
        <v>1074</v>
      </c>
      <c r="J6" s="15" t="s">
        <v>150</v>
      </c>
      <c r="K6" s="39" t="s">
        <v>150</v>
      </c>
      <c r="L6" s="233" t="s">
        <v>91</v>
      </c>
      <c r="M6" s="233"/>
      <c r="N6" s="231"/>
      <c r="O6" s="234"/>
      <c r="P6" s="163" t="s">
        <v>204</v>
      </c>
      <c r="Q6" s="103"/>
      <c r="R6" s="146"/>
      <c r="S6" s="137"/>
      <c r="T6" s="6" t="str">
        <f>C6</f>
        <v>Jan. 24, 2022 to Jan. 15 2024 in billion EUR</v>
      </c>
      <c r="U6" s="6"/>
      <c r="V6" s="39"/>
    </row>
    <row r="7" spans="1:22" x14ac:dyDescent="0.35">
      <c r="B7" s="51"/>
      <c r="C7" s="7" t="s">
        <v>145</v>
      </c>
      <c r="D7" s="3" t="s">
        <v>151</v>
      </c>
      <c r="E7" s="7" t="s">
        <v>145</v>
      </c>
      <c r="F7" s="3" t="s">
        <v>148</v>
      </c>
      <c r="G7" s="7" t="s">
        <v>149</v>
      </c>
      <c r="H7" s="3" t="s">
        <v>218</v>
      </c>
      <c r="I7" s="3" t="s">
        <v>1072</v>
      </c>
      <c r="J7" s="7" t="s">
        <v>155</v>
      </c>
      <c r="K7" s="140" t="s">
        <v>154</v>
      </c>
      <c r="L7" s="7"/>
      <c r="M7" s="3"/>
      <c r="N7" s="3"/>
      <c r="O7" s="140" t="s">
        <v>1427</v>
      </c>
      <c r="P7" s="165" t="s">
        <v>158</v>
      </c>
      <c r="Q7" s="141"/>
      <c r="R7" s="146"/>
      <c r="S7" s="123"/>
      <c r="T7" s="3"/>
      <c r="U7" s="3"/>
      <c r="V7" s="140"/>
    </row>
    <row r="8" spans="1:22" ht="15" thickBot="1" x14ac:dyDescent="0.4">
      <c r="B8" s="17"/>
      <c r="C8" s="13"/>
      <c r="D8" s="18" t="s">
        <v>152</v>
      </c>
      <c r="E8" s="13" t="s">
        <v>146</v>
      </c>
      <c r="F8" s="18" t="s">
        <v>146</v>
      </c>
      <c r="G8" s="13" t="s">
        <v>146</v>
      </c>
      <c r="H8" s="18" t="s">
        <v>212</v>
      </c>
      <c r="I8" s="18" t="s">
        <v>1073</v>
      </c>
      <c r="J8" s="13" t="s">
        <v>33</v>
      </c>
      <c r="K8" s="40" t="s">
        <v>33</v>
      </c>
      <c r="L8" s="13">
        <v>2021</v>
      </c>
      <c r="M8" s="18">
        <v>2022</v>
      </c>
      <c r="N8" s="18">
        <v>2023</v>
      </c>
      <c r="O8" s="40">
        <v>2024</v>
      </c>
      <c r="P8" s="13">
        <v>2023</v>
      </c>
      <c r="Q8" s="40">
        <v>2024</v>
      </c>
      <c r="R8" s="140"/>
      <c r="S8" s="112"/>
      <c r="T8" s="18" t="s">
        <v>82</v>
      </c>
      <c r="U8" s="18" t="s">
        <v>83</v>
      </c>
      <c r="V8" s="40" t="s">
        <v>147</v>
      </c>
    </row>
    <row r="9" spans="1:22" ht="15" thickTop="1" x14ac:dyDescent="0.35">
      <c r="B9" s="7" t="s">
        <v>41</v>
      </c>
      <c r="C9" s="150">
        <v>5.6</v>
      </c>
      <c r="D9" s="9">
        <f t="shared" ref="D9:D24" si="0">C9+T9+U9</f>
        <v>85.009999999999991</v>
      </c>
      <c r="E9" s="16">
        <f t="shared" ref="E9:E24" si="1">(C9*(1/K$3))/G$4</f>
        <v>3.0748112560054905</v>
      </c>
      <c r="F9" s="8">
        <f t="shared" ref="F9:F24" si="2">(D9/G$4)*(1/K$3)</f>
        <v>46.676733013040483</v>
      </c>
      <c r="G9" s="99">
        <v>19350</v>
      </c>
      <c r="H9" s="173">
        <v>448.4</v>
      </c>
      <c r="I9" s="96">
        <v>0.55100000000000005</v>
      </c>
      <c r="J9" s="94">
        <f>E9/G9</f>
        <v>1.5890497447056798E-4</v>
      </c>
      <c r="K9" s="41">
        <f>F9/G9</f>
        <v>2.412234264239818E-3</v>
      </c>
      <c r="L9" s="124" t="s">
        <v>34</v>
      </c>
      <c r="M9" s="125" t="s">
        <v>34</v>
      </c>
      <c r="N9" s="126" t="s">
        <v>34</v>
      </c>
      <c r="O9" s="164" t="s">
        <v>34</v>
      </c>
      <c r="P9" s="170">
        <f>E9</f>
        <v>3.0748112560054905</v>
      </c>
      <c r="Q9" s="166">
        <f>E9</f>
        <v>3.0748112560054905</v>
      </c>
      <c r="R9" s="166"/>
      <c r="S9" s="138" t="s">
        <v>41</v>
      </c>
      <c r="T9" s="58">
        <v>77.2</v>
      </c>
      <c r="U9" s="58">
        <v>2.21</v>
      </c>
      <c r="V9" s="142">
        <v>0</v>
      </c>
    </row>
    <row r="10" spans="1:22" x14ac:dyDescent="0.35">
      <c r="B10" s="7" t="s">
        <v>114</v>
      </c>
      <c r="C10" s="16">
        <v>42.2</v>
      </c>
      <c r="D10" s="8">
        <f t="shared" si="0"/>
        <v>67.650000000000006</v>
      </c>
      <c r="E10" s="44">
        <f t="shared" si="1"/>
        <v>23.170899107755663</v>
      </c>
      <c r="F10" s="8">
        <f t="shared" si="2"/>
        <v>37.144818119423469</v>
      </c>
      <c r="G10" s="99">
        <v>25440</v>
      </c>
      <c r="H10" s="173">
        <v>335</v>
      </c>
      <c r="I10" s="96">
        <v>0.11600000000000001</v>
      </c>
      <c r="J10" s="94">
        <f t="shared" ref="J10:J27" si="3">E10/G10</f>
        <v>9.1080578253756534E-4</v>
      </c>
      <c r="K10" s="41">
        <f t="shared" ref="K10:K24" si="4">F10/G10</f>
        <v>1.46009505186413E-3</v>
      </c>
      <c r="L10" s="94">
        <v>3.4599999999999999E-2</v>
      </c>
      <c r="M10" s="96">
        <v>3.4599999999999999E-2</v>
      </c>
      <c r="N10" s="96">
        <v>3.49E-2</v>
      </c>
      <c r="O10" s="41">
        <v>3.5000000000000003E-2</v>
      </c>
      <c r="P10" s="99">
        <f>G10*N10</f>
        <v>887.85599999999999</v>
      </c>
      <c r="Q10" s="167">
        <f>O10*G10</f>
        <v>890.40000000000009</v>
      </c>
      <c r="R10" s="167"/>
      <c r="S10" s="104" t="s">
        <v>114</v>
      </c>
      <c r="T10" s="9">
        <v>24</v>
      </c>
      <c r="U10" s="9">
        <v>1.45</v>
      </c>
      <c r="V10" s="142">
        <v>0</v>
      </c>
    </row>
    <row r="11" spans="1:22" x14ac:dyDescent="0.35">
      <c r="B11" s="65" t="s">
        <v>123</v>
      </c>
      <c r="C11" s="16">
        <v>17.7</v>
      </c>
      <c r="D11" s="9">
        <f t="shared" si="0"/>
        <v>22.06</v>
      </c>
      <c r="E11" s="16">
        <f t="shared" si="1"/>
        <v>9.7185998627316401</v>
      </c>
      <c r="F11" s="8">
        <f t="shared" si="2"/>
        <v>12.112560054907343</v>
      </c>
      <c r="G11" s="99">
        <v>4082</v>
      </c>
      <c r="H11" s="173">
        <v>84.8</v>
      </c>
      <c r="I11" s="96">
        <v>0.47</v>
      </c>
      <c r="J11" s="94">
        <f t="shared" si="3"/>
        <v>2.3808426905271044E-3</v>
      </c>
      <c r="K11" s="66">
        <f t="shared" si="4"/>
        <v>2.9673101555383005E-3</v>
      </c>
      <c r="L11" s="94">
        <v>1.3299999999999999E-2</v>
      </c>
      <c r="M11" s="96">
        <v>1.3899999999999999E-2</v>
      </c>
      <c r="N11" s="96">
        <v>1.5699999999999999E-2</v>
      </c>
      <c r="O11" s="41">
        <v>2.1499999999999998E-2</v>
      </c>
      <c r="P11" s="99">
        <f>G11*N11</f>
        <v>64.087399999999988</v>
      </c>
      <c r="Q11" s="167">
        <f t="shared" ref="Q11:Q24" si="5">O11*G11</f>
        <v>87.762999999999991</v>
      </c>
      <c r="R11" s="167"/>
      <c r="S11" s="138" t="s">
        <v>123</v>
      </c>
      <c r="T11" s="9">
        <v>1.41</v>
      </c>
      <c r="U11" s="9">
        <v>2.95</v>
      </c>
      <c r="V11" s="142">
        <v>21.44</v>
      </c>
    </row>
    <row r="12" spans="1:22" x14ac:dyDescent="0.35">
      <c r="B12" s="65" t="s">
        <v>104</v>
      </c>
      <c r="C12" s="16">
        <v>9.1</v>
      </c>
      <c r="D12" s="9">
        <f t="shared" si="0"/>
        <v>15.7</v>
      </c>
      <c r="E12" s="16">
        <f t="shared" si="1"/>
        <v>4.9965682910089217</v>
      </c>
      <c r="F12" s="8">
        <f t="shared" si="2"/>
        <v>8.620452985586823</v>
      </c>
      <c r="G12" s="99">
        <v>3089</v>
      </c>
      <c r="H12" s="173">
        <v>68.11</v>
      </c>
      <c r="I12" s="96">
        <v>0.32</v>
      </c>
      <c r="J12" s="94">
        <f t="shared" si="3"/>
        <v>1.6175358663026616E-3</v>
      </c>
      <c r="K12" s="66">
        <f t="shared" si="4"/>
        <v>2.79069374735734E-3</v>
      </c>
      <c r="L12" s="94">
        <v>2.1600000000000001E-2</v>
      </c>
      <c r="M12" s="96">
        <v>2.23E-2</v>
      </c>
      <c r="N12" s="96">
        <v>2.07E-2</v>
      </c>
      <c r="O12" s="41">
        <v>2.3300000000000001E-2</v>
      </c>
      <c r="P12" s="99">
        <f>G12*N12</f>
        <v>63.942299999999996</v>
      </c>
      <c r="Q12" s="167">
        <f t="shared" si="5"/>
        <v>71.973700000000008</v>
      </c>
      <c r="R12" s="167"/>
      <c r="S12" s="138" t="s">
        <v>104</v>
      </c>
      <c r="T12" s="9">
        <v>6</v>
      </c>
      <c r="U12" s="9">
        <v>0.6</v>
      </c>
      <c r="V12" s="142">
        <v>1.9</v>
      </c>
    </row>
    <row r="13" spans="1:22" x14ac:dyDescent="0.35">
      <c r="B13" s="65" t="s">
        <v>119</v>
      </c>
      <c r="C13" s="16">
        <v>8.4</v>
      </c>
      <c r="D13" s="9">
        <f>C13+T13+U13</f>
        <v>8.6300000000000008</v>
      </c>
      <c r="E13" s="16">
        <f t="shared" si="1"/>
        <v>4.6122168840082356</v>
      </c>
      <c r="F13" s="8">
        <f t="shared" si="2"/>
        <v>4.7385037748798906</v>
      </c>
      <c r="G13" s="99">
        <v>400</v>
      </c>
      <c r="H13" s="173">
        <v>5.9</v>
      </c>
      <c r="I13" s="96">
        <v>0.69</v>
      </c>
      <c r="J13" s="94">
        <f>E13/G13</f>
        <v>1.1530542210020589E-2</v>
      </c>
      <c r="K13" s="66">
        <f>F13/G13</f>
        <v>1.1846259437199726E-2</v>
      </c>
      <c r="L13" s="94">
        <v>1.32E-2</v>
      </c>
      <c r="M13" s="96">
        <v>1.4200000000000001E-2</v>
      </c>
      <c r="N13" s="96">
        <v>1.6500000000000001E-2</v>
      </c>
      <c r="O13" s="41">
        <v>2.1000000000000001E-2</v>
      </c>
      <c r="P13" s="99">
        <f>G13*N13</f>
        <v>6.6000000000000005</v>
      </c>
      <c r="Q13" s="167">
        <f>O13*G13</f>
        <v>8.4</v>
      </c>
      <c r="R13" s="167"/>
      <c r="S13" s="138" t="s">
        <v>119</v>
      </c>
      <c r="T13" s="9">
        <v>0</v>
      </c>
      <c r="U13" s="9">
        <v>0.23</v>
      </c>
      <c r="V13" s="142">
        <v>0.72</v>
      </c>
    </row>
    <row r="14" spans="1:22" x14ac:dyDescent="0.35">
      <c r="B14" s="65" t="s">
        <v>121</v>
      </c>
      <c r="C14" s="16">
        <v>3.8</v>
      </c>
      <c r="D14" s="9">
        <f t="shared" si="0"/>
        <v>7.5699999999999994</v>
      </c>
      <c r="E14" s="16">
        <f t="shared" si="1"/>
        <v>2.0864790665751545</v>
      </c>
      <c r="F14" s="8">
        <f t="shared" si="2"/>
        <v>4.1564859299931358</v>
      </c>
      <c r="G14" s="99">
        <v>579</v>
      </c>
      <c r="H14" s="173">
        <v>5.5</v>
      </c>
      <c r="I14" s="96">
        <v>0.47</v>
      </c>
      <c r="J14" s="94">
        <f t="shared" si="3"/>
        <v>3.6035907885581253E-3</v>
      </c>
      <c r="K14" s="66">
        <f t="shared" si="4"/>
        <v>7.1787321761539475E-3</v>
      </c>
      <c r="L14" s="94">
        <v>1.72E-2</v>
      </c>
      <c r="M14" s="96">
        <v>1.6400000000000001E-2</v>
      </c>
      <c r="N14" s="96">
        <v>1.67E-2</v>
      </c>
      <c r="O14" s="41">
        <v>0.02</v>
      </c>
      <c r="P14" s="99">
        <f>G14*N14</f>
        <v>9.6692999999999998</v>
      </c>
      <c r="Q14" s="167">
        <f t="shared" si="5"/>
        <v>11.58</v>
      </c>
      <c r="R14" s="167"/>
      <c r="S14" s="138" t="s">
        <v>121</v>
      </c>
      <c r="T14" s="9">
        <v>3.42</v>
      </c>
      <c r="U14" s="9">
        <v>0.35</v>
      </c>
      <c r="V14" s="142">
        <v>1.39</v>
      </c>
    </row>
    <row r="15" spans="1:22" x14ac:dyDescent="0.35">
      <c r="B15" s="7" t="s">
        <v>11</v>
      </c>
      <c r="C15" s="16">
        <v>0</v>
      </c>
      <c r="D15" s="9">
        <f t="shared" si="0"/>
        <v>7.46</v>
      </c>
      <c r="E15" s="16">
        <f t="shared" si="1"/>
        <v>0</v>
      </c>
      <c r="F15" s="8">
        <f t="shared" si="2"/>
        <v>4.0960878517501715</v>
      </c>
      <c r="G15" s="99">
        <v>4232</v>
      </c>
      <c r="H15" s="173">
        <v>124</v>
      </c>
      <c r="I15" s="96">
        <v>0.21</v>
      </c>
      <c r="J15" s="94">
        <f t="shared" si="3"/>
        <v>0</v>
      </c>
      <c r="K15" s="41">
        <f t="shared" si="4"/>
        <v>9.6788465306005939E-4</v>
      </c>
      <c r="L15" s="94">
        <v>1.0200000000000001E-2</v>
      </c>
      <c r="M15" s="96">
        <v>1.0800000000000001E-2</v>
      </c>
      <c r="N15" s="126" t="s">
        <v>34</v>
      </c>
      <c r="O15" s="92">
        <v>1.2999999999999999E-2</v>
      </c>
      <c r="P15" s="99">
        <f>G15*M15</f>
        <v>45.705600000000004</v>
      </c>
      <c r="Q15" s="167">
        <f t="shared" si="5"/>
        <v>55.015999999999998</v>
      </c>
      <c r="R15" s="167"/>
      <c r="S15" s="104" t="s">
        <v>11</v>
      </c>
      <c r="T15" s="9">
        <v>5.55</v>
      </c>
      <c r="U15" s="9">
        <v>1.91</v>
      </c>
      <c r="V15" s="142">
        <v>0</v>
      </c>
    </row>
    <row r="16" spans="1:22" x14ac:dyDescent="0.35">
      <c r="B16" s="7" t="s">
        <v>122</v>
      </c>
      <c r="C16" s="16">
        <v>2.1</v>
      </c>
      <c r="D16" s="9">
        <f t="shared" si="0"/>
        <v>5.8000000000000007</v>
      </c>
      <c r="E16" s="16">
        <f t="shared" si="1"/>
        <v>1.1530542210020589</v>
      </c>
      <c r="F16" s="8">
        <f t="shared" si="2"/>
        <v>3.1846259437199724</v>
      </c>
      <c r="G16" s="99">
        <v>2138</v>
      </c>
      <c r="H16" s="173">
        <v>39.799999999999997</v>
      </c>
      <c r="I16" s="96">
        <v>0.33500000000000002</v>
      </c>
      <c r="J16" s="94">
        <f t="shared" si="3"/>
        <v>5.3931441581013041E-4</v>
      </c>
      <c r="K16" s="41">
        <f t="shared" si="4"/>
        <v>1.4895350531898843E-3</v>
      </c>
      <c r="L16" s="94">
        <v>1.2699999999999999E-2</v>
      </c>
      <c r="M16" s="96">
        <v>1.24E-2</v>
      </c>
      <c r="N16" s="96">
        <v>1.38E-2</v>
      </c>
      <c r="O16" s="41">
        <v>1.4999999999999999E-2</v>
      </c>
      <c r="P16" s="99">
        <f>G16*N16</f>
        <v>29.5044</v>
      </c>
      <c r="Q16" s="167">
        <f t="shared" si="5"/>
        <v>32.07</v>
      </c>
      <c r="R16" s="167"/>
      <c r="S16" s="104" t="s">
        <v>122</v>
      </c>
      <c r="T16" s="9">
        <v>3.43</v>
      </c>
      <c r="U16" s="9">
        <v>0.27</v>
      </c>
      <c r="V16" s="142">
        <v>0</v>
      </c>
    </row>
    <row r="17" spans="2:22" x14ac:dyDescent="0.35">
      <c r="B17" s="65" t="s">
        <v>124</v>
      </c>
      <c r="C17" s="16">
        <v>3</v>
      </c>
      <c r="D17" s="9">
        <f t="shared" si="0"/>
        <v>4.3</v>
      </c>
      <c r="E17" s="16">
        <f t="shared" si="1"/>
        <v>1.6472203157172272</v>
      </c>
      <c r="F17" s="8">
        <f t="shared" si="2"/>
        <v>2.3610157858613587</v>
      </c>
      <c r="G17" s="99">
        <v>688</v>
      </c>
      <c r="H17" s="173">
        <v>36.799999999999997</v>
      </c>
      <c r="I17" s="96">
        <v>0.57999999999999996</v>
      </c>
      <c r="J17" s="94">
        <f t="shared" si="3"/>
        <v>2.3942155751703882E-3</v>
      </c>
      <c r="K17" s="66">
        <f t="shared" si="4"/>
        <v>3.4317089910775563E-3</v>
      </c>
      <c r="L17" s="94">
        <v>2.2200000000000001E-2</v>
      </c>
      <c r="M17" s="96">
        <v>2.3900000000000001E-2</v>
      </c>
      <c r="N17" s="96">
        <v>3.9E-2</v>
      </c>
      <c r="O17" s="41">
        <v>4.6699999999999998E-2</v>
      </c>
      <c r="P17" s="99">
        <f>G17*N17</f>
        <v>26.832000000000001</v>
      </c>
      <c r="Q17" s="167">
        <f t="shared" si="5"/>
        <v>32.129599999999996</v>
      </c>
      <c r="R17" s="167"/>
      <c r="S17" s="138" t="s">
        <v>124</v>
      </c>
      <c r="T17" s="9">
        <v>0.92</v>
      </c>
      <c r="U17" s="9">
        <v>0.38</v>
      </c>
      <c r="V17" s="142">
        <v>20.73</v>
      </c>
    </row>
    <row r="18" spans="2:22" x14ac:dyDescent="0.35">
      <c r="B18" s="65" t="s">
        <v>120</v>
      </c>
      <c r="C18" s="16">
        <v>4.4000000000000004</v>
      </c>
      <c r="D18" s="9">
        <f t="shared" si="0"/>
        <v>6.17</v>
      </c>
      <c r="E18" s="16">
        <f t="shared" si="1"/>
        <v>2.4159231297186001</v>
      </c>
      <c r="F18" s="8">
        <f t="shared" si="2"/>
        <v>3.3877831159917635</v>
      </c>
      <c r="G18" s="99">
        <v>1009</v>
      </c>
      <c r="H18" s="173">
        <v>17.8</v>
      </c>
      <c r="I18" s="96">
        <v>0.85</v>
      </c>
      <c r="J18" s="94">
        <f t="shared" si="3"/>
        <v>2.3943737658261646E-3</v>
      </c>
      <c r="K18" s="66">
        <f t="shared" si="4"/>
        <v>3.3575650307153255E-3</v>
      </c>
      <c r="L18" s="94">
        <v>1.38E-2</v>
      </c>
      <c r="M18" s="96">
        <v>1.5800000000000002E-2</v>
      </c>
      <c r="N18" s="96">
        <v>1.7000000000000001E-2</v>
      </c>
      <c r="O18" s="41">
        <v>2.1000000000000001E-2</v>
      </c>
      <c r="P18" s="99">
        <f>G18*N18</f>
        <v>17.153000000000002</v>
      </c>
      <c r="Q18" s="167">
        <f t="shared" si="5"/>
        <v>21.189</v>
      </c>
      <c r="R18" s="167"/>
      <c r="S18" s="138" t="s">
        <v>120</v>
      </c>
      <c r="T18" s="9">
        <v>1.05</v>
      </c>
      <c r="U18" s="9">
        <v>0.72</v>
      </c>
      <c r="V18" s="142">
        <v>2.42</v>
      </c>
    </row>
    <row r="19" spans="2:22" x14ac:dyDescent="0.35">
      <c r="B19" s="65" t="s">
        <v>118</v>
      </c>
      <c r="C19" s="16">
        <v>2</v>
      </c>
      <c r="D19" s="9">
        <f t="shared" si="0"/>
        <v>2.95</v>
      </c>
      <c r="E19" s="16">
        <f t="shared" si="1"/>
        <v>1.0981468771448182</v>
      </c>
      <c r="F19" s="8">
        <f t="shared" si="2"/>
        <v>1.6197666437886069</v>
      </c>
      <c r="G19" s="99">
        <v>591</v>
      </c>
      <c r="H19" s="173">
        <v>10.5</v>
      </c>
      <c r="I19" s="96">
        <v>0.54</v>
      </c>
      <c r="J19" s="94">
        <f t="shared" si="3"/>
        <v>1.8581165433922474E-3</v>
      </c>
      <c r="K19" s="66">
        <f t="shared" si="4"/>
        <v>2.7407219015035652E-3</v>
      </c>
      <c r="L19" s="94">
        <v>1.2E-2</v>
      </c>
      <c r="M19" s="96">
        <v>1.2999999999999999E-2</v>
      </c>
      <c r="N19" s="126" t="s">
        <v>34</v>
      </c>
      <c r="O19" s="92">
        <v>2.1999999999999999E-2</v>
      </c>
      <c r="P19" s="99">
        <f>G19*M19</f>
        <v>7.6829999999999998</v>
      </c>
      <c r="Q19" s="167">
        <f t="shared" si="5"/>
        <v>13.001999999999999</v>
      </c>
      <c r="R19" s="167"/>
      <c r="S19" s="138" t="s">
        <v>118</v>
      </c>
      <c r="T19" s="9">
        <v>0.31</v>
      </c>
      <c r="U19" s="9">
        <v>0.64</v>
      </c>
      <c r="V19" s="142">
        <v>0.84</v>
      </c>
    </row>
    <row r="20" spans="2:22" x14ac:dyDescent="0.35">
      <c r="B20" s="7" t="s">
        <v>13</v>
      </c>
      <c r="C20" s="16">
        <v>0</v>
      </c>
      <c r="D20" s="9">
        <f t="shared" si="0"/>
        <v>2.2799999999999998</v>
      </c>
      <c r="E20" s="16">
        <f t="shared" si="1"/>
        <v>0</v>
      </c>
      <c r="F20" s="8">
        <f t="shared" si="2"/>
        <v>1.2518874399450926</v>
      </c>
      <c r="G20" s="99">
        <v>818</v>
      </c>
      <c r="H20" s="173">
        <v>8.8000000000000007</v>
      </c>
      <c r="I20" s="96">
        <v>0.75</v>
      </c>
      <c r="J20" s="94">
        <f t="shared" si="3"/>
        <v>0</v>
      </c>
      <c r="K20" s="41">
        <f t="shared" si="4"/>
        <v>1.5304247432091596E-3</v>
      </c>
      <c r="L20" s="94">
        <v>7.7999999999999996E-3</v>
      </c>
      <c r="M20" s="96">
        <v>7.7000000000000002E-3</v>
      </c>
      <c r="N20" s="126" t="s">
        <v>34</v>
      </c>
      <c r="O20" s="92">
        <v>8.0000000000000002E-3</v>
      </c>
      <c r="P20" s="99">
        <f>G20*M20</f>
        <v>6.2986000000000004</v>
      </c>
      <c r="Q20" s="167">
        <f t="shared" si="5"/>
        <v>6.5440000000000005</v>
      </c>
      <c r="R20" s="167"/>
      <c r="S20" s="104" t="s">
        <v>13</v>
      </c>
      <c r="T20" s="9">
        <v>0</v>
      </c>
      <c r="U20" s="9">
        <v>2.2799999999999998</v>
      </c>
      <c r="V20" s="142">
        <v>2.2200000000000002</v>
      </c>
    </row>
    <row r="21" spans="2:22" x14ac:dyDescent="0.35">
      <c r="B21" s="7" t="s">
        <v>105</v>
      </c>
      <c r="C21" s="16">
        <v>0.64</v>
      </c>
      <c r="D21" s="9">
        <f t="shared" si="0"/>
        <v>1.7999999999999998</v>
      </c>
      <c r="E21" s="16">
        <f t="shared" si="1"/>
        <v>0.35140700068634179</v>
      </c>
      <c r="F21" s="8">
        <f t="shared" si="2"/>
        <v>0.98833218943033629</v>
      </c>
      <c r="G21" s="99">
        <v>2779</v>
      </c>
      <c r="H21" s="173">
        <v>68.099999999999994</v>
      </c>
      <c r="I21" s="96">
        <v>0.33</v>
      </c>
      <c r="J21" s="94">
        <f t="shared" si="3"/>
        <v>1.2645088185906506E-4</v>
      </c>
      <c r="K21" s="41">
        <f t="shared" si="4"/>
        <v>3.5564310522862046E-4</v>
      </c>
      <c r="L21" s="94">
        <v>1.9199999999999998E-2</v>
      </c>
      <c r="M21" s="96">
        <v>1.9400000000000001E-2</v>
      </c>
      <c r="N21" s="96">
        <v>1.9E-2</v>
      </c>
      <c r="O21" s="41">
        <v>2.1000000000000001E-2</v>
      </c>
      <c r="P21" s="99">
        <f>G21*N21</f>
        <v>52.801000000000002</v>
      </c>
      <c r="Q21" s="167">
        <f t="shared" si="5"/>
        <v>58.359000000000002</v>
      </c>
      <c r="R21" s="167"/>
      <c r="S21" s="104" t="s">
        <v>105</v>
      </c>
      <c r="T21" s="9">
        <v>0.8</v>
      </c>
      <c r="U21" s="9">
        <v>0.36</v>
      </c>
      <c r="V21" s="142">
        <v>6.14</v>
      </c>
    </row>
    <row r="22" spans="2:22" x14ac:dyDescent="0.35">
      <c r="B22" s="65" t="s">
        <v>117</v>
      </c>
      <c r="C22" s="16">
        <v>1.64</v>
      </c>
      <c r="D22" s="9">
        <f t="shared" si="0"/>
        <v>1.91</v>
      </c>
      <c r="E22" s="16">
        <f t="shared" si="1"/>
        <v>0.90048043925875076</v>
      </c>
      <c r="F22" s="8">
        <f t="shared" si="2"/>
        <v>1.0487302676733012</v>
      </c>
      <c r="G22" s="99">
        <v>283</v>
      </c>
      <c r="H22" s="173">
        <v>5.6</v>
      </c>
      <c r="I22" s="96">
        <v>0.41</v>
      </c>
      <c r="J22" s="94">
        <f t="shared" si="3"/>
        <v>3.1819096793595431E-3</v>
      </c>
      <c r="K22" s="66">
        <f t="shared" si="4"/>
        <v>3.7057606631565416E-3</v>
      </c>
      <c r="L22" s="94">
        <v>1.26E-2</v>
      </c>
      <c r="M22" s="96">
        <v>1.72E-2</v>
      </c>
      <c r="N22" s="96">
        <v>2.4500000000000001E-2</v>
      </c>
      <c r="O22" s="41">
        <v>2.3E-2</v>
      </c>
      <c r="P22" s="99">
        <f>G22*N22</f>
        <v>6.9335000000000004</v>
      </c>
      <c r="Q22" s="167">
        <f t="shared" si="5"/>
        <v>6.5089999999999995</v>
      </c>
      <c r="R22" s="167"/>
      <c r="S22" s="138" t="s">
        <v>117</v>
      </c>
      <c r="T22" s="9">
        <v>0.09</v>
      </c>
      <c r="U22" s="9">
        <v>0.18</v>
      </c>
      <c r="V22" s="142">
        <v>0.65</v>
      </c>
    </row>
    <row r="23" spans="2:22" x14ac:dyDescent="0.35">
      <c r="B23" s="65" t="s">
        <v>115</v>
      </c>
      <c r="C23" s="16">
        <v>1.26</v>
      </c>
      <c r="D23" s="9">
        <f t="shared" si="0"/>
        <v>1.33</v>
      </c>
      <c r="E23" s="16">
        <f t="shared" si="1"/>
        <v>0.69183253260123534</v>
      </c>
      <c r="F23" s="8">
        <f t="shared" si="2"/>
        <v>0.73026767330130415</v>
      </c>
      <c r="G23" s="99">
        <v>291</v>
      </c>
      <c r="H23" s="173">
        <v>10.4</v>
      </c>
      <c r="I23" s="96">
        <v>0.72</v>
      </c>
      <c r="J23" s="94">
        <f t="shared" si="3"/>
        <v>2.3774313835093997E-3</v>
      </c>
      <c r="K23" s="66">
        <f t="shared" si="4"/>
        <v>2.5095109048154781E-3</v>
      </c>
      <c r="L23" s="94">
        <v>1.4E-2</v>
      </c>
      <c r="M23" s="96">
        <v>1.3599999999999999E-2</v>
      </c>
      <c r="N23" s="96">
        <v>1.4999999999999999E-2</v>
      </c>
      <c r="O23" s="41">
        <v>1.7000000000000001E-2</v>
      </c>
      <c r="P23" s="99">
        <f>G23*N23</f>
        <v>4.3650000000000002</v>
      </c>
      <c r="Q23" s="167">
        <f t="shared" si="5"/>
        <v>4.9470000000000001</v>
      </c>
      <c r="R23" s="167"/>
      <c r="S23" s="138" t="s">
        <v>115</v>
      </c>
      <c r="T23" s="9">
        <v>0</v>
      </c>
      <c r="U23" s="9">
        <v>7.0000000000000007E-2</v>
      </c>
      <c r="V23" s="25">
        <v>5.35</v>
      </c>
    </row>
    <row r="24" spans="2:22" ht="15" thickBot="1" x14ac:dyDescent="0.4">
      <c r="B24" s="7" t="s">
        <v>116</v>
      </c>
      <c r="C24" s="16">
        <v>0.67</v>
      </c>
      <c r="D24" s="9">
        <f t="shared" si="0"/>
        <v>1.3</v>
      </c>
      <c r="E24" s="16">
        <f t="shared" si="1"/>
        <v>0.36787920384351408</v>
      </c>
      <c r="F24" s="8">
        <f t="shared" si="2"/>
        <v>0.71379547014413181</v>
      </c>
      <c r="G24" s="99">
        <v>2050</v>
      </c>
      <c r="H24" s="173">
        <v>59</v>
      </c>
      <c r="I24" s="96">
        <v>0.35</v>
      </c>
      <c r="J24" s="94">
        <f t="shared" si="3"/>
        <v>1.7945327016756783E-4</v>
      </c>
      <c r="K24" s="41">
        <f t="shared" si="4"/>
        <v>3.4819291226543012E-4</v>
      </c>
      <c r="L24" s="94">
        <v>1.72E-2</v>
      </c>
      <c r="M24" s="96">
        <v>1.6799999999999999E-2</v>
      </c>
      <c r="N24" s="96">
        <v>1.46E-2</v>
      </c>
      <c r="O24" s="41">
        <v>1.7000000000000001E-2</v>
      </c>
      <c r="P24" s="99">
        <f>G24*N24</f>
        <v>29.93</v>
      </c>
      <c r="Q24" s="167">
        <f t="shared" si="5"/>
        <v>34.85</v>
      </c>
      <c r="R24" s="167"/>
      <c r="S24" s="104" t="s">
        <v>116</v>
      </c>
      <c r="T24" s="9">
        <v>0.41</v>
      </c>
      <c r="U24" s="9">
        <v>0.22</v>
      </c>
      <c r="V24" s="142">
        <v>2.25</v>
      </c>
    </row>
    <row r="25" spans="2:22" ht="15" thickTop="1" x14ac:dyDescent="0.35">
      <c r="B25" s="197" t="s">
        <v>205</v>
      </c>
      <c r="C25" s="198">
        <f>SUM(C11:C14,C17:C19,C22:C23)</f>
        <v>51.29999999999999</v>
      </c>
      <c r="D25" s="199">
        <f>SUM(D11:D14,D17:D19,D22:D23)</f>
        <v>70.61999999999999</v>
      </c>
      <c r="E25" s="200">
        <f>SUM(E11:E14,E17:E19,E22:E23)</f>
        <v>28.167467398764582</v>
      </c>
      <c r="F25" s="201">
        <f>SUM(F11:F14,F17:F19,F22:F23)</f>
        <v>38.775566231983525</v>
      </c>
      <c r="G25" s="202">
        <f>G12+G14+G11+G17+G18+G13+G19+G22+G23</f>
        <v>11012</v>
      </c>
      <c r="H25" s="202">
        <f>H12+H14+H11+H17+H18+H13+H19+H22+H23</f>
        <v>245.41</v>
      </c>
      <c r="I25" s="205" t="s">
        <v>34</v>
      </c>
      <c r="J25" s="230">
        <f>E25/G25</f>
        <v>2.5578884306905725E-3</v>
      </c>
      <c r="K25" s="203">
        <f>F25/G25</f>
        <v>3.5212101554652673E-3</v>
      </c>
      <c r="L25" s="204" t="s">
        <v>34</v>
      </c>
      <c r="M25" s="205" t="s">
        <v>34</v>
      </c>
      <c r="N25" s="205">
        <f>P25/G25</f>
        <v>1.8821785325099889E-2</v>
      </c>
      <c r="O25" s="206">
        <f>Q25/G25</f>
        <v>2.3382973120232471E-2</v>
      </c>
      <c r="P25" s="207">
        <f>SUM(,P11:P14,P17:P19,P22:P23)</f>
        <v>207.26549999999997</v>
      </c>
      <c r="Q25" s="208">
        <f>SUM(Q11:Q14,Q17:Q19,Q22:Q23)</f>
        <v>257.49329999999998</v>
      </c>
      <c r="R25" s="168"/>
      <c r="S25" s="139" t="s">
        <v>85</v>
      </c>
      <c r="T25" s="82">
        <f>SUM(T9,T11:T14,T17:T19,T22:T23)</f>
        <v>90.4</v>
      </c>
      <c r="U25" s="82">
        <f>SUM(U9,U11:U14,U17:U19,U22:U23)</f>
        <v>8.33</v>
      </c>
      <c r="V25" s="83">
        <f>SUM(V9,V11:V14,V17:V19,V22:V23)</f>
        <v>55.440000000000005</v>
      </c>
    </row>
    <row r="26" spans="2:22" x14ac:dyDescent="0.35">
      <c r="B26" s="7" t="s">
        <v>86</v>
      </c>
      <c r="C26" s="16">
        <f>SUM(C9:C24)-C10</f>
        <v>60.31</v>
      </c>
      <c r="D26" s="9">
        <f>SUM(D9:D24)-D10</f>
        <v>174.27</v>
      </c>
      <c r="E26" s="44">
        <f>SUM(E9:E24)-E10</f>
        <v>33.114619080301978</v>
      </c>
      <c r="F26" s="81">
        <f>SUM(F9:F24)-F10</f>
        <v>95.687028140013723</v>
      </c>
      <c r="G26" s="100">
        <f>G9+G12+G14+G15+G16+G20</f>
        <v>30206</v>
      </c>
      <c r="H26" s="133">
        <f>H9+H12+H14+H15+H16+H20</f>
        <v>694.6099999999999</v>
      </c>
      <c r="I26" s="128" t="s">
        <v>34</v>
      </c>
      <c r="J26" s="196">
        <f t="shared" si="3"/>
        <v>1.0962927590644897E-3</v>
      </c>
      <c r="K26" s="45">
        <f>F26/G26</f>
        <v>3.1678152731249992E-3</v>
      </c>
      <c r="L26" s="127" t="s">
        <v>34</v>
      </c>
      <c r="M26" s="128" t="s">
        <v>34</v>
      </c>
      <c r="N26" s="128">
        <f>P26/G26</f>
        <v>1.2400844575779843E-2</v>
      </c>
      <c r="O26" s="98">
        <f>Q26/G26</f>
        <v>1.4811862254386727E-2</v>
      </c>
      <c r="P26" s="100">
        <f>SUM(P9:P24)-P10</f>
        <v>374.57991125600597</v>
      </c>
      <c r="Q26" s="168">
        <f>SUM(Q9:Q24)-Q10</f>
        <v>447.40711125600546</v>
      </c>
      <c r="R26" s="167"/>
      <c r="S26" s="104" t="s">
        <v>86</v>
      </c>
      <c r="T26" s="9">
        <f>SUM(T9:T24)-T10</f>
        <v>100.59</v>
      </c>
      <c r="U26" s="9">
        <f>SUM(U9:U24)-U10</f>
        <v>13.370000000000001</v>
      </c>
      <c r="V26" s="143">
        <f>SUM(V9:V24)-V10</f>
        <v>66.050000000000011</v>
      </c>
    </row>
    <row r="27" spans="2:22" ht="15" thickBot="1" x14ac:dyDescent="0.4">
      <c r="B27" s="7" t="s">
        <v>87</v>
      </c>
      <c r="C27" s="16">
        <f>SUM(C9:C24)</f>
        <v>102.51</v>
      </c>
      <c r="D27" s="9">
        <f>SUM(D9:D24)</f>
        <v>241.92000000000002</v>
      </c>
      <c r="E27" s="16">
        <f>SUM(E9:E24)</f>
        <v>56.285518188057644</v>
      </c>
      <c r="F27" s="9">
        <f>SUM(F9:F24)</f>
        <v>132.83184625943719</v>
      </c>
      <c r="G27" s="99">
        <f>G26+G10</f>
        <v>55646</v>
      </c>
      <c r="H27" s="160">
        <f>H26+H10</f>
        <v>1029.6099999999999</v>
      </c>
      <c r="I27" s="126" t="s">
        <v>34</v>
      </c>
      <c r="J27" s="94">
        <f t="shared" si="3"/>
        <v>1.0114926174039039E-3</v>
      </c>
      <c r="K27" s="41">
        <f>F27/G27</f>
        <v>2.3870870549444196E-3</v>
      </c>
      <c r="L27" s="194" t="s">
        <v>34</v>
      </c>
      <c r="M27" s="126" t="s">
        <v>34</v>
      </c>
      <c r="N27" s="126">
        <f>P27/G27</f>
        <v>2.2686912109693525E-2</v>
      </c>
      <c r="O27" s="135">
        <f>Q27/G27</f>
        <v>2.4041388621931597E-2</v>
      </c>
      <c r="P27" s="129">
        <f>SUM(P9:P24)</f>
        <v>1262.435911256006</v>
      </c>
      <c r="Q27" s="169">
        <f>SUM(Q9:Q24)</f>
        <v>1337.8071112560056</v>
      </c>
      <c r="R27" s="168"/>
      <c r="S27" s="104" t="s">
        <v>87</v>
      </c>
      <c r="T27" s="81">
        <f>SUM(T9:T24)</f>
        <v>124.59</v>
      </c>
      <c r="U27" s="81">
        <f>SUM(U9:U24)</f>
        <v>14.82</v>
      </c>
      <c r="V27" s="144">
        <f>SUM(V9:V24)</f>
        <v>66.050000000000011</v>
      </c>
    </row>
    <row r="28" spans="2:22" ht="15" thickTop="1" x14ac:dyDescent="0.35">
      <c r="B28" s="15" t="s">
        <v>106</v>
      </c>
      <c r="C28" s="151" t="s">
        <v>34</v>
      </c>
      <c r="D28" s="79" t="s">
        <v>34</v>
      </c>
      <c r="E28" s="151" t="s">
        <v>34</v>
      </c>
      <c r="F28" s="113" t="s">
        <v>34</v>
      </c>
      <c r="G28" s="101">
        <f>KeyArmiesStats!C10</f>
        <v>2184</v>
      </c>
      <c r="H28" s="226">
        <f>KeyArmiesStats!D10</f>
        <v>143.69999999999999</v>
      </c>
      <c r="I28" s="116">
        <v>0.28000000000000003</v>
      </c>
      <c r="J28" s="151" t="s">
        <v>34</v>
      </c>
      <c r="K28" s="114" t="s">
        <v>34</v>
      </c>
      <c r="L28" s="115">
        <v>3.7199999999999997E-2</v>
      </c>
      <c r="M28" s="116">
        <v>4.0599999999999997E-2</v>
      </c>
      <c r="N28" s="116">
        <v>4.1000000000000002E-2</v>
      </c>
      <c r="O28" s="45">
        <f>KeyArmiesStats!H10</f>
        <v>0.06</v>
      </c>
      <c r="P28" s="100">
        <f>N28*G28</f>
        <v>89.543999999999997</v>
      </c>
      <c r="Q28" s="168">
        <f>G28*O28</f>
        <v>131.04</v>
      </c>
      <c r="R28" s="168"/>
      <c r="S28" s="80" t="s">
        <v>106</v>
      </c>
      <c r="T28" s="91" t="s">
        <v>34</v>
      </c>
      <c r="U28" s="91" t="s">
        <v>34</v>
      </c>
      <c r="V28" s="145" t="s">
        <v>34</v>
      </c>
    </row>
    <row r="29" spans="2:22" x14ac:dyDescent="0.35">
      <c r="B29" s="7" t="s">
        <v>107</v>
      </c>
      <c r="C29" s="152" t="s">
        <v>34</v>
      </c>
      <c r="D29" s="119" t="s">
        <v>34</v>
      </c>
      <c r="E29" s="195" t="s">
        <v>34</v>
      </c>
      <c r="F29" s="118" t="s">
        <v>34</v>
      </c>
      <c r="G29" s="100">
        <f>KeyArmiesStats!C15</f>
        <v>188</v>
      </c>
      <c r="H29" s="225">
        <v>35</v>
      </c>
      <c r="I29" s="95">
        <v>0.4</v>
      </c>
      <c r="J29" s="195" t="s">
        <v>34</v>
      </c>
      <c r="K29" s="98" t="s">
        <v>34</v>
      </c>
      <c r="L29" s="196">
        <v>3.2300000000000002E-2</v>
      </c>
      <c r="M29" s="95">
        <v>0.33550000000000002</v>
      </c>
      <c r="N29" s="95">
        <v>0.26600000000000001</v>
      </c>
      <c r="O29" s="45">
        <f>KeyArmiesStats!H15</f>
        <v>0.37</v>
      </c>
      <c r="P29" s="100">
        <f>N29*G29</f>
        <v>50.008000000000003</v>
      </c>
      <c r="Q29" s="168">
        <f>G29*O29</f>
        <v>69.56</v>
      </c>
      <c r="R29" s="168"/>
      <c r="S29" s="104" t="s">
        <v>107</v>
      </c>
      <c r="T29" s="119" t="s">
        <v>34</v>
      </c>
      <c r="U29" s="119" t="s">
        <v>34</v>
      </c>
      <c r="V29" s="146" t="s">
        <v>34</v>
      </c>
    </row>
    <row r="30" spans="2:22" x14ac:dyDescent="0.35">
      <c r="B30" s="7" t="s">
        <v>207</v>
      </c>
      <c r="C30" s="152" t="s">
        <v>34</v>
      </c>
      <c r="D30" s="119" t="s">
        <v>34</v>
      </c>
      <c r="E30" s="195" t="s">
        <v>34</v>
      </c>
      <c r="F30" s="118" t="s">
        <v>34</v>
      </c>
      <c r="G30" s="217" t="s">
        <v>34</v>
      </c>
      <c r="H30" s="227" t="s">
        <v>34</v>
      </c>
      <c r="I30" s="128" t="s">
        <v>34</v>
      </c>
      <c r="J30" s="195" t="s">
        <v>34</v>
      </c>
      <c r="K30" s="219" t="s">
        <v>34</v>
      </c>
      <c r="L30" s="217" t="s">
        <v>34</v>
      </c>
      <c r="M30" s="218" t="s">
        <v>34</v>
      </c>
      <c r="N30" s="218" t="s">
        <v>34</v>
      </c>
      <c r="O30" s="219" t="s">
        <v>34</v>
      </c>
      <c r="P30" s="100">
        <f>P29+E27</f>
        <v>106.29351818805765</v>
      </c>
      <c r="Q30" s="168">
        <f>Q29+E27</f>
        <v>125.84551818805764</v>
      </c>
      <c r="R30" s="168"/>
      <c r="S30" s="104"/>
      <c r="T30" s="119"/>
      <c r="U30" s="119"/>
      <c r="V30" s="146"/>
    </row>
    <row r="31" spans="2:22" ht="15" thickBot="1" x14ac:dyDescent="0.4">
      <c r="B31" s="13" t="s">
        <v>206</v>
      </c>
      <c r="C31" s="157" t="s">
        <v>34</v>
      </c>
      <c r="D31" s="109" t="s">
        <v>34</v>
      </c>
      <c r="E31" s="158" t="s">
        <v>34</v>
      </c>
      <c r="F31" s="107" t="s">
        <v>34</v>
      </c>
      <c r="G31" s="220" t="s">
        <v>34</v>
      </c>
      <c r="H31" s="228" t="s">
        <v>34</v>
      </c>
      <c r="I31" s="553" t="s">
        <v>34</v>
      </c>
      <c r="J31" s="158" t="s">
        <v>34</v>
      </c>
      <c r="K31" s="222" t="s">
        <v>34</v>
      </c>
      <c r="L31" s="220" t="s">
        <v>34</v>
      </c>
      <c r="M31" s="221" t="s">
        <v>34</v>
      </c>
      <c r="N31" s="221" t="s">
        <v>34</v>
      </c>
      <c r="O31" s="222" t="s">
        <v>34</v>
      </c>
      <c r="P31" s="223">
        <f>P30/P28</f>
        <v>1.187053495354883</v>
      </c>
      <c r="Q31" s="224">
        <f>Q30/Q28</f>
        <v>0.96035957103218594</v>
      </c>
      <c r="R31" s="168"/>
      <c r="S31" s="104"/>
      <c r="T31" s="119"/>
      <c r="U31" s="119"/>
      <c r="V31" s="146"/>
    </row>
    <row r="32" spans="2:22" ht="15" thickTop="1" x14ac:dyDescent="0.35">
      <c r="B32" s="7" t="s">
        <v>108</v>
      </c>
      <c r="C32" s="150" t="s">
        <v>34</v>
      </c>
      <c r="D32" s="42" t="s">
        <v>34</v>
      </c>
      <c r="E32" s="155" t="s">
        <v>34</v>
      </c>
      <c r="F32" s="70" t="s">
        <v>34</v>
      </c>
      <c r="G32" s="99">
        <v>525</v>
      </c>
      <c r="H32" s="173">
        <v>9.84</v>
      </c>
      <c r="I32" s="96">
        <v>0.31</v>
      </c>
      <c r="J32" s="155" t="s">
        <v>34</v>
      </c>
      <c r="K32" s="92" t="s">
        <v>34</v>
      </c>
      <c r="L32" s="94">
        <v>4.9799999999999997E-2</v>
      </c>
      <c r="M32" s="96">
        <v>4.5100000000000001E-2</v>
      </c>
      <c r="N32" s="96" t="s">
        <v>34</v>
      </c>
      <c r="O32" s="41">
        <v>5.5E-2</v>
      </c>
      <c r="P32" s="99">
        <f>G32*M32</f>
        <v>23.677500000000002</v>
      </c>
      <c r="Q32" s="167">
        <f>G32*O32</f>
        <v>28.875</v>
      </c>
      <c r="R32" s="167"/>
      <c r="S32" s="104" t="s">
        <v>108</v>
      </c>
      <c r="T32" s="42" t="s">
        <v>34</v>
      </c>
      <c r="U32" s="42" t="s">
        <v>34</v>
      </c>
      <c r="V32" s="147" t="s">
        <v>34</v>
      </c>
    </row>
    <row r="33" spans="2:23" x14ac:dyDescent="0.35">
      <c r="B33" s="7" t="s">
        <v>213</v>
      </c>
      <c r="C33" s="150" t="s">
        <v>34</v>
      </c>
      <c r="D33" s="42" t="s">
        <v>34</v>
      </c>
      <c r="E33" s="155" t="s">
        <v>34</v>
      </c>
      <c r="F33" s="70" t="s">
        <v>34</v>
      </c>
      <c r="G33" s="99">
        <v>413</v>
      </c>
      <c r="H33" s="173">
        <v>85.3</v>
      </c>
      <c r="I33" s="96">
        <v>0.28999999999999998</v>
      </c>
      <c r="J33" s="155" t="s">
        <v>34</v>
      </c>
      <c r="K33" s="92" t="s">
        <v>34</v>
      </c>
      <c r="L33" s="94">
        <v>2.1899999999999999E-2</v>
      </c>
      <c r="M33" s="96">
        <v>2.5899999999999999E-2</v>
      </c>
      <c r="N33" s="96" t="s">
        <v>34</v>
      </c>
      <c r="O33" s="41">
        <v>5.1999999999999998E-2</v>
      </c>
      <c r="P33" s="99">
        <f t="shared" ref="P33:P41" si="6">G33*M33</f>
        <v>10.6967</v>
      </c>
      <c r="Q33" s="167">
        <f t="shared" ref="Q33:Q41" si="7">G33*O33</f>
        <v>21.475999999999999</v>
      </c>
      <c r="R33" s="167"/>
      <c r="S33" s="104" t="s">
        <v>113</v>
      </c>
      <c r="T33" s="42" t="s">
        <v>34</v>
      </c>
      <c r="U33" s="42" t="s">
        <v>34</v>
      </c>
      <c r="V33" s="147" t="s">
        <v>34</v>
      </c>
    </row>
    <row r="34" spans="2:23" x14ac:dyDescent="0.35">
      <c r="B34" s="7" t="s">
        <v>109</v>
      </c>
      <c r="C34" s="150" t="s">
        <v>34</v>
      </c>
      <c r="D34" s="42" t="s">
        <v>34</v>
      </c>
      <c r="E34" s="155" t="s">
        <v>34</v>
      </c>
      <c r="F34" s="70" t="s">
        <v>34</v>
      </c>
      <c r="G34" s="99">
        <v>20</v>
      </c>
      <c r="H34" s="173">
        <v>26</v>
      </c>
      <c r="I34" s="126" t="s">
        <v>34</v>
      </c>
      <c r="J34" s="155" t="s">
        <v>34</v>
      </c>
      <c r="K34" s="92" t="s">
        <v>34</v>
      </c>
      <c r="L34" s="94">
        <v>0.24</v>
      </c>
      <c r="M34" s="96">
        <v>0.33400000000000002</v>
      </c>
      <c r="N34" s="96" t="s">
        <v>34</v>
      </c>
      <c r="O34" s="41">
        <v>0.33300000000000002</v>
      </c>
      <c r="P34" s="99">
        <f t="shared" si="6"/>
        <v>6.6800000000000006</v>
      </c>
      <c r="Q34" s="167">
        <f t="shared" si="7"/>
        <v>6.66</v>
      </c>
      <c r="R34" s="167"/>
      <c r="S34" s="104" t="s">
        <v>109</v>
      </c>
      <c r="T34" s="42" t="s">
        <v>34</v>
      </c>
      <c r="U34" s="42" t="s">
        <v>34</v>
      </c>
      <c r="V34" s="147" t="s">
        <v>34</v>
      </c>
    </row>
    <row r="35" spans="2:23" x14ac:dyDescent="0.35">
      <c r="B35" s="7" t="s">
        <v>1057</v>
      </c>
      <c r="C35" s="150" t="s">
        <v>34</v>
      </c>
      <c r="D35" s="42" t="s">
        <v>34</v>
      </c>
      <c r="E35" s="155" t="s">
        <v>34</v>
      </c>
      <c r="F35" s="70" t="s">
        <v>34</v>
      </c>
      <c r="G35" s="99">
        <v>1710</v>
      </c>
      <c r="H35" s="173">
        <v>51.7</v>
      </c>
      <c r="I35" s="96">
        <v>0.44</v>
      </c>
      <c r="J35" s="155" t="s">
        <v>34</v>
      </c>
      <c r="K35" s="92" t="s">
        <v>34</v>
      </c>
      <c r="L35" s="94">
        <v>2.81E-2</v>
      </c>
      <c r="M35" s="96">
        <v>2.7199999999999998E-2</v>
      </c>
      <c r="N35" s="96" t="s">
        <v>34</v>
      </c>
      <c r="O35" s="41">
        <v>2.8000000000000001E-2</v>
      </c>
      <c r="P35" s="99">
        <f>G35*M35</f>
        <v>46.512</v>
      </c>
      <c r="Q35" s="167">
        <f t="shared" ref="Q35" si="8">G35*O35</f>
        <v>47.88</v>
      </c>
      <c r="R35" s="167"/>
      <c r="S35" s="104"/>
      <c r="T35" s="42"/>
      <c r="U35" s="42"/>
      <c r="V35" s="147"/>
    </row>
    <row r="36" spans="2:23" x14ac:dyDescent="0.35">
      <c r="B36" s="7" t="s">
        <v>112</v>
      </c>
      <c r="C36" s="150" t="s">
        <v>34</v>
      </c>
      <c r="D36" s="42" t="s">
        <v>34</v>
      </c>
      <c r="E36" s="155" t="s">
        <v>34</v>
      </c>
      <c r="F36" s="70" t="s">
        <v>34</v>
      </c>
      <c r="G36" s="99">
        <v>375</v>
      </c>
      <c r="H36" s="173">
        <v>240.5</v>
      </c>
      <c r="I36" s="96">
        <v>0.104</v>
      </c>
      <c r="J36" s="155" t="s">
        <v>34</v>
      </c>
      <c r="K36" s="92" t="s">
        <v>34</v>
      </c>
      <c r="L36" s="94">
        <v>2.87E-2</v>
      </c>
      <c r="M36" s="96">
        <v>2.63E-2</v>
      </c>
      <c r="N36" s="96" t="s">
        <v>34</v>
      </c>
      <c r="O36" s="41">
        <v>2.63E-2</v>
      </c>
      <c r="P36" s="99">
        <f t="shared" si="6"/>
        <v>9.8625000000000007</v>
      </c>
      <c r="Q36" s="167">
        <f t="shared" si="7"/>
        <v>9.8625000000000007</v>
      </c>
      <c r="R36" s="167"/>
      <c r="S36" s="104" t="s">
        <v>112</v>
      </c>
      <c r="T36" s="42" t="s">
        <v>34</v>
      </c>
      <c r="U36" s="42" t="s">
        <v>34</v>
      </c>
      <c r="V36" s="147" t="s">
        <v>34</v>
      </c>
    </row>
    <row r="37" spans="2:23" x14ac:dyDescent="0.35">
      <c r="B37" s="7" t="s">
        <v>110</v>
      </c>
      <c r="C37" s="150" t="s">
        <v>34</v>
      </c>
      <c r="D37" s="42" t="s">
        <v>34</v>
      </c>
      <c r="E37" s="155" t="s">
        <v>34</v>
      </c>
      <c r="F37" s="70" t="s">
        <v>34</v>
      </c>
      <c r="G37" s="99">
        <v>3417</v>
      </c>
      <c r="H37" s="173">
        <v>1390</v>
      </c>
      <c r="I37" s="96">
        <v>0.22</v>
      </c>
      <c r="J37" s="155" t="s">
        <v>34</v>
      </c>
      <c r="K37" s="92" t="s">
        <v>34</v>
      </c>
      <c r="L37" s="94">
        <v>2.47E-2</v>
      </c>
      <c r="M37" s="96">
        <v>2.4299999999999999E-2</v>
      </c>
      <c r="N37" s="96" t="s">
        <v>34</v>
      </c>
      <c r="O37" s="41">
        <f>M37</f>
        <v>2.4299999999999999E-2</v>
      </c>
      <c r="P37" s="99">
        <f t="shared" si="6"/>
        <v>83.03309999999999</v>
      </c>
      <c r="Q37" s="167">
        <f>G37*O37</f>
        <v>83.03309999999999</v>
      </c>
      <c r="R37" s="167"/>
      <c r="S37" s="104" t="s">
        <v>110</v>
      </c>
      <c r="T37" s="42" t="s">
        <v>34</v>
      </c>
      <c r="U37" s="42" t="s">
        <v>34</v>
      </c>
      <c r="V37" s="147" t="s">
        <v>34</v>
      </c>
    </row>
    <row r="38" spans="2:23" x14ac:dyDescent="0.35">
      <c r="B38" s="7" t="s">
        <v>210</v>
      </c>
      <c r="C38" s="150" t="s">
        <v>34</v>
      </c>
      <c r="D38" s="42" t="s">
        <v>34</v>
      </c>
      <c r="E38" s="155" t="s">
        <v>34</v>
      </c>
      <c r="F38" s="70" t="s">
        <v>34</v>
      </c>
      <c r="G38" s="99">
        <f>KeyArmiesStats!C64</f>
        <v>1344</v>
      </c>
      <c r="H38" s="173">
        <v>85.4</v>
      </c>
      <c r="I38" s="96">
        <v>0.32</v>
      </c>
      <c r="J38" s="155" t="s">
        <v>34</v>
      </c>
      <c r="K38" s="92" t="s">
        <v>34</v>
      </c>
      <c r="L38" s="94">
        <v>1.9E-2</v>
      </c>
      <c r="M38" s="96">
        <v>1.23E-2</v>
      </c>
      <c r="N38" s="96">
        <v>1.3100000000000001E-2</v>
      </c>
      <c r="O38" s="41">
        <f>KeyArmiesStats!H64</f>
        <v>2.9000000000000001E-2</v>
      </c>
      <c r="P38" s="99">
        <f>G38*N38</f>
        <v>17.606400000000001</v>
      </c>
      <c r="Q38" s="167">
        <f>G38*O38</f>
        <v>38.975999999999999</v>
      </c>
      <c r="R38" s="167"/>
      <c r="S38" s="104"/>
      <c r="T38" s="42"/>
      <c r="U38" s="42"/>
      <c r="V38" s="147"/>
    </row>
    <row r="39" spans="2:23" x14ac:dyDescent="0.35">
      <c r="B39" s="7" t="s">
        <v>1068</v>
      </c>
      <c r="C39" s="150" t="s">
        <v>34</v>
      </c>
      <c r="D39" s="42" t="s">
        <v>34</v>
      </c>
      <c r="E39" s="155" t="s">
        <v>34</v>
      </c>
      <c r="F39" s="70" t="s">
        <v>34</v>
      </c>
      <c r="G39" s="99">
        <v>437</v>
      </c>
      <c r="H39" s="173">
        <v>111.9</v>
      </c>
      <c r="I39" s="96">
        <v>0.27</v>
      </c>
      <c r="J39" s="155" t="s">
        <v>34</v>
      </c>
      <c r="K39" s="92" t="s">
        <v>34</v>
      </c>
      <c r="L39" s="94">
        <v>1.41E-2</v>
      </c>
      <c r="M39" s="96">
        <v>9.9600000000000001E-3</v>
      </c>
      <c r="N39" s="96" t="s">
        <v>34</v>
      </c>
      <c r="O39" s="41">
        <v>0.01</v>
      </c>
      <c r="P39" s="99">
        <f t="shared" si="6"/>
        <v>4.3525200000000002</v>
      </c>
      <c r="Q39" s="167">
        <f t="shared" si="7"/>
        <v>4.37</v>
      </c>
      <c r="R39" s="167"/>
      <c r="S39" s="104"/>
      <c r="T39" s="42"/>
      <c r="U39" s="42"/>
      <c r="V39" s="147"/>
    </row>
    <row r="40" spans="2:23" x14ac:dyDescent="0.35">
      <c r="B40" s="7" t="s">
        <v>137</v>
      </c>
      <c r="C40" s="150" t="s">
        <v>34</v>
      </c>
      <c r="D40" s="42" t="s">
        <v>34</v>
      </c>
      <c r="E40" s="155" t="s">
        <v>34</v>
      </c>
      <c r="F40" s="70" t="s">
        <v>34</v>
      </c>
      <c r="G40" s="99">
        <v>775</v>
      </c>
      <c r="H40" s="173">
        <v>23.4</v>
      </c>
      <c r="I40" s="96">
        <f>40*12/G40</f>
        <v>0.61935483870967745</v>
      </c>
      <c r="J40" s="155" t="s">
        <v>34</v>
      </c>
      <c r="K40" s="92" t="s">
        <v>34</v>
      </c>
      <c r="L40" s="94">
        <v>1.7100000000000001E-2</v>
      </c>
      <c r="M40" s="96">
        <v>1.6E-2</v>
      </c>
      <c r="N40" s="96" t="s">
        <v>34</v>
      </c>
      <c r="O40" s="41">
        <f>Q40/G40</f>
        <v>2.4645161290322584E-2</v>
      </c>
      <c r="P40" s="99">
        <f>G40*M40</f>
        <v>12.4</v>
      </c>
      <c r="Q40" s="167">
        <v>19.100000000000001</v>
      </c>
      <c r="R40" s="167"/>
      <c r="S40" s="104" t="s">
        <v>137</v>
      </c>
      <c r="T40" s="42" t="s">
        <v>34</v>
      </c>
      <c r="U40" s="42" t="s">
        <v>34</v>
      </c>
      <c r="V40" s="147" t="s">
        <v>34</v>
      </c>
    </row>
    <row r="41" spans="2:23" ht="15" thickBot="1" x14ac:dyDescent="0.4">
      <c r="B41" s="13" t="s">
        <v>111</v>
      </c>
      <c r="C41" s="153" t="s">
        <v>34</v>
      </c>
      <c r="D41" s="108" t="s">
        <v>34</v>
      </c>
      <c r="E41" s="156" t="s">
        <v>34</v>
      </c>
      <c r="F41" s="68" t="s">
        <v>34</v>
      </c>
      <c r="G41" s="129">
        <v>17963</v>
      </c>
      <c r="H41" s="229">
        <v>1410</v>
      </c>
      <c r="I41" s="131">
        <v>0.19700000000000001</v>
      </c>
      <c r="J41" s="156" t="s">
        <v>34</v>
      </c>
      <c r="K41" s="135" t="s">
        <v>34</v>
      </c>
      <c r="L41" s="130">
        <v>1.61E-2</v>
      </c>
      <c r="M41" s="131">
        <v>1.6E-2</v>
      </c>
      <c r="N41" s="131" t="s">
        <v>34</v>
      </c>
      <c r="O41" s="132">
        <v>1.7500000000000002E-2</v>
      </c>
      <c r="P41" s="129">
        <f t="shared" si="6"/>
        <v>287.40800000000002</v>
      </c>
      <c r="Q41" s="169">
        <f t="shared" si="7"/>
        <v>314.35250000000002</v>
      </c>
      <c r="R41" s="167"/>
      <c r="S41" s="106" t="s">
        <v>111</v>
      </c>
      <c r="T41" s="108" t="s">
        <v>34</v>
      </c>
      <c r="U41" s="108" t="s">
        <v>34</v>
      </c>
      <c r="V41" s="148" t="s">
        <v>34</v>
      </c>
    </row>
    <row r="42" spans="2:23" ht="15" thickTop="1" x14ac:dyDescent="0.35">
      <c r="B42" s="3"/>
      <c r="C42" s="117"/>
      <c r="D42" s="119"/>
      <c r="E42" s="118"/>
      <c r="F42" s="118"/>
      <c r="G42" s="133"/>
      <c r="H42" s="133"/>
      <c r="I42" s="133"/>
      <c r="J42" s="133"/>
      <c r="K42" s="128"/>
      <c r="L42" s="95"/>
      <c r="M42" s="95"/>
      <c r="N42" s="95"/>
      <c r="O42" s="95"/>
      <c r="P42" s="133"/>
      <c r="Q42" s="133"/>
      <c r="R42" s="133"/>
      <c r="T42" s="119"/>
      <c r="U42" s="119"/>
      <c r="V42" s="119"/>
    </row>
    <row r="45" spans="2:23" ht="15" thickBot="1" x14ac:dyDescent="0.4">
      <c r="B45" s="3" t="s">
        <v>21</v>
      </c>
      <c r="C45" s="3"/>
      <c r="E45" s="3"/>
      <c r="T45" s="3"/>
      <c r="U45" s="3"/>
    </row>
    <row r="46" spans="2:23" ht="15" thickTop="1" x14ac:dyDescent="0.35">
      <c r="B46" s="5"/>
      <c r="C46" s="231" t="str">
        <f>C6</f>
        <v>Jan. 24, 2022 to Jan. 15 2024 in billion EUR</v>
      </c>
      <c r="D46" s="234"/>
      <c r="E46" s="15" t="str">
        <f t="shared" ref="E46:L46" si="9">E6</f>
        <v>Annualized</v>
      </c>
      <c r="F46" s="39" t="str">
        <f t="shared" si="9"/>
        <v>Annualized</v>
      </c>
      <c r="G46" s="15" t="str">
        <f t="shared" si="9"/>
        <v>Latest annual</v>
      </c>
      <c r="H46" s="15" t="str">
        <f t="shared" si="9"/>
        <v>Population</v>
      </c>
      <c r="I46" s="15" t="str">
        <f t="shared" si="9"/>
        <v>Exports</v>
      </c>
      <c r="J46" s="15" t="str">
        <f t="shared" si="9"/>
        <v>Annual</v>
      </c>
      <c r="K46" s="15" t="str">
        <f t="shared" si="9"/>
        <v>Annual</v>
      </c>
      <c r="L46" s="231" t="str">
        <f t="shared" si="9"/>
        <v>Military spending in % of GDP</v>
      </c>
      <c r="M46" s="232"/>
      <c r="N46" s="232"/>
      <c r="O46" s="234"/>
      <c r="P46" s="15" t="str">
        <f>P6</f>
        <v>Military spending</v>
      </c>
      <c r="Q46" s="15"/>
      <c r="R46" s="141"/>
      <c r="S46" s="137"/>
      <c r="T46" s="6" t="s">
        <v>81</v>
      </c>
      <c r="U46" s="6"/>
      <c r="V46" s="6"/>
    </row>
    <row r="47" spans="2:23" x14ac:dyDescent="0.35">
      <c r="B47" s="51"/>
      <c r="C47" s="7" t="str">
        <f>C7</f>
        <v>Military aid</v>
      </c>
      <c r="D47" s="140" t="str">
        <f t="shared" ref="D47:K48" si="10">D7</f>
        <v>Military, financial &amp;</v>
      </c>
      <c r="E47" s="7" t="str">
        <f t="shared" si="10"/>
        <v>Military aid</v>
      </c>
      <c r="F47" s="140" t="str">
        <f t="shared" si="10"/>
        <v>Mil.,fin.,hum.</v>
      </c>
      <c r="G47" s="7" t="str">
        <f t="shared" si="10"/>
        <v xml:space="preserve">GDP in </v>
      </c>
      <c r="H47" s="7" t="str">
        <f t="shared" si="10"/>
        <v>in 2023 in</v>
      </c>
      <c r="I47" s="7" t="str">
        <f t="shared" si="10"/>
        <v>in % of</v>
      </c>
      <c r="J47" s="7" t="str">
        <f t="shared" si="10"/>
        <v>military aid</v>
      </c>
      <c r="K47" s="7" t="str">
        <f t="shared" si="10"/>
        <v>total aid</v>
      </c>
      <c r="L47" s="7"/>
      <c r="M47" s="3"/>
      <c r="N47" s="3"/>
      <c r="O47" s="140" t="str">
        <f>O7</f>
        <v>Estimate</v>
      </c>
      <c r="P47" s="7" t="str">
        <f>P7</f>
        <v>in billion USD</v>
      </c>
      <c r="Q47" s="7"/>
      <c r="R47" s="141"/>
      <c r="S47" s="123"/>
      <c r="T47" s="3"/>
      <c r="U47" s="3"/>
      <c r="V47" s="3"/>
    </row>
    <row r="48" spans="2:23" ht="15" thickBot="1" x14ac:dyDescent="0.4">
      <c r="B48" s="17"/>
      <c r="C48" s="13"/>
      <c r="D48" s="40" t="str">
        <f t="shared" si="10"/>
        <v>humanitarian aid</v>
      </c>
      <c r="E48" s="13" t="str">
        <f t="shared" si="10"/>
        <v>billion USD</v>
      </c>
      <c r="F48" s="40" t="str">
        <f t="shared" si="10"/>
        <v>billion USD</v>
      </c>
      <c r="G48" s="13" t="str">
        <f t="shared" si="10"/>
        <v>billion USD</v>
      </c>
      <c r="H48" s="13" t="str">
        <f t="shared" si="10"/>
        <v>millions</v>
      </c>
      <c r="I48" s="13" t="str">
        <f t="shared" si="10"/>
        <v>GDP</v>
      </c>
      <c r="J48" s="13" t="str">
        <f t="shared" si="10"/>
        <v>in % GDP</v>
      </c>
      <c r="K48" s="13" t="str">
        <f t="shared" si="10"/>
        <v>in % GDP</v>
      </c>
      <c r="L48" s="13">
        <f>L8</f>
        <v>2021</v>
      </c>
      <c r="M48" s="18">
        <f>M8</f>
        <v>2022</v>
      </c>
      <c r="N48" s="18">
        <f>N8</f>
        <v>2023</v>
      </c>
      <c r="O48" s="40">
        <f>O8</f>
        <v>2024</v>
      </c>
      <c r="P48" s="13">
        <f>P8</f>
        <v>2023</v>
      </c>
      <c r="Q48" s="18">
        <f>Q8</f>
        <v>2024</v>
      </c>
      <c r="R48" s="104"/>
      <c r="S48" s="112"/>
      <c r="T48" s="18" t="s">
        <v>82</v>
      </c>
      <c r="U48" s="18" t="s">
        <v>83</v>
      </c>
      <c r="V48" s="18" t="s">
        <v>84</v>
      </c>
      <c r="W48" s="3" t="s">
        <v>34</v>
      </c>
    </row>
    <row r="49" spans="2:23" ht="15" thickTop="1" x14ac:dyDescent="0.35">
      <c r="B49" s="65" t="str">
        <f t="shared" ref="B49:B79" si="11">B9</f>
        <v xml:space="preserve">European Union </v>
      </c>
      <c r="C49" s="15"/>
      <c r="D49" s="23" t="s">
        <v>25</v>
      </c>
      <c r="E49" s="6"/>
      <c r="F49" s="69" t="s">
        <v>24</v>
      </c>
      <c r="G49" s="29" t="s">
        <v>70</v>
      </c>
      <c r="H49" s="161" t="s">
        <v>215</v>
      </c>
      <c r="I49" s="161" t="s">
        <v>1076</v>
      </c>
      <c r="J49" s="5" t="s">
        <v>35</v>
      </c>
      <c r="K49" s="24" t="s">
        <v>35</v>
      </c>
      <c r="L49" s="124" t="s">
        <v>34</v>
      </c>
      <c r="M49" s="125" t="s">
        <v>34</v>
      </c>
      <c r="N49" s="126" t="s">
        <v>34</v>
      </c>
      <c r="O49" s="164" t="s">
        <v>34</v>
      </c>
      <c r="P49" s="105" t="s">
        <v>88</v>
      </c>
      <c r="Q49" s="105" t="s">
        <v>88</v>
      </c>
      <c r="R49" s="105"/>
      <c r="S49" s="138" t="s">
        <v>41</v>
      </c>
      <c r="T49" t="s">
        <v>25</v>
      </c>
      <c r="U49" t="s">
        <v>25</v>
      </c>
      <c r="V49" t="s">
        <v>25</v>
      </c>
      <c r="W49" s="3" t="s">
        <v>34</v>
      </c>
    </row>
    <row r="50" spans="2:23" x14ac:dyDescent="0.35">
      <c r="B50" s="7" t="str">
        <f t="shared" si="11"/>
        <v>USA (nuclear weapons) NATO</v>
      </c>
      <c r="C50" s="85" t="s">
        <v>25</v>
      </c>
      <c r="D50" s="84" t="s">
        <v>25</v>
      </c>
      <c r="E50" s="20"/>
      <c r="F50" s="70" t="s">
        <v>24</v>
      </c>
      <c r="G50" s="85" t="s">
        <v>36</v>
      </c>
      <c r="H50" s="20" t="s">
        <v>214</v>
      </c>
      <c r="I50" s="20" t="s">
        <v>1075</v>
      </c>
      <c r="J50" s="51" t="s">
        <v>35</v>
      </c>
      <c r="K50" s="25" t="s">
        <v>35</v>
      </c>
      <c r="L50" s="51" t="s">
        <v>93</v>
      </c>
      <c r="M50" s="4" t="s">
        <v>93</v>
      </c>
      <c r="N50" s="214" t="s">
        <v>90</v>
      </c>
      <c r="O50" s="41" t="s">
        <v>156</v>
      </c>
      <c r="P50" s="105" t="s">
        <v>35</v>
      </c>
      <c r="Q50" s="105" t="s">
        <v>35</v>
      </c>
      <c r="R50" s="105"/>
      <c r="S50" s="104" t="s">
        <v>114</v>
      </c>
      <c r="T50" t="s">
        <v>25</v>
      </c>
      <c r="U50" t="s">
        <v>25</v>
      </c>
      <c r="V50" t="s">
        <v>25</v>
      </c>
      <c r="W50" s="3" t="s">
        <v>34</v>
      </c>
    </row>
    <row r="51" spans="2:23" x14ac:dyDescent="0.35">
      <c r="B51" s="65" t="str">
        <f t="shared" si="11"/>
        <v>Germany NATO</v>
      </c>
      <c r="C51" s="85" t="s">
        <v>25</v>
      </c>
      <c r="D51" s="26" t="s">
        <v>25</v>
      </c>
      <c r="E51" s="20"/>
      <c r="F51" s="70" t="s">
        <v>24</v>
      </c>
      <c r="G51" s="31" t="s">
        <v>37</v>
      </c>
      <c r="H51" s="97" t="s">
        <v>216</v>
      </c>
      <c r="I51" s="97" t="s">
        <v>1080</v>
      </c>
      <c r="J51" s="51" t="s">
        <v>35</v>
      </c>
      <c r="K51" s="25" t="s">
        <v>35</v>
      </c>
      <c r="L51" s="51" t="s">
        <v>94</v>
      </c>
      <c r="M51" t="s">
        <v>94</v>
      </c>
      <c r="N51" s="214" t="s">
        <v>90</v>
      </c>
      <c r="O51" s="93" t="s">
        <v>1593</v>
      </c>
      <c r="P51" s="105" t="s">
        <v>35</v>
      </c>
      <c r="Q51" s="105" t="s">
        <v>35</v>
      </c>
      <c r="R51" s="105"/>
      <c r="S51" s="138" t="s">
        <v>123</v>
      </c>
      <c r="T51" t="s">
        <v>25</v>
      </c>
      <c r="U51" t="s">
        <v>25</v>
      </c>
      <c r="V51" t="s">
        <v>25</v>
      </c>
      <c r="W51" s="3" t="s">
        <v>34</v>
      </c>
    </row>
    <row r="52" spans="2:23" x14ac:dyDescent="0.35">
      <c r="B52" s="65" t="str">
        <f t="shared" si="11"/>
        <v>UK (nuclear weapons) NATO</v>
      </c>
      <c r="C52" s="85" t="s">
        <v>25</v>
      </c>
      <c r="D52" s="26" t="s">
        <v>25</v>
      </c>
      <c r="E52" s="20"/>
      <c r="F52" s="70" t="s">
        <v>24</v>
      </c>
      <c r="G52" s="31" t="s">
        <v>38</v>
      </c>
      <c r="H52" s="97" t="s">
        <v>217</v>
      </c>
      <c r="I52" s="97" t="s">
        <v>1081</v>
      </c>
      <c r="J52" s="51" t="s">
        <v>35</v>
      </c>
      <c r="K52" s="25" t="s">
        <v>35</v>
      </c>
      <c r="L52" s="31" t="s">
        <v>98</v>
      </c>
      <c r="M52" s="97" t="s">
        <v>98</v>
      </c>
      <c r="N52" s="214" t="s">
        <v>90</v>
      </c>
      <c r="O52" s="41" t="s">
        <v>1595</v>
      </c>
      <c r="P52" s="105" t="s">
        <v>35</v>
      </c>
      <c r="Q52" s="105" t="s">
        <v>35</v>
      </c>
      <c r="R52" s="105"/>
      <c r="S52" s="138" t="s">
        <v>104</v>
      </c>
      <c r="T52" t="s">
        <v>25</v>
      </c>
      <c r="U52" t="s">
        <v>25</v>
      </c>
      <c r="V52" t="s">
        <v>25</v>
      </c>
      <c r="W52" s="3" t="s">
        <v>34</v>
      </c>
    </row>
    <row r="53" spans="2:23" x14ac:dyDescent="0.35">
      <c r="B53" s="65" t="str">
        <f t="shared" si="11"/>
        <v>Denmark NATO</v>
      </c>
      <c r="C53" s="85" t="s">
        <v>25</v>
      </c>
      <c r="D53" s="26" t="s">
        <v>25</v>
      </c>
      <c r="E53" s="20"/>
      <c r="F53" s="70" t="s">
        <v>24</v>
      </c>
      <c r="G53" s="31" t="s">
        <v>45</v>
      </c>
      <c r="H53" s="97" t="s">
        <v>219</v>
      </c>
      <c r="I53" s="97" t="s">
        <v>1082</v>
      </c>
      <c r="J53" s="51" t="s">
        <v>35</v>
      </c>
      <c r="K53" s="25" t="s">
        <v>35</v>
      </c>
      <c r="L53" s="51" t="s">
        <v>103</v>
      </c>
      <c r="M53" t="s">
        <v>103</v>
      </c>
      <c r="N53" s="214" t="s">
        <v>90</v>
      </c>
      <c r="O53" s="41" t="s">
        <v>156</v>
      </c>
      <c r="P53" s="105" t="s">
        <v>35</v>
      </c>
      <c r="Q53" s="105" t="s">
        <v>35</v>
      </c>
      <c r="R53" s="105"/>
      <c r="S53" s="138" t="s">
        <v>119</v>
      </c>
      <c r="T53" t="s">
        <v>25</v>
      </c>
      <c r="U53" t="s">
        <v>25</v>
      </c>
      <c r="V53" t="s">
        <v>25</v>
      </c>
      <c r="W53" s="3" t="s">
        <v>34</v>
      </c>
    </row>
    <row r="54" spans="2:23" x14ac:dyDescent="0.35">
      <c r="B54" s="65" t="str">
        <f t="shared" si="11"/>
        <v>Norway NATO</v>
      </c>
      <c r="C54" s="85" t="s">
        <v>25</v>
      </c>
      <c r="D54" s="26" t="s">
        <v>25</v>
      </c>
      <c r="E54" s="20"/>
      <c r="F54" s="70" t="s">
        <v>24</v>
      </c>
      <c r="G54" s="31" t="s">
        <v>39</v>
      </c>
      <c r="H54" s="97" t="s">
        <v>220</v>
      </c>
      <c r="I54" s="97" t="s">
        <v>1083</v>
      </c>
      <c r="J54" s="51" t="s">
        <v>35</v>
      </c>
      <c r="K54" s="25" t="s">
        <v>35</v>
      </c>
      <c r="L54" s="51" t="s">
        <v>99</v>
      </c>
      <c r="M54" t="s">
        <v>99</v>
      </c>
      <c r="N54" s="214" t="s">
        <v>90</v>
      </c>
      <c r="O54" s="41" t="s">
        <v>1582</v>
      </c>
      <c r="P54" s="105" t="s">
        <v>35</v>
      </c>
      <c r="Q54" s="105" t="s">
        <v>35</v>
      </c>
      <c r="R54" s="105"/>
      <c r="S54" s="138" t="s">
        <v>121</v>
      </c>
      <c r="T54" t="s">
        <v>25</v>
      </c>
      <c r="U54" t="s">
        <v>25</v>
      </c>
      <c r="V54" t="s">
        <v>25</v>
      </c>
      <c r="W54" s="3" t="s">
        <v>34</v>
      </c>
    </row>
    <row r="55" spans="2:23" x14ac:dyDescent="0.35">
      <c r="B55" s="7" t="str">
        <f t="shared" si="11"/>
        <v>Japan</v>
      </c>
      <c r="C55" s="85" t="s">
        <v>25</v>
      </c>
      <c r="D55" s="26" t="s">
        <v>25</v>
      </c>
      <c r="E55" s="20"/>
      <c r="F55" s="70" t="s">
        <v>24</v>
      </c>
      <c r="G55" s="31" t="s">
        <v>40</v>
      </c>
      <c r="H55" s="97" t="s">
        <v>221</v>
      </c>
      <c r="I55" s="97" t="s">
        <v>1084</v>
      </c>
      <c r="J55" s="51" t="s">
        <v>35</v>
      </c>
      <c r="K55" s="25" t="s">
        <v>35</v>
      </c>
      <c r="L55" s="51" t="s">
        <v>89</v>
      </c>
      <c r="M55" t="s">
        <v>89</v>
      </c>
      <c r="N55" t="s">
        <v>34</v>
      </c>
      <c r="O55" s="41" t="s">
        <v>156</v>
      </c>
      <c r="P55" s="105" t="s">
        <v>35</v>
      </c>
      <c r="Q55" s="105" t="s">
        <v>35</v>
      </c>
      <c r="R55" s="105"/>
      <c r="S55" s="104" t="s">
        <v>11</v>
      </c>
      <c r="T55" t="s">
        <v>25</v>
      </c>
      <c r="U55" t="s">
        <v>25</v>
      </c>
      <c r="V55" t="s">
        <v>25</v>
      </c>
      <c r="W55" s="3" t="s">
        <v>34</v>
      </c>
    </row>
    <row r="56" spans="2:23" x14ac:dyDescent="0.35">
      <c r="B56" s="7" t="str">
        <f t="shared" si="11"/>
        <v>Canada NATO</v>
      </c>
      <c r="C56" s="85" t="s">
        <v>25</v>
      </c>
      <c r="D56" s="26" t="s">
        <v>25</v>
      </c>
      <c r="E56" s="20"/>
      <c r="F56" s="70" t="s">
        <v>24</v>
      </c>
      <c r="G56" s="31" t="s">
        <v>42</v>
      </c>
      <c r="H56" s="97" t="s">
        <v>222</v>
      </c>
      <c r="I56" s="97" t="s">
        <v>1085</v>
      </c>
      <c r="J56" s="51" t="s">
        <v>35</v>
      </c>
      <c r="K56" s="25" t="s">
        <v>35</v>
      </c>
      <c r="L56" s="51" t="s">
        <v>100</v>
      </c>
      <c r="M56" t="s">
        <v>100</v>
      </c>
      <c r="N56" s="214" t="s">
        <v>90</v>
      </c>
      <c r="O56" s="41" t="s">
        <v>156</v>
      </c>
      <c r="P56" s="105" t="s">
        <v>35</v>
      </c>
      <c r="Q56" s="105" t="s">
        <v>35</v>
      </c>
      <c r="R56" s="105"/>
      <c r="S56" s="104" t="s">
        <v>122</v>
      </c>
      <c r="T56" t="s">
        <v>25</v>
      </c>
      <c r="U56" t="s">
        <v>25</v>
      </c>
      <c r="V56" t="s">
        <v>25</v>
      </c>
      <c r="W56" s="3" t="s">
        <v>34</v>
      </c>
    </row>
    <row r="57" spans="2:23" x14ac:dyDescent="0.35">
      <c r="B57" s="65" t="str">
        <f t="shared" si="11"/>
        <v>Poland NATO</v>
      </c>
      <c r="C57" s="85" t="s">
        <v>25</v>
      </c>
      <c r="D57" s="26" t="s">
        <v>25</v>
      </c>
      <c r="E57" s="20"/>
      <c r="F57" s="70" t="s">
        <v>24</v>
      </c>
      <c r="G57" s="31" t="s">
        <v>43</v>
      </c>
      <c r="H57" s="97" t="s">
        <v>223</v>
      </c>
      <c r="I57" s="97" t="s">
        <v>1086</v>
      </c>
      <c r="J57" s="51" t="s">
        <v>35</v>
      </c>
      <c r="K57" s="25" t="s">
        <v>35</v>
      </c>
      <c r="L57" s="51" t="s">
        <v>101</v>
      </c>
      <c r="M57" t="s">
        <v>101</v>
      </c>
      <c r="N57" s="214" t="s">
        <v>90</v>
      </c>
      <c r="O57" s="93" t="s">
        <v>1365</v>
      </c>
      <c r="P57" s="105" t="s">
        <v>35</v>
      </c>
      <c r="Q57" s="105" t="s">
        <v>35</v>
      </c>
      <c r="R57" s="105"/>
      <c r="S57" s="138" t="s">
        <v>124</v>
      </c>
      <c r="T57" t="s">
        <v>25</v>
      </c>
      <c r="U57" t="s">
        <v>25</v>
      </c>
      <c r="V57" t="s">
        <v>25</v>
      </c>
      <c r="W57" s="3" t="s">
        <v>34</v>
      </c>
    </row>
    <row r="58" spans="2:23" x14ac:dyDescent="0.35">
      <c r="B58" s="65" t="str">
        <f t="shared" si="11"/>
        <v>Netherlands NATO</v>
      </c>
      <c r="C58" s="85" t="s">
        <v>25</v>
      </c>
      <c r="D58" s="26" t="s">
        <v>25</v>
      </c>
      <c r="E58" s="20"/>
      <c r="F58" s="70" t="s">
        <v>24</v>
      </c>
      <c r="G58" s="31" t="s">
        <v>44</v>
      </c>
      <c r="H58" s="97" t="s">
        <v>224</v>
      </c>
      <c r="I58" s="97" t="s">
        <v>1087</v>
      </c>
      <c r="J58" s="51" t="s">
        <v>35</v>
      </c>
      <c r="K58" s="25" t="s">
        <v>35</v>
      </c>
      <c r="L58" s="51" t="s">
        <v>102</v>
      </c>
      <c r="M58" t="s">
        <v>102</v>
      </c>
      <c r="N58" s="214" t="s">
        <v>90</v>
      </c>
      <c r="O58" s="41" t="s">
        <v>156</v>
      </c>
      <c r="P58" s="105" t="s">
        <v>35</v>
      </c>
      <c r="Q58" s="105" t="s">
        <v>35</v>
      </c>
      <c r="R58" s="105"/>
      <c r="S58" s="138" t="s">
        <v>120</v>
      </c>
      <c r="T58" t="s">
        <v>25</v>
      </c>
      <c r="U58" t="s">
        <v>25</v>
      </c>
      <c r="V58" t="s">
        <v>25</v>
      </c>
      <c r="W58" s="3" t="s">
        <v>34</v>
      </c>
    </row>
    <row r="59" spans="2:23" x14ac:dyDescent="0.35">
      <c r="B59" s="65" t="str">
        <f t="shared" si="11"/>
        <v>Sweden NATO</v>
      </c>
      <c r="C59" s="85" t="s">
        <v>25</v>
      </c>
      <c r="D59" s="26" t="s">
        <v>25</v>
      </c>
      <c r="E59" s="20"/>
      <c r="F59" s="70" t="s">
        <v>24</v>
      </c>
      <c r="G59" s="31" t="s">
        <v>47</v>
      </c>
      <c r="H59" s="97" t="s">
        <v>225</v>
      </c>
      <c r="I59" s="97" t="s">
        <v>1088</v>
      </c>
      <c r="J59" s="51" t="s">
        <v>35</v>
      </c>
      <c r="K59" s="25" t="s">
        <v>35</v>
      </c>
      <c r="L59" s="31" t="s">
        <v>92</v>
      </c>
      <c r="M59" s="97" t="s">
        <v>92</v>
      </c>
      <c r="N59" s="215" t="s">
        <v>34</v>
      </c>
      <c r="O59" s="41" t="s">
        <v>1585</v>
      </c>
      <c r="P59" s="105" t="s">
        <v>35</v>
      </c>
      <c r="Q59" s="105" t="s">
        <v>35</v>
      </c>
      <c r="R59" s="105"/>
      <c r="S59" s="138" t="s">
        <v>118</v>
      </c>
      <c r="T59" t="s">
        <v>25</v>
      </c>
      <c r="U59" t="s">
        <v>25</v>
      </c>
      <c r="V59" t="s">
        <v>25</v>
      </c>
      <c r="W59" s="3" t="s">
        <v>34</v>
      </c>
    </row>
    <row r="60" spans="2:23" x14ac:dyDescent="0.35">
      <c r="B60" s="7" t="str">
        <f t="shared" si="11"/>
        <v>Switzerland</v>
      </c>
      <c r="C60" s="85" t="s">
        <v>25</v>
      </c>
      <c r="D60" s="26" t="s">
        <v>25</v>
      </c>
      <c r="E60" s="20"/>
      <c r="F60" s="70" t="s">
        <v>24</v>
      </c>
      <c r="G60" s="31" t="s">
        <v>48</v>
      </c>
      <c r="H60" s="97" t="s">
        <v>226</v>
      </c>
      <c r="I60" s="97" t="s">
        <v>1089</v>
      </c>
      <c r="J60" s="51" t="s">
        <v>35</v>
      </c>
      <c r="K60" s="25" t="s">
        <v>35</v>
      </c>
      <c r="L60" s="51" t="s">
        <v>125</v>
      </c>
      <c r="M60" t="s">
        <v>125</v>
      </c>
      <c r="N60" s="215" t="s">
        <v>34</v>
      </c>
      <c r="O60" s="41" t="s">
        <v>156</v>
      </c>
      <c r="P60" s="105" t="s">
        <v>35</v>
      </c>
      <c r="Q60" s="105" t="s">
        <v>35</v>
      </c>
      <c r="R60" s="105"/>
      <c r="S60" s="104" t="s">
        <v>13</v>
      </c>
      <c r="T60" t="s">
        <v>25</v>
      </c>
      <c r="U60" t="s">
        <v>25</v>
      </c>
      <c r="V60" t="s">
        <v>25</v>
      </c>
      <c r="W60" s="3" t="s">
        <v>34</v>
      </c>
    </row>
    <row r="61" spans="2:23" x14ac:dyDescent="0.35">
      <c r="B61" s="7" t="str">
        <f t="shared" si="11"/>
        <v>France (nuclear weapons) NATO</v>
      </c>
      <c r="C61" s="85" t="s">
        <v>25</v>
      </c>
      <c r="D61" s="26" t="s">
        <v>25</v>
      </c>
      <c r="E61" s="20"/>
      <c r="F61" s="70" t="s">
        <v>24</v>
      </c>
      <c r="G61" s="31" t="s">
        <v>49</v>
      </c>
      <c r="H61" s="97" t="s">
        <v>227</v>
      </c>
      <c r="I61" s="97" t="s">
        <v>1090</v>
      </c>
      <c r="J61" s="51" t="s">
        <v>35</v>
      </c>
      <c r="K61" s="25" t="s">
        <v>35</v>
      </c>
      <c r="L61" s="51" t="s">
        <v>126</v>
      </c>
      <c r="M61" t="s">
        <v>126</v>
      </c>
      <c r="N61" s="214" t="s">
        <v>90</v>
      </c>
      <c r="O61" s="41" t="s">
        <v>156</v>
      </c>
      <c r="P61" s="105" t="s">
        <v>35</v>
      </c>
      <c r="Q61" s="105" t="s">
        <v>35</v>
      </c>
      <c r="R61" s="105"/>
      <c r="S61" s="104" t="s">
        <v>105</v>
      </c>
      <c r="T61" t="s">
        <v>25</v>
      </c>
      <c r="U61" t="s">
        <v>25</v>
      </c>
      <c r="V61" t="s">
        <v>25</v>
      </c>
      <c r="W61" s="3" t="s">
        <v>34</v>
      </c>
    </row>
    <row r="62" spans="2:23" x14ac:dyDescent="0.35">
      <c r="B62" s="65" t="str">
        <f t="shared" si="11"/>
        <v>Finland NATO</v>
      </c>
      <c r="C62" s="85" t="s">
        <v>25</v>
      </c>
      <c r="D62" s="26" t="s">
        <v>25</v>
      </c>
      <c r="E62" s="20"/>
      <c r="F62" s="70" t="s">
        <v>24</v>
      </c>
      <c r="G62" s="31" t="s">
        <v>50</v>
      </c>
      <c r="H62" s="97" t="s">
        <v>228</v>
      </c>
      <c r="I62" s="97" t="s">
        <v>1091</v>
      </c>
      <c r="J62" s="51" t="s">
        <v>35</v>
      </c>
      <c r="K62" s="25" t="s">
        <v>35</v>
      </c>
      <c r="L62" s="51" t="s">
        <v>127</v>
      </c>
      <c r="M62" t="s">
        <v>127</v>
      </c>
      <c r="N62" s="214" t="s">
        <v>90</v>
      </c>
      <c r="O62" s="41" t="s">
        <v>1580</v>
      </c>
      <c r="P62" s="105" t="s">
        <v>35</v>
      </c>
      <c r="Q62" s="105" t="s">
        <v>35</v>
      </c>
      <c r="R62" s="105"/>
      <c r="S62" s="138" t="s">
        <v>117</v>
      </c>
      <c r="T62" t="s">
        <v>25</v>
      </c>
      <c r="U62" t="s">
        <v>25</v>
      </c>
      <c r="V62" t="s">
        <v>25</v>
      </c>
      <c r="W62" s="3" t="s">
        <v>34</v>
      </c>
    </row>
    <row r="63" spans="2:23" x14ac:dyDescent="0.35">
      <c r="B63" s="65" t="str">
        <f t="shared" si="11"/>
        <v>Czech Republic NATO</v>
      </c>
      <c r="C63" s="85" t="s">
        <v>25</v>
      </c>
      <c r="D63" s="26" t="s">
        <v>25</v>
      </c>
      <c r="E63" s="20"/>
      <c r="F63" s="70" t="s">
        <v>24</v>
      </c>
      <c r="G63" s="31" t="s">
        <v>51</v>
      </c>
      <c r="H63" s="97" t="s">
        <v>229</v>
      </c>
      <c r="I63" s="97" t="s">
        <v>1092</v>
      </c>
      <c r="J63" s="51" t="s">
        <v>35</v>
      </c>
      <c r="K63" s="25" t="s">
        <v>35</v>
      </c>
      <c r="L63" s="31" t="s">
        <v>128</v>
      </c>
      <c r="M63" t="s">
        <v>128</v>
      </c>
      <c r="N63" s="214" t="s">
        <v>90</v>
      </c>
      <c r="O63" s="41" t="s">
        <v>156</v>
      </c>
      <c r="P63" s="105" t="s">
        <v>35</v>
      </c>
      <c r="Q63" s="105" t="s">
        <v>35</v>
      </c>
      <c r="R63" s="105"/>
      <c r="S63" s="138" t="s">
        <v>115</v>
      </c>
      <c r="T63" t="s">
        <v>25</v>
      </c>
      <c r="U63" t="s">
        <v>25</v>
      </c>
      <c r="V63" t="s">
        <v>25</v>
      </c>
      <c r="W63" s="3" t="s">
        <v>34</v>
      </c>
    </row>
    <row r="64" spans="2:23" ht="15" thickBot="1" x14ac:dyDescent="0.4">
      <c r="B64" s="7" t="str">
        <f t="shared" si="11"/>
        <v>Italy NATO</v>
      </c>
      <c r="C64" s="85" t="s">
        <v>25</v>
      </c>
      <c r="D64" s="26" t="s">
        <v>25</v>
      </c>
      <c r="E64" s="20"/>
      <c r="F64" s="70" t="s">
        <v>24</v>
      </c>
      <c r="G64" s="31" t="s">
        <v>52</v>
      </c>
      <c r="H64" s="97" t="s">
        <v>230</v>
      </c>
      <c r="I64" s="97" t="s">
        <v>1093</v>
      </c>
      <c r="J64" s="51" t="s">
        <v>35</v>
      </c>
      <c r="K64" s="25" t="s">
        <v>35</v>
      </c>
      <c r="L64" s="17" t="s">
        <v>129</v>
      </c>
      <c r="M64" s="14" t="s">
        <v>129</v>
      </c>
      <c r="N64" s="216" t="s">
        <v>90</v>
      </c>
      <c r="O64" s="132" t="s">
        <v>156</v>
      </c>
      <c r="P64" s="105" t="s">
        <v>35</v>
      </c>
      <c r="Q64" s="105" t="s">
        <v>35</v>
      </c>
      <c r="R64" s="105"/>
      <c r="S64" s="104" t="s">
        <v>116</v>
      </c>
      <c r="T64" t="s">
        <v>25</v>
      </c>
      <c r="U64" t="s">
        <v>25</v>
      </c>
      <c r="V64" t="s">
        <v>25</v>
      </c>
      <c r="W64" s="3" t="s">
        <v>34</v>
      </c>
    </row>
    <row r="65" spans="2:23" ht="15" thickTop="1" x14ac:dyDescent="0.35">
      <c r="B65" s="139" t="str">
        <f t="shared" si="11"/>
        <v>All blue aid countries</v>
      </c>
      <c r="C65" s="154" t="s">
        <v>24</v>
      </c>
      <c r="D65" s="69" t="s">
        <v>24</v>
      </c>
      <c r="E65" s="69" t="s">
        <v>24</v>
      </c>
      <c r="F65" s="86" t="s">
        <v>24</v>
      </c>
      <c r="G65" s="89" t="s">
        <v>35</v>
      </c>
      <c r="H65" s="19" t="s">
        <v>35</v>
      </c>
      <c r="I65" s="19"/>
      <c r="J65" s="5" t="s">
        <v>35</v>
      </c>
      <c r="K65" s="24" t="s">
        <v>35</v>
      </c>
      <c r="L65" s="134" t="s">
        <v>34</v>
      </c>
      <c r="M65" s="79" t="s">
        <v>34</v>
      </c>
      <c r="N65" s="113" t="s">
        <v>34</v>
      </c>
      <c r="O65" s="113"/>
      <c r="P65" s="110" t="s">
        <v>35</v>
      </c>
      <c r="Q65" s="110" t="s">
        <v>35</v>
      </c>
      <c r="R65" s="105"/>
      <c r="S65" s="139" t="s">
        <v>85</v>
      </c>
      <c r="T65" s="69" t="s">
        <v>24</v>
      </c>
      <c r="U65" s="69" t="s">
        <v>24</v>
      </c>
      <c r="V65" s="69" t="s">
        <v>24</v>
      </c>
      <c r="W65" s="3" t="s">
        <v>34</v>
      </c>
    </row>
    <row r="66" spans="2:23" x14ac:dyDescent="0.35">
      <c r="B66" s="104" t="str">
        <f t="shared" si="11"/>
        <v>All aid countries incl EU - US</v>
      </c>
      <c r="C66" s="155" t="s">
        <v>24</v>
      </c>
      <c r="D66" s="70" t="s">
        <v>24</v>
      </c>
      <c r="E66" s="70" t="s">
        <v>24</v>
      </c>
      <c r="F66" s="87" t="s">
        <v>24</v>
      </c>
      <c r="G66" s="90" t="s">
        <v>35</v>
      </c>
      <c r="H66" t="s">
        <v>35</v>
      </c>
      <c r="J66" s="51" t="s">
        <v>35</v>
      </c>
      <c r="K66" s="25" t="s">
        <v>35</v>
      </c>
      <c r="L66" s="119" t="s">
        <v>34</v>
      </c>
      <c r="M66" s="119" t="s">
        <v>34</v>
      </c>
      <c r="N66" s="118" t="s">
        <v>34</v>
      </c>
      <c r="O66" s="212"/>
      <c r="P66" s="105" t="s">
        <v>35</v>
      </c>
      <c r="Q66" s="105" t="s">
        <v>35</v>
      </c>
      <c r="R66" s="105"/>
      <c r="S66" s="104" t="s">
        <v>86</v>
      </c>
      <c r="T66" s="70" t="s">
        <v>24</v>
      </c>
      <c r="U66" s="70" t="s">
        <v>24</v>
      </c>
      <c r="V66" s="70" t="s">
        <v>24</v>
      </c>
      <c r="W66" s="3" t="s">
        <v>34</v>
      </c>
    </row>
    <row r="67" spans="2:23" ht="15" thickBot="1" x14ac:dyDescent="0.4">
      <c r="B67" s="106" t="str">
        <f t="shared" si="11"/>
        <v>All aid countries incl EU &amp; US</v>
      </c>
      <c r="C67" s="156" t="s">
        <v>24</v>
      </c>
      <c r="D67" s="68" t="s">
        <v>24</v>
      </c>
      <c r="E67" s="68" t="s">
        <v>24</v>
      </c>
      <c r="F67" s="88" t="s">
        <v>24</v>
      </c>
      <c r="G67" s="67" t="s">
        <v>35</v>
      </c>
      <c r="H67" s="14" t="s">
        <v>35</v>
      </c>
      <c r="I67" s="14"/>
      <c r="J67" s="17" t="s">
        <v>35</v>
      </c>
      <c r="K67" s="28" t="s">
        <v>35</v>
      </c>
      <c r="L67" s="119" t="s">
        <v>34</v>
      </c>
      <c r="M67" s="119" t="s">
        <v>34</v>
      </c>
      <c r="N67" s="118" t="s">
        <v>34</v>
      </c>
      <c r="O67" s="213"/>
      <c r="P67" s="105" t="s">
        <v>35</v>
      </c>
      <c r="Q67" s="105" t="s">
        <v>35</v>
      </c>
      <c r="R67" s="105"/>
      <c r="S67" s="104" t="s">
        <v>87</v>
      </c>
      <c r="T67" s="68" t="s">
        <v>24</v>
      </c>
      <c r="U67" s="68" t="s">
        <v>24</v>
      </c>
      <c r="V67" s="68" t="s">
        <v>24</v>
      </c>
    </row>
    <row r="68" spans="2:23" ht="15" thickTop="1" x14ac:dyDescent="0.35">
      <c r="B68" s="7" t="str">
        <f t="shared" si="11"/>
        <v>Russia (nuclear weapons)</v>
      </c>
      <c r="C68" s="154" t="s">
        <v>34</v>
      </c>
      <c r="D68" s="19" t="s">
        <v>34</v>
      </c>
      <c r="E68" s="120" t="s">
        <v>62</v>
      </c>
      <c r="F68" s="19"/>
      <c r="G68" s="29" t="s">
        <v>54</v>
      </c>
      <c r="H68" s="161" t="s">
        <v>231</v>
      </c>
      <c r="I68" s="161" t="s">
        <v>1078</v>
      </c>
      <c r="J68" s="5" t="s">
        <v>35</v>
      </c>
      <c r="K68" s="24" t="s">
        <v>35</v>
      </c>
      <c r="L68" s="5" t="s">
        <v>96</v>
      </c>
      <c r="M68" s="161" t="s">
        <v>96</v>
      </c>
      <c r="N68" s="121" t="s">
        <v>35</v>
      </c>
      <c r="O68" s="663" t="s">
        <v>1707</v>
      </c>
      <c r="P68" s="111" t="s">
        <v>62</v>
      </c>
      <c r="Q68" s="123" t="s">
        <v>35</v>
      </c>
      <c r="R68" s="149" t="s">
        <v>34</v>
      </c>
      <c r="S68" s="80" t="s">
        <v>106</v>
      </c>
      <c r="T68" s="119" t="s">
        <v>34</v>
      </c>
      <c r="U68" s="119" t="s">
        <v>34</v>
      </c>
      <c r="V68" s="119" t="s">
        <v>34</v>
      </c>
    </row>
    <row r="69" spans="2:23" x14ac:dyDescent="0.35">
      <c r="B69" s="7" t="str">
        <f t="shared" si="11"/>
        <v xml:space="preserve">Ukraine </v>
      </c>
      <c r="C69" s="155" t="s">
        <v>34</v>
      </c>
      <c r="E69" s="122" t="s">
        <v>60</v>
      </c>
      <c r="F69" s="122"/>
      <c r="G69" s="31" t="s">
        <v>68</v>
      </c>
      <c r="H69" s="97" t="s">
        <v>232</v>
      </c>
      <c r="I69" s="97" t="s">
        <v>1079</v>
      </c>
      <c r="J69" s="51" t="s">
        <v>35</v>
      </c>
      <c r="K69" s="25" t="s">
        <v>35</v>
      </c>
      <c r="L69" s="31" t="s">
        <v>95</v>
      </c>
      <c r="M69" s="97" t="s">
        <v>95</v>
      </c>
      <c r="N69" s="93" t="s">
        <v>97</v>
      </c>
      <c r="O69" s="93"/>
      <c r="P69" s="123" t="s">
        <v>35</v>
      </c>
      <c r="Q69" s="123" t="s">
        <v>35</v>
      </c>
      <c r="R69" s="123"/>
      <c r="S69" s="104" t="s">
        <v>107</v>
      </c>
      <c r="T69" s="119" t="s">
        <v>34</v>
      </c>
      <c r="U69" s="119" t="s">
        <v>34</v>
      </c>
      <c r="V69" s="119" t="s">
        <v>34</v>
      </c>
    </row>
    <row r="70" spans="2:23" x14ac:dyDescent="0.35">
      <c r="B70" s="7" t="str">
        <f t="shared" si="11"/>
        <v>Ukraine + foreign aid &amp; loans</v>
      </c>
      <c r="C70" s="155"/>
      <c r="E70" s="122"/>
      <c r="F70" s="122"/>
      <c r="G70" s="31"/>
      <c r="H70" s="97"/>
      <c r="I70" s="97"/>
      <c r="J70" s="217" t="s">
        <v>34</v>
      </c>
      <c r="K70" s="219" t="s">
        <v>34</v>
      </c>
      <c r="L70" s="31"/>
      <c r="M70" s="97"/>
      <c r="N70" s="93"/>
      <c r="O70" s="93"/>
      <c r="P70" s="123"/>
      <c r="Q70" s="123"/>
      <c r="R70" s="123"/>
      <c r="S70" s="104"/>
      <c r="T70" s="119"/>
      <c r="U70" s="119"/>
      <c r="V70" s="119"/>
    </row>
    <row r="71" spans="2:23" ht="15" thickBot="1" x14ac:dyDescent="0.4">
      <c r="B71" s="106" t="str">
        <f t="shared" si="11"/>
        <v>Ukraine spending in % of RUS</v>
      </c>
      <c r="C71" s="156"/>
      <c r="D71" s="14"/>
      <c r="E71" s="209"/>
      <c r="F71" s="209"/>
      <c r="G71" s="32"/>
      <c r="H71" s="210"/>
      <c r="I71" s="210"/>
      <c r="J71" s="220" t="s">
        <v>34</v>
      </c>
      <c r="K71" s="222" t="s">
        <v>34</v>
      </c>
      <c r="L71" s="32"/>
      <c r="M71" s="210"/>
      <c r="N71" s="211"/>
      <c r="O71" s="211"/>
      <c r="P71" s="112"/>
      <c r="Q71" s="112"/>
      <c r="R71" s="123"/>
      <c r="S71" s="104"/>
      <c r="T71" s="119"/>
      <c r="U71" s="119"/>
      <c r="V71" s="119"/>
    </row>
    <row r="72" spans="2:23" ht="15" thickTop="1" x14ac:dyDescent="0.35">
      <c r="B72" s="7" t="str">
        <f t="shared" si="11"/>
        <v>Israel (nuclear weapons)</v>
      </c>
      <c r="C72" s="152" t="s">
        <v>34</v>
      </c>
      <c r="D72" s="119" t="s">
        <v>34</v>
      </c>
      <c r="E72" s="118" t="s">
        <v>34</v>
      </c>
      <c r="F72" s="118" t="s">
        <v>34</v>
      </c>
      <c r="G72" s="99" t="s">
        <v>135</v>
      </c>
      <c r="H72" s="551" t="s">
        <v>1062</v>
      </c>
      <c r="I72" s="551" t="s">
        <v>1094</v>
      </c>
      <c r="J72" s="549" t="s">
        <v>34</v>
      </c>
      <c r="K72" s="98" t="s">
        <v>34</v>
      </c>
      <c r="L72" s="94" t="s">
        <v>136</v>
      </c>
      <c r="M72" s="94" t="s">
        <v>136</v>
      </c>
      <c r="N72" s="41" t="s">
        <v>34</v>
      </c>
      <c r="O72" s="41" t="s">
        <v>156</v>
      </c>
      <c r="P72" s="123" t="s">
        <v>35</v>
      </c>
      <c r="Q72" s="123" t="s">
        <v>35</v>
      </c>
      <c r="R72" s="123"/>
      <c r="S72" s="104" t="s">
        <v>108</v>
      </c>
      <c r="T72" s="119" t="s">
        <v>34</v>
      </c>
      <c r="U72" s="119" t="s">
        <v>34</v>
      </c>
      <c r="V72" s="119" t="s">
        <v>34</v>
      </c>
    </row>
    <row r="73" spans="2:23" x14ac:dyDescent="0.35">
      <c r="B73" s="7" t="str">
        <f t="shared" si="11"/>
        <v>Iran (nuclear weapons, 2 years?)</v>
      </c>
      <c r="C73" s="152" t="s">
        <v>34</v>
      </c>
      <c r="D73" s="119" t="s">
        <v>34</v>
      </c>
      <c r="E73" s="118" t="s">
        <v>34</v>
      </c>
      <c r="F73" s="118" t="s">
        <v>34</v>
      </c>
      <c r="G73" s="99" t="s">
        <v>134</v>
      </c>
      <c r="H73" s="551" t="s">
        <v>1056</v>
      </c>
      <c r="I73" s="551" t="s">
        <v>1095</v>
      </c>
      <c r="J73" s="127" t="s">
        <v>34</v>
      </c>
      <c r="K73" s="98" t="s">
        <v>34</v>
      </c>
      <c r="L73" s="94" t="s">
        <v>143</v>
      </c>
      <c r="M73" s="94" t="s">
        <v>143</v>
      </c>
      <c r="N73" s="41" t="s">
        <v>34</v>
      </c>
      <c r="O73" s="93" t="s">
        <v>1423</v>
      </c>
      <c r="P73" s="123" t="s">
        <v>35</v>
      </c>
      <c r="Q73" s="123" t="s">
        <v>35</v>
      </c>
      <c r="R73" s="123"/>
      <c r="S73" s="104" t="s">
        <v>113</v>
      </c>
      <c r="T73" s="119" t="s">
        <v>34</v>
      </c>
      <c r="U73" s="119" t="s">
        <v>34</v>
      </c>
      <c r="V73" s="119" t="s">
        <v>34</v>
      </c>
    </row>
    <row r="74" spans="2:23" x14ac:dyDescent="0.35">
      <c r="B74" s="7" t="str">
        <f t="shared" si="11"/>
        <v>North Korea (nuclear weapons)</v>
      </c>
      <c r="C74" s="152" t="s">
        <v>34</v>
      </c>
      <c r="D74" s="119" t="s">
        <v>34</v>
      </c>
      <c r="E74" s="118" t="s">
        <v>34</v>
      </c>
      <c r="F74" s="118" t="s">
        <v>34</v>
      </c>
      <c r="G74" s="99" t="s">
        <v>133</v>
      </c>
      <c r="H74" s="551" t="s">
        <v>1058</v>
      </c>
      <c r="I74" s="551" t="s">
        <v>34</v>
      </c>
      <c r="J74" s="127" t="s">
        <v>34</v>
      </c>
      <c r="K74" s="98" t="s">
        <v>34</v>
      </c>
      <c r="L74" s="94" t="s">
        <v>142</v>
      </c>
      <c r="M74" s="94" t="s">
        <v>142</v>
      </c>
      <c r="N74" s="41" t="s">
        <v>34</v>
      </c>
      <c r="O74" s="41" t="s">
        <v>156</v>
      </c>
      <c r="P74" s="123" t="s">
        <v>35</v>
      </c>
      <c r="Q74" s="123" t="s">
        <v>35</v>
      </c>
      <c r="R74" s="123"/>
      <c r="S74" s="104" t="s">
        <v>109</v>
      </c>
      <c r="T74" s="119" t="s">
        <v>34</v>
      </c>
      <c r="U74" s="119" t="s">
        <v>34</v>
      </c>
      <c r="V74" s="119" t="s">
        <v>34</v>
      </c>
    </row>
    <row r="75" spans="2:23" x14ac:dyDescent="0.35">
      <c r="B75" s="7" t="str">
        <f t="shared" si="11"/>
        <v>South Korea</v>
      </c>
      <c r="C75" s="152"/>
      <c r="D75" s="119"/>
      <c r="E75" s="118"/>
      <c r="F75" s="118"/>
      <c r="G75" s="552" t="s">
        <v>1065</v>
      </c>
      <c r="H75" s="551" t="s">
        <v>1064</v>
      </c>
      <c r="I75" s="551" t="s">
        <v>1096</v>
      </c>
      <c r="J75" s="127" t="s">
        <v>34</v>
      </c>
      <c r="K75" s="98" t="s">
        <v>34</v>
      </c>
      <c r="L75" s="94" t="s">
        <v>1067</v>
      </c>
      <c r="M75" s="94" t="s">
        <v>1067</v>
      </c>
      <c r="N75" s="41" t="s">
        <v>34</v>
      </c>
      <c r="O75" s="41"/>
      <c r="P75" s="123" t="s">
        <v>35</v>
      </c>
      <c r="Q75" s="123" t="s">
        <v>35</v>
      </c>
      <c r="R75" s="123"/>
      <c r="S75" s="104"/>
      <c r="T75" s="119"/>
      <c r="U75" s="119"/>
      <c r="V75" s="119"/>
    </row>
    <row r="76" spans="2:23" x14ac:dyDescent="0.35">
      <c r="B76" s="7" t="str">
        <f t="shared" si="11"/>
        <v>Pakistan (nuclear weapons)</v>
      </c>
      <c r="C76" s="152" t="s">
        <v>34</v>
      </c>
      <c r="D76" s="119" t="s">
        <v>34</v>
      </c>
      <c r="E76" s="118" t="s">
        <v>34</v>
      </c>
      <c r="F76" s="118" t="s">
        <v>34</v>
      </c>
      <c r="G76" s="99" t="s">
        <v>132</v>
      </c>
      <c r="H76" s="551" t="s">
        <v>1063</v>
      </c>
      <c r="I76" s="551" t="s">
        <v>1097</v>
      </c>
      <c r="J76" s="127" t="s">
        <v>34</v>
      </c>
      <c r="K76" s="98" t="s">
        <v>34</v>
      </c>
      <c r="L76" s="94" t="s">
        <v>144</v>
      </c>
      <c r="M76" s="94" t="s">
        <v>144</v>
      </c>
      <c r="N76" s="41" t="s">
        <v>34</v>
      </c>
      <c r="O76" s="41" t="s">
        <v>156</v>
      </c>
      <c r="P76" s="123" t="s">
        <v>35</v>
      </c>
      <c r="Q76" s="123" t="s">
        <v>35</v>
      </c>
      <c r="R76" s="123"/>
      <c r="S76" s="104" t="s">
        <v>112</v>
      </c>
      <c r="T76" s="119" t="s">
        <v>34</v>
      </c>
      <c r="U76" s="119" t="s">
        <v>34</v>
      </c>
      <c r="V76" s="119" t="s">
        <v>34</v>
      </c>
    </row>
    <row r="77" spans="2:23" x14ac:dyDescent="0.35">
      <c r="B77" s="7" t="str">
        <f t="shared" si="11"/>
        <v>India (nuclear weapons)</v>
      </c>
      <c r="C77" s="152" t="s">
        <v>34</v>
      </c>
      <c r="D77" s="119" t="s">
        <v>34</v>
      </c>
      <c r="E77" s="118" t="s">
        <v>34</v>
      </c>
      <c r="F77" s="118" t="s">
        <v>34</v>
      </c>
      <c r="G77" s="552" t="s">
        <v>131</v>
      </c>
      <c r="H77" s="551" t="s">
        <v>1055</v>
      </c>
      <c r="I77" s="551" t="s">
        <v>1098</v>
      </c>
      <c r="J77" s="127" t="s">
        <v>34</v>
      </c>
      <c r="K77" s="98" t="s">
        <v>34</v>
      </c>
      <c r="L77" s="94" t="s">
        <v>1066</v>
      </c>
      <c r="M77" s="94" t="s">
        <v>1066</v>
      </c>
      <c r="N77" s="41" t="s">
        <v>34</v>
      </c>
      <c r="O77" s="41" t="s">
        <v>156</v>
      </c>
      <c r="P77" s="123" t="s">
        <v>35</v>
      </c>
      <c r="Q77" s="123" t="s">
        <v>35</v>
      </c>
      <c r="R77" s="123"/>
      <c r="S77" s="104" t="s">
        <v>110</v>
      </c>
      <c r="T77" s="119" t="s">
        <v>34</v>
      </c>
      <c r="U77" s="119" t="s">
        <v>34</v>
      </c>
      <c r="V77" s="119" t="s">
        <v>34</v>
      </c>
    </row>
    <row r="78" spans="2:23" x14ac:dyDescent="0.35">
      <c r="B78" s="7" t="str">
        <f t="shared" si="11"/>
        <v>Turkey NATO</v>
      </c>
      <c r="C78" s="152" t="s">
        <v>34</v>
      </c>
      <c r="D78" s="119" t="s">
        <v>34</v>
      </c>
      <c r="E78" s="118" t="s">
        <v>34</v>
      </c>
      <c r="F78" s="118" t="s">
        <v>34</v>
      </c>
      <c r="G78" s="552" t="s">
        <v>208</v>
      </c>
      <c r="H78" s="551" t="s">
        <v>1061</v>
      </c>
      <c r="I78" s="551" t="s">
        <v>1099</v>
      </c>
      <c r="J78" s="127" t="s">
        <v>34</v>
      </c>
      <c r="K78" s="98" t="s">
        <v>34</v>
      </c>
      <c r="L78" s="548" t="s">
        <v>209</v>
      </c>
      <c r="M78" s="548" t="s">
        <v>209</v>
      </c>
      <c r="N78" s="41" t="s">
        <v>90</v>
      </c>
      <c r="O78" s="41" t="s">
        <v>1426</v>
      </c>
      <c r="P78" s="123" t="s">
        <v>35</v>
      </c>
      <c r="Q78" s="123" t="s">
        <v>35</v>
      </c>
      <c r="R78" s="123"/>
      <c r="S78" s="104"/>
      <c r="T78" s="119"/>
      <c r="U78" s="119"/>
      <c r="V78" s="119"/>
    </row>
    <row r="79" spans="2:23" x14ac:dyDescent="0.35">
      <c r="B79" s="7" t="str">
        <f t="shared" si="11"/>
        <v>Philippines</v>
      </c>
      <c r="C79" s="152" t="s">
        <v>34</v>
      </c>
      <c r="D79" s="119" t="s">
        <v>34</v>
      </c>
      <c r="E79" s="118" t="s">
        <v>34</v>
      </c>
      <c r="F79" s="118" t="s">
        <v>34</v>
      </c>
      <c r="G79" s="552" t="s">
        <v>1069</v>
      </c>
      <c r="H79" s="551" t="s">
        <v>1070</v>
      </c>
      <c r="I79" s="551" t="s">
        <v>1100</v>
      </c>
      <c r="J79" s="127" t="s">
        <v>34</v>
      </c>
      <c r="K79" s="98" t="s">
        <v>34</v>
      </c>
      <c r="L79" s="548" t="s">
        <v>1071</v>
      </c>
      <c r="M79" s="548" t="s">
        <v>1071</v>
      </c>
      <c r="N79" s="41" t="s">
        <v>34</v>
      </c>
      <c r="O79" s="41"/>
      <c r="P79" s="123" t="s">
        <v>35</v>
      </c>
      <c r="Q79" s="123" t="s">
        <v>35</v>
      </c>
      <c r="R79" s="123"/>
      <c r="S79" s="104"/>
      <c r="T79" s="119"/>
      <c r="U79" s="119"/>
      <c r="V79" s="119"/>
    </row>
    <row r="80" spans="2:23" x14ac:dyDescent="0.35">
      <c r="B80" s="7" t="str">
        <f t="shared" ref="B80:B81" si="12">B40</f>
        <v>Taiwan</v>
      </c>
      <c r="C80" s="152" t="s">
        <v>34</v>
      </c>
      <c r="D80" s="119" t="s">
        <v>34</v>
      </c>
      <c r="E80" s="118" t="s">
        <v>34</v>
      </c>
      <c r="F80" s="118" t="s">
        <v>34</v>
      </c>
      <c r="G80" s="552" t="s">
        <v>139</v>
      </c>
      <c r="H80" s="551" t="s">
        <v>1059</v>
      </c>
      <c r="I80" s="551" t="s">
        <v>1101</v>
      </c>
      <c r="J80" s="127" t="s">
        <v>34</v>
      </c>
      <c r="K80" s="98" t="s">
        <v>34</v>
      </c>
      <c r="L80" s="548" t="s">
        <v>141</v>
      </c>
      <c r="M80" s="547" t="s">
        <v>140</v>
      </c>
      <c r="N80" s="41" t="s">
        <v>34</v>
      </c>
      <c r="O80" s="41" t="s">
        <v>156</v>
      </c>
      <c r="P80" s="123" t="s">
        <v>35</v>
      </c>
      <c r="Q80" s="123" t="s">
        <v>1433</v>
      </c>
      <c r="R80" s="123" t="s">
        <v>34</v>
      </c>
      <c r="S80" s="104" t="s">
        <v>137</v>
      </c>
      <c r="T80" s="119" t="s">
        <v>34</v>
      </c>
      <c r="U80" s="119" t="s">
        <v>34</v>
      </c>
      <c r="V80" s="119" t="s">
        <v>34</v>
      </c>
    </row>
    <row r="81" spans="2:22" ht="15" thickBot="1" x14ac:dyDescent="0.4">
      <c r="B81" s="106" t="str">
        <f t="shared" si="12"/>
        <v>China (nuclear weapons)</v>
      </c>
      <c r="C81" s="157" t="s">
        <v>34</v>
      </c>
      <c r="D81" s="109" t="s">
        <v>34</v>
      </c>
      <c r="E81" s="107" t="s">
        <v>34</v>
      </c>
      <c r="F81" s="107" t="s">
        <v>34</v>
      </c>
      <c r="G81" s="136" t="s">
        <v>130</v>
      </c>
      <c r="H81" s="162" t="s">
        <v>1060</v>
      </c>
      <c r="I81" s="162" t="s">
        <v>1077</v>
      </c>
      <c r="J81" s="550" t="s">
        <v>34</v>
      </c>
      <c r="K81" s="102" t="s">
        <v>34</v>
      </c>
      <c r="L81" s="130" t="s">
        <v>138</v>
      </c>
      <c r="M81" s="130" t="s">
        <v>138</v>
      </c>
      <c r="N81" s="132" t="s">
        <v>34</v>
      </c>
      <c r="O81" s="41" t="s">
        <v>156</v>
      </c>
      <c r="P81" s="112" t="s">
        <v>35</v>
      </c>
      <c r="Q81" s="112" t="s">
        <v>35</v>
      </c>
      <c r="R81" s="123"/>
      <c r="S81" s="106" t="s">
        <v>111</v>
      </c>
      <c r="T81" s="109" t="s">
        <v>34</v>
      </c>
      <c r="U81" s="109" t="s">
        <v>34</v>
      </c>
      <c r="V81" s="109" t="s">
        <v>34</v>
      </c>
    </row>
    <row r="82" spans="2:22" ht="15" thickTop="1" x14ac:dyDescent="0.35"/>
  </sheetData>
  <hyperlinks>
    <hyperlink ref="D49" r:id="rId1" xr:uid="{09B61D78-E6F4-45EC-8D5A-01751812A475}"/>
    <hyperlink ref="D50" r:id="rId2" xr:uid="{FFA7E841-8770-44C2-B14F-EA02F5B521BE}"/>
    <hyperlink ref="D51:D64" r:id="rId3" display="https://www.ifw-kiel.de/topics/war-against-ukraine/ukraine-support-tracker/" xr:uid="{4EE26EDE-AF42-4569-8D2E-16BFD54E15C8}"/>
    <hyperlink ref="P3" r:id="rId4" xr:uid="{110B3970-665C-4EF5-B445-B74CCC4ABC43}"/>
    <hyperlink ref="G50" r:id="rId5" xr:uid="{EFD0E4DE-E60F-449A-99A3-D7AB22FEBBDA}"/>
    <hyperlink ref="G51" r:id="rId6" xr:uid="{45E18567-C090-4683-B09F-8BA8BCA0E3CF}"/>
    <hyperlink ref="G52" r:id="rId7" xr:uid="{EABA4BDF-D2BA-4AA3-AE6B-B496ACFFF652}"/>
    <hyperlink ref="G54" r:id="rId8" xr:uid="{A26AEB83-20CB-46D2-BCED-E4F8BB39190C}"/>
    <hyperlink ref="G55" r:id="rId9" xr:uid="{330FDA09-237B-4953-8D28-E3FF32861CD6}"/>
    <hyperlink ref="G56" r:id="rId10" xr:uid="{79E5F399-4492-4804-8B60-AD2F2DE6F1B0}"/>
    <hyperlink ref="G57" r:id="rId11" xr:uid="{A83D143F-B8D7-4ACE-839B-F9957C0F633C}"/>
    <hyperlink ref="G58" r:id="rId12" xr:uid="{B972EFE1-6669-4EE9-9981-7315A9C8173E}"/>
    <hyperlink ref="G59" r:id="rId13" xr:uid="{DD9504AD-DC8B-44FA-A7BE-FA628D44746D}"/>
    <hyperlink ref="G60" r:id="rId14" xr:uid="{9E71863C-E53A-4E58-A8BC-DFA7A41C142F}"/>
    <hyperlink ref="G61" r:id="rId15" xr:uid="{1F85F79B-62B1-4388-8350-308B2B8BD4D1}"/>
    <hyperlink ref="G62" r:id="rId16" xr:uid="{43E13AA0-C6DB-4B01-BAAA-F3E224C0BFAB}"/>
    <hyperlink ref="G63" r:id="rId17" xr:uid="{77AB0328-75B2-44E8-9034-01B960502841}"/>
    <hyperlink ref="G64" r:id="rId18" xr:uid="{8533E750-018E-4A33-A2F6-5FF038B29555}"/>
    <hyperlink ref="C50" r:id="rId19" xr:uid="{F93BD4DF-197A-4E5C-A329-45297EEEE404}"/>
    <hyperlink ref="C51:C64" r:id="rId20" display="https://www.ifw-kiel.de/topics/war-against-ukraine/ukraine-support-tracker/" xr:uid="{BF6A9036-0CE4-428E-ABEA-179EB655C999}"/>
    <hyperlink ref="E69" r:id="rId21" xr:uid="{2C936C81-4DB5-4301-9804-E55504D99933}"/>
    <hyperlink ref="G68" r:id="rId22" xr:uid="{A2C89CCC-F843-4D56-8ACA-38FF73B3243A}"/>
    <hyperlink ref="G69" r:id="rId23" xr:uid="{3335C8AB-225B-47D8-A841-048698B3FDB3}"/>
    <hyperlink ref="G49" r:id="rId24" xr:uid="{6FA5BA77-C318-4AA4-A303-BA2B80F4ECC0}"/>
    <hyperlink ref="N50:N54" r:id="rId25" display="https://www.statista.com/chart/14636/defense-expenditures-of-nato-countries/" xr:uid="{841282AB-D607-441B-B8C9-629088F2D803}"/>
    <hyperlink ref="N56" r:id="rId26" xr:uid="{283AFAC4-AD53-4936-B263-0E0B6B3D41AB}"/>
    <hyperlink ref="L59" r:id="rId27" xr:uid="{9492C511-F8FE-4F3A-BA35-D9182742F69D}"/>
    <hyperlink ref="M59" r:id="rId28" xr:uid="{A29420C0-E450-4BC9-AC0C-DAC377437597}"/>
    <hyperlink ref="L69" r:id="rId29" xr:uid="{11EFB640-C67F-4714-BEC1-3D0A457933F1}"/>
    <hyperlink ref="M69" r:id="rId30" xr:uid="{5376078E-823B-4F38-8BCC-55C4E04F3DCA}"/>
    <hyperlink ref="N69" r:id="rId31" xr:uid="{BC999C8F-2358-4038-AD2C-3F167EAA0015}"/>
    <hyperlink ref="L52" r:id="rId32" xr:uid="{7C3273D8-005A-45A5-8B64-33960B4CFD9B}"/>
    <hyperlink ref="M52" r:id="rId33" xr:uid="{4CAC94FC-8AF5-4EF3-A6AB-1732885087AF}"/>
    <hyperlink ref="E68" r:id="rId34" xr:uid="{945B1202-1D46-41D6-9B86-5420EAF6AD03}"/>
    <hyperlink ref="P68" r:id="rId35" xr:uid="{E5DB81C0-8D83-44B9-84C9-85741DF5510D}"/>
    <hyperlink ref="L63" r:id="rId36" xr:uid="{92702A21-CE0C-488E-8308-615D6C78066E}"/>
    <hyperlink ref="G81" r:id="rId37" xr:uid="{C0008743-17AC-4200-88F0-804E4A4B2FCC}"/>
    <hyperlink ref="D53" r:id="rId38" xr:uid="{FA03CC7E-7DEF-4F53-B27B-DBBA23C3615E}"/>
    <hyperlink ref="G53" r:id="rId39" xr:uid="{EBFA9269-ABD6-4F0D-9883-A5F22DEA135A}"/>
    <hyperlink ref="C53" r:id="rId40" xr:uid="{A45C17F4-52A7-4FA9-BC48-6B404AE2358B}"/>
    <hyperlink ref="H61" r:id="rId41" xr:uid="{BFB205A5-6D75-40F7-92E2-3BD2FB60A6CD}"/>
    <hyperlink ref="M80" r:id="rId42" xr:uid="{DBF9ECE6-4871-4C34-B8C3-364894CCC170}"/>
    <hyperlink ref="M78" r:id="rId43" xr:uid="{36BE9985-CD21-4CDA-B960-AEEDB9C40EDD}"/>
    <hyperlink ref="M50" r:id="rId44" xr:uid="{F17B35B7-EBB4-4B76-935F-DAD94ECF75AA}"/>
    <hyperlink ref="H77" r:id="rId45" xr:uid="{6119C1C4-70D7-4580-B35D-F9F0615A0EC7}"/>
    <hyperlink ref="G77" r:id="rId46" xr:uid="{32A8DB15-2547-4918-92C9-5EBB10213117}"/>
    <hyperlink ref="H73" r:id="rId47" xr:uid="{2F003034-5B14-4331-997A-659A39CF9057}"/>
    <hyperlink ref="H74" r:id="rId48" xr:uid="{2E9C088B-6552-4A2D-9CD4-62E97A07380F}"/>
    <hyperlink ref="H80" r:id="rId49" xr:uid="{91B7790E-F5D6-4EA8-AD89-1ED6CD7F2DEE}"/>
    <hyperlink ref="H81" r:id="rId50" xr:uid="{558F111C-0A7C-435C-ADF8-3C5EFD562F53}"/>
    <hyperlink ref="G80" r:id="rId51" xr:uid="{72AA7BE8-9A8F-421A-AC3A-C1BF9194703A}"/>
    <hyperlink ref="H78" r:id="rId52" xr:uid="{0E731778-5BFF-4B2C-BD09-0AE5F66EFB94}"/>
    <hyperlink ref="G78" r:id="rId53" xr:uid="{9ED8433D-8975-4863-AEE3-70BA7B904B0F}"/>
    <hyperlink ref="H72" r:id="rId54" xr:uid="{C89B3205-192B-404A-85B3-3F4E0BB1AE53}"/>
    <hyperlink ref="H76" r:id="rId55" xr:uid="{D345BB12-66A2-445A-BDB2-09F4ACB02FBA}"/>
    <hyperlink ref="H75" r:id="rId56" xr:uid="{C0640239-B3D1-4ADF-AA6D-4663559C6603}"/>
    <hyperlink ref="G75" r:id="rId57" xr:uid="{FCDFE794-1176-407F-946E-73C87B068A2D}"/>
    <hyperlink ref="L78" r:id="rId58" xr:uid="{41F19103-FF96-4B21-AD6F-C6C08D0AE024}"/>
    <hyperlink ref="L80" r:id="rId59" xr:uid="{6CFF2B1A-F7FE-4AAA-B887-D516E384D98D}"/>
    <hyperlink ref="I50" r:id="rId60" xr:uid="{ACC28BA8-109E-4023-A7B0-4F65D222827F}"/>
    <hyperlink ref="I49" r:id="rId61" xr:uid="{76961A30-29A1-4D90-9364-3E7004EECB50}"/>
    <hyperlink ref="I81" r:id="rId62" xr:uid="{C6EF1006-E9FA-4DA2-A856-E7D1D0C29611}"/>
    <hyperlink ref="I57" r:id="rId63" xr:uid="{6020E3A5-671E-4BB6-92D9-EF857271E9DE}"/>
    <hyperlink ref="O57" r:id="rId64" location=":~:text=The%20Armed%20Forces%20of%20the%20Republic" xr:uid="{4E827794-E5C5-4C5F-BA3D-5A45E5FBF115}"/>
    <hyperlink ref="O73" r:id="rId65" xr:uid="{945EC9A9-E960-4346-981A-B8BC804AC0A3}"/>
    <hyperlink ref="O51" r:id="rId66" xr:uid="{BA664A91-2421-4B97-9512-8CFB54EE7727}"/>
    <hyperlink ref="M68" r:id="rId67" xr:uid="{8162E43D-7D55-4AE8-B3E8-E9214D38A80F}"/>
  </hyperlinks>
  <pageMargins left="0.7" right="0.7" top="0.75" bottom="0.75" header="0.3" footer="0.3"/>
  <pageSetup paperSize="9" orientation="portrait" verticalDpi="0" r:id="rId6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5862-BC4C-4569-B4A3-798024085564}">
  <dimension ref="A1:H14"/>
  <sheetViews>
    <sheetView zoomScale="120" zoomScaleNormal="120" workbookViewId="0">
      <selection activeCell="E18" sqref="E18"/>
    </sheetView>
  </sheetViews>
  <sheetFormatPr defaultRowHeight="14.5" x14ac:dyDescent="0.35"/>
  <cols>
    <col min="3" max="3" width="14.36328125" customWidth="1"/>
    <col min="4" max="8" width="8.81640625" customWidth="1"/>
  </cols>
  <sheetData>
    <row r="1" spans="1:8" ht="28.5" x14ac:dyDescent="0.65">
      <c r="A1" s="1" t="str">
        <f>UkrAid24jan2022ToOct312023!A1</f>
        <v>AQ Islamists advance to Hama, Putin replaces his top Syrian general &amp; much more #69/96</v>
      </c>
    </row>
    <row r="2" spans="1:8" x14ac:dyDescent="0.35">
      <c r="A2" s="434" t="str">
        <f>UkrAid24jan2022ToOct312023!A2</f>
        <v>Proprietary. © H. Mathiesen. This material can be used by others free of charge provided that the author H. Mathiesen is attributed and a clickable link is made visible to the location of used material on www.hmexperience.dk</v>
      </c>
    </row>
    <row r="3" spans="1:8" ht="15.5" x14ac:dyDescent="0.35">
      <c r="A3" s="235"/>
    </row>
    <row r="4" spans="1:8" ht="15.5" x14ac:dyDescent="0.35">
      <c r="A4" s="235"/>
    </row>
    <row r="8" spans="1:8" ht="21.5" thickBot="1" x14ac:dyDescent="0.55000000000000004">
      <c r="C8" s="447" t="s">
        <v>303</v>
      </c>
      <c r="D8" s="448"/>
      <c r="E8" s="448"/>
      <c r="F8" s="448"/>
      <c r="G8" s="448"/>
      <c r="H8" s="448"/>
    </row>
    <row r="9" spans="1:8" ht="15" thickTop="1" x14ac:dyDescent="0.35">
      <c r="C9" s="308" t="s">
        <v>296</v>
      </c>
      <c r="D9" s="247" t="s">
        <v>297</v>
      </c>
      <c r="E9" s="247" t="s">
        <v>242</v>
      </c>
      <c r="F9" s="247" t="s">
        <v>298</v>
      </c>
      <c r="G9" s="247" t="s">
        <v>7</v>
      </c>
      <c r="H9" s="248" t="s">
        <v>299</v>
      </c>
    </row>
    <row r="10" spans="1:8" x14ac:dyDescent="0.35">
      <c r="C10" s="51" t="s">
        <v>300</v>
      </c>
      <c r="D10" s="159">
        <f>UkrAid24Jan2022To15Jan2024!H28</f>
        <v>143.69999999999999</v>
      </c>
      <c r="E10" s="159">
        <f>UkrAid24Jan2022To15Jan2024!H29</f>
        <v>35</v>
      </c>
      <c r="F10" s="376">
        <f>D10/E10</f>
        <v>4.105714285714285</v>
      </c>
      <c r="G10">
        <f>UkrAid24Jan2022To15Jan2024!H10</f>
        <v>335</v>
      </c>
      <c r="H10" s="171">
        <f>UkrAid24Jan2022To15Jan2024!H9</f>
        <v>448.4</v>
      </c>
    </row>
    <row r="11" spans="1:8" ht="15" thickBot="1" x14ac:dyDescent="0.4">
      <c r="C11" s="17" t="s">
        <v>301</v>
      </c>
      <c r="D11" s="160">
        <f>UkrAid24Jan2022To15Jan2024!G28</f>
        <v>2184</v>
      </c>
      <c r="E11" s="160">
        <f>UkrAid24Jan2022To15Jan2024!G29</f>
        <v>188</v>
      </c>
      <c r="F11" s="409">
        <f>D11/E11</f>
        <v>11.617021276595745</v>
      </c>
      <c r="G11" s="160">
        <f>UkrAid24Jan2022To15Jan2024!G10</f>
        <v>25440</v>
      </c>
      <c r="H11" s="169">
        <f>UkrAid24Jan2022To15Jan2024!G9</f>
        <v>19350</v>
      </c>
    </row>
    <row r="12" spans="1:8" ht="15" thickTop="1" x14ac:dyDescent="0.35">
      <c r="C12" s="366" t="s">
        <v>322</v>
      </c>
      <c r="D12" s="19"/>
      <c r="E12" s="49"/>
      <c r="F12" s="49"/>
      <c r="G12" s="19"/>
      <c r="H12" s="19"/>
    </row>
    <row r="13" spans="1:8" x14ac:dyDescent="0.35">
      <c r="C13" t="s">
        <v>21</v>
      </c>
      <c r="E13" s="9"/>
      <c r="F13" s="9"/>
    </row>
    <row r="14" spans="1:8" x14ac:dyDescent="0.35">
      <c r="C14" t="s">
        <v>302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297EB-0137-4A20-A6E3-7D0F6C8CCA9A}">
  <dimension ref="A1:AW530"/>
  <sheetViews>
    <sheetView zoomScale="120" zoomScaleNormal="120" workbookViewId="0">
      <pane xSplit="2" ySplit="8" topLeftCell="C27" activePane="bottomRight" state="frozen"/>
      <selection pane="topRight" activeCell="C1" sqref="C1"/>
      <selection pane="bottomLeft" activeCell="A8" sqref="A8"/>
      <selection pane="bottomRight" activeCell="B39" sqref="B39"/>
    </sheetView>
  </sheetViews>
  <sheetFormatPr defaultRowHeight="14.5" x14ac:dyDescent="0.35"/>
  <cols>
    <col min="1" max="1" width="4.453125" customWidth="1"/>
    <col min="2" max="2" width="42.453125" customWidth="1"/>
    <col min="3" max="3" width="11.08984375" customWidth="1"/>
    <col min="4" max="4" width="13.1796875" customWidth="1"/>
    <col min="5" max="10" width="10.81640625" customWidth="1"/>
    <col min="13" max="13" width="8.54296875" customWidth="1"/>
    <col min="14" max="14" width="9" customWidth="1"/>
    <col min="15" max="17" width="9.1796875" customWidth="1"/>
    <col min="18" max="18" width="4.1796875" customWidth="1"/>
    <col min="19" max="21" width="6" customWidth="1"/>
    <col min="22" max="22" width="6.54296875" customWidth="1"/>
    <col min="23" max="23" width="8.7265625" style="159"/>
    <col min="26" max="27" width="9.7265625" customWidth="1"/>
    <col min="29" max="29" width="9.81640625" customWidth="1"/>
    <col min="30" max="31" width="8.08984375" customWidth="1"/>
    <col min="32" max="32" width="2.453125" customWidth="1"/>
    <col min="34" max="35" width="8.7265625" customWidth="1"/>
    <col min="37" max="37" width="9.7265625" customWidth="1"/>
    <col min="42" max="42" width="8.7265625" style="159"/>
    <col min="44" max="44" width="5.54296875" customWidth="1"/>
  </cols>
  <sheetData>
    <row r="1" spans="1:49" ht="28.5" x14ac:dyDescent="0.65">
      <c r="A1" s="1" t="str">
        <f>UkrAid24jan2022ToOct312023!A1</f>
        <v>AQ Islamists advance to Hama, Putin replaces his top Syrian general &amp; much more #69/96</v>
      </c>
    </row>
    <row r="2" spans="1:49" x14ac:dyDescent="0.35">
      <c r="A2" s="434" t="str">
        <f>UkrAid24jan2022ToOct312023!$A$2</f>
        <v>Proprietary. © H. Mathiesen. This material can be used by others free of charge provided that the author H. Mathiesen is attributed and a clickable link is made visible to the location of used material on www.hmexperience.dk</v>
      </c>
      <c r="J2" s="159"/>
    </row>
    <row r="3" spans="1:49" x14ac:dyDescent="0.35">
      <c r="A3" s="456" t="str">
        <f>UkrAid24jan2022ToOct312023!A3</f>
        <v>Links to all sources are available in sources table below</v>
      </c>
      <c r="B3" s="458"/>
      <c r="F3" s="159">
        <v>1000000</v>
      </c>
      <c r="G3" s="159"/>
      <c r="H3" s="159"/>
      <c r="I3" s="177">
        <v>1000000000</v>
      </c>
      <c r="J3" s="159"/>
      <c r="K3">
        <v>40</v>
      </c>
      <c r="L3" s="159">
        <v>200</v>
      </c>
      <c r="M3" t="s">
        <v>1026</v>
      </c>
      <c r="AL3" s="304">
        <f t="shared" ref="AL3" si="0">(K3/L3)*60</f>
        <v>12</v>
      </c>
      <c r="AM3" s="304">
        <f>60*AL3</f>
        <v>720</v>
      </c>
      <c r="AN3" s="304">
        <f>AL3/60</f>
        <v>0.2</v>
      </c>
    </row>
    <row r="4" spans="1:49" x14ac:dyDescent="0.35">
      <c r="J4" t="s">
        <v>1025</v>
      </c>
      <c r="K4">
        <v>40</v>
      </c>
      <c r="L4" s="159">
        <v>1210</v>
      </c>
      <c r="M4" t="s">
        <v>394</v>
      </c>
      <c r="AL4" s="304">
        <f t="shared" ref="AL4" si="1">(K4/L4)*60</f>
        <v>1.9834710743801653</v>
      </c>
      <c r="AM4" s="304">
        <f>60*AL4</f>
        <v>119.00826446280992</v>
      </c>
      <c r="AN4" s="304">
        <f>AL4/60</f>
        <v>3.3057851239669422E-2</v>
      </c>
    </row>
    <row r="5" spans="1:49" ht="24" thickBot="1" x14ac:dyDescent="0.6">
      <c r="B5" s="435" t="s">
        <v>1469</v>
      </c>
      <c r="C5" s="435"/>
      <c r="D5" s="435"/>
      <c r="E5" s="435"/>
      <c r="F5" s="263"/>
      <c r="G5" s="263"/>
      <c r="H5" s="263"/>
      <c r="I5" s="263"/>
      <c r="J5" s="263"/>
      <c r="K5" s="263"/>
      <c r="L5" s="263"/>
      <c r="M5" s="263"/>
      <c r="N5" s="263"/>
      <c r="O5" s="263"/>
      <c r="P5" s="263"/>
      <c r="Q5" s="263"/>
      <c r="R5" s="263"/>
      <c r="S5" s="263"/>
      <c r="T5" s="263"/>
      <c r="U5" s="263"/>
      <c r="V5" s="568"/>
      <c r="W5" s="613"/>
      <c r="X5" s="568"/>
      <c r="Y5" s="568"/>
      <c r="Z5" s="568"/>
      <c r="AA5" s="568"/>
      <c r="AB5" s="568"/>
      <c r="AC5" s="568"/>
      <c r="AD5" s="568"/>
      <c r="AE5" s="568"/>
      <c r="AF5" s="568"/>
    </row>
    <row r="6" spans="1:49" ht="15" thickTop="1" x14ac:dyDescent="0.35">
      <c r="B6" s="436" t="s">
        <v>1809</v>
      </c>
      <c r="C6" s="437" t="s">
        <v>757</v>
      </c>
      <c r="D6" s="438" t="s">
        <v>734</v>
      </c>
      <c r="E6" s="438" t="s">
        <v>732</v>
      </c>
      <c r="F6" s="438" t="str">
        <f>E6</f>
        <v xml:space="preserve">Cost making </v>
      </c>
      <c r="G6" s="438" t="str">
        <f t="shared" ref="G6:J6" si="2">F6</f>
        <v xml:space="preserve">Cost making </v>
      </c>
      <c r="H6" s="438" t="str">
        <f t="shared" si="2"/>
        <v xml:space="preserve">Cost making </v>
      </c>
      <c r="I6" s="438" t="str">
        <f t="shared" si="2"/>
        <v xml:space="preserve">Cost making </v>
      </c>
      <c r="J6" s="438" t="str">
        <f t="shared" si="2"/>
        <v xml:space="preserve">Cost making </v>
      </c>
      <c r="K6" s="439" t="s">
        <v>173</v>
      </c>
      <c r="L6" s="439" t="s">
        <v>327</v>
      </c>
      <c r="M6" s="439" t="s">
        <v>328</v>
      </c>
      <c r="N6" s="439" t="s">
        <v>183</v>
      </c>
      <c r="O6" s="439" t="s">
        <v>345</v>
      </c>
      <c r="P6" s="439" t="s">
        <v>705</v>
      </c>
      <c r="Q6" s="439" t="s">
        <v>721</v>
      </c>
      <c r="R6" s="437"/>
      <c r="S6" s="438" t="s">
        <v>735</v>
      </c>
      <c r="T6" s="438" t="s">
        <v>2609</v>
      </c>
      <c r="U6" s="438" t="s">
        <v>1238</v>
      </c>
      <c r="V6" s="438" t="s">
        <v>735</v>
      </c>
      <c r="W6" s="614" t="s">
        <v>1196</v>
      </c>
      <c r="X6" s="438" t="s">
        <v>1198</v>
      </c>
      <c r="Y6" s="438" t="s">
        <v>1842</v>
      </c>
      <c r="Z6" s="438" t="s">
        <v>1200</v>
      </c>
      <c r="AA6" s="438" t="s">
        <v>1208</v>
      </c>
      <c r="AB6" s="438" t="s">
        <v>1201</v>
      </c>
      <c r="AC6" s="438" t="s">
        <v>1204</v>
      </c>
      <c r="AD6" s="438" t="s">
        <v>1389</v>
      </c>
      <c r="AE6" s="438" t="s">
        <v>1156</v>
      </c>
      <c r="AF6" s="558"/>
    </row>
    <row r="7" spans="1:49" x14ac:dyDescent="0.35">
      <c r="B7" s="440" t="s">
        <v>1811</v>
      </c>
      <c r="C7" s="440"/>
      <c r="D7" s="441" t="s">
        <v>733</v>
      </c>
      <c r="E7" s="441">
        <v>100</v>
      </c>
      <c r="F7" s="293">
        <v>1000</v>
      </c>
      <c r="G7" s="293">
        <v>10000</v>
      </c>
      <c r="H7" s="293">
        <v>100000</v>
      </c>
      <c r="I7" s="293">
        <v>1000000</v>
      </c>
      <c r="J7" s="442">
        <v>10000000</v>
      </c>
      <c r="K7" s="443" t="s">
        <v>174</v>
      </c>
      <c r="L7" s="443" t="s">
        <v>329</v>
      </c>
      <c r="M7" s="443" t="s">
        <v>330</v>
      </c>
      <c r="N7" s="443" t="s">
        <v>184</v>
      </c>
      <c r="O7" s="443" t="s">
        <v>403</v>
      </c>
      <c r="P7" s="443" t="s">
        <v>706</v>
      </c>
      <c r="Q7" s="443" t="s">
        <v>722</v>
      </c>
      <c r="R7" s="564"/>
      <c r="S7" s="441" t="s">
        <v>1237</v>
      </c>
      <c r="T7" s="441" t="s">
        <v>2610</v>
      </c>
      <c r="U7" s="441" t="s">
        <v>1239</v>
      </c>
      <c r="V7" s="441" t="s">
        <v>1240</v>
      </c>
      <c r="W7" s="293" t="s">
        <v>1197</v>
      </c>
      <c r="X7" s="441" t="s">
        <v>1199</v>
      </c>
      <c r="Y7" s="441" t="s">
        <v>1843</v>
      </c>
      <c r="Z7" s="441" t="s">
        <v>1203</v>
      </c>
      <c r="AA7" s="441" t="s">
        <v>1209</v>
      </c>
      <c r="AB7" s="441" t="s">
        <v>1202</v>
      </c>
      <c r="AC7" s="441" t="s">
        <v>1205</v>
      </c>
      <c r="AD7" s="441" t="s">
        <v>1390</v>
      </c>
      <c r="AE7" s="441"/>
      <c r="AF7" s="559"/>
      <c r="AL7" s="3" t="s">
        <v>724</v>
      </c>
      <c r="AM7" s="3"/>
      <c r="AN7" s="3"/>
    </row>
    <row r="8" spans="1:49" ht="15" thickBot="1" x14ac:dyDescent="0.4">
      <c r="B8" s="444" t="s">
        <v>1810</v>
      </c>
      <c r="C8" s="444"/>
      <c r="D8" s="445"/>
      <c r="E8" s="445" t="s">
        <v>730</v>
      </c>
      <c r="F8" s="445" t="s">
        <v>731</v>
      </c>
      <c r="G8" s="445" t="s">
        <v>731</v>
      </c>
      <c r="H8" s="445" t="s">
        <v>731</v>
      </c>
      <c r="I8" s="445" t="s">
        <v>146</v>
      </c>
      <c r="J8" s="446" t="s">
        <v>146</v>
      </c>
      <c r="K8" s="544"/>
      <c r="L8" s="544"/>
      <c r="M8" s="544" t="s">
        <v>858</v>
      </c>
      <c r="N8" s="544" t="s">
        <v>1886</v>
      </c>
      <c r="O8" s="544"/>
      <c r="P8" s="544"/>
      <c r="Q8" s="544" t="s">
        <v>1046</v>
      </c>
      <c r="R8" s="571"/>
      <c r="S8" s="445" t="s">
        <v>736</v>
      </c>
      <c r="T8" s="445" t="s">
        <v>736</v>
      </c>
      <c r="U8" s="445" t="s">
        <v>736</v>
      </c>
      <c r="V8" s="565"/>
      <c r="W8" s="302" t="s">
        <v>1024</v>
      </c>
      <c r="X8" s="565"/>
      <c r="Y8" s="445" t="s">
        <v>1844</v>
      </c>
      <c r="Z8" s="445"/>
      <c r="AA8" s="445" t="s">
        <v>1203</v>
      </c>
      <c r="AB8" s="445" t="s">
        <v>1203</v>
      </c>
      <c r="AC8" s="445"/>
      <c r="AD8" s="445"/>
      <c r="AE8" s="445"/>
      <c r="AF8" s="446"/>
      <c r="AL8" s="3" t="s">
        <v>357</v>
      </c>
      <c r="AM8" s="3" t="s">
        <v>360</v>
      </c>
      <c r="AN8" s="3" t="s">
        <v>600</v>
      </c>
    </row>
    <row r="9" spans="1:49" ht="15" thickTop="1" x14ac:dyDescent="0.35">
      <c r="A9">
        <v>1</v>
      </c>
      <c r="B9" s="181" t="s">
        <v>161</v>
      </c>
      <c r="C9" s="181"/>
      <c r="D9" s="182"/>
      <c r="E9" s="182"/>
      <c r="F9" s="183"/>
      <c r="G9" s="183"/>
      <c r="H9" s="183"/>
      <c r="I9" s="183"/>
      <c r="J9" s="184"/>
      <c r="K9" s="185"/>
      <c r="L9" s="185"/>
      <c r="M9" s="185"/>
      <c r="N9" s="185"/>
      <c r="O9" s="185"/>
      <c r="P9" s="185"/>
      <c r="Q9" s="185"/>
      <c r="R9">
        <v>1</v>
      </c>
      <c r="AF9" t="s">
        <v>34</v>
      </c>
    </row>
    <row r="10" spans="1:49" x14ac:dyDescent="0.35">
      <c r="A10">
        <f>A9+1</f>
        <v>2</v>
      </c>
      <c r="B10" s="477" t="s">
        <v>783</v>
      </c>
      <c r="C10" s="478" t="s">
        <v>1887</v>
      </c>
      <c r="D10" s="765">
        <v>273000</v>
      </c>
      <c r="E10" s="765">
        <f>D10*E$7/F$3</f>
        <v>27.3</v>
      </c>
      <c r="F10" s="765">
        <f>D10*F$7/F$3</f>
        <v>273</v>
      </c>
      <c r="G10" s="766" t="s">
        <v>34</v>
      </c>
      <c r="H10" s="766" t="s">
        <v>34</v>
      </c>
      <c r="I10" s="772" t="s">
        <v>34</v>
      </c>
      <c r="J10" s="773" t="s">
        <v>34</v>
      </c>
      <c r="K10" s="481">
        <v>800</v>
      </c>
      <c r="L10" s="481">
        <v>78</v>
      </c>
      <c r="M10" s="482" t="s">
        <v>348</v>
      </c>
      <c r="N10" s="483">
        <v>200</v>
      </c>
      <c r="O10" s="484" t="s">
        <v>346</v>
      </c>
      <c r="P10" s="484"/>
      <c r="Q10" s="484"/>
      <c r="R10">
        <f>R9+1</f>
        <v>2</v>
      </c>
      <c r="S10" s="20" t="s">
        <v>164</v>
      </c>
      <c r="T10" s="20"/>
      <c r="U10" s="20"/>
      <c r="V10" t="s">
        <v>34</v>
      </c>
      <c r="W10" s="172" t="s">
        <v>1216</v>
      </c>
      <c r="X10" t="s">
        <v>1206</v>
      </c>
      <c r="Z10" t="s">
        <v>1207</v>
      </c>
      <c r="AA10" t="s">
        <v>1888</v>
      </c>
      <c r="AB10" t="s">
        <v>1210</v>
      </c>
      <c r="AC10" t="s">
        <v>1889</v>
      </c>
      <c r="AF10" t="s">
        <v>34</v>
      </c>
      <c r="AG10" t="s">
        <v>34</v>
      </c>
      <c r="AL10" s="304">
        <f t="shared" ref="AL10" si="3">(K10/L10)*60</f>
        <v>615.38461538461547</v>
      </c>
      <c r="AM10" s="304">
        <f>60*AL10</f>
        <v>36923.076923076929</v>
      </c>
      <c r="AN10" s="304">
        <f>AL10/60</f>
        <v>10.256410256410257</v>
      </c>
    </row>
    <row r="11" spans="1:49" x14ac:dyDescent="0.35">
      <c r="A11">
        <f t="shared" ref="A11:A74" si="4">A10+1</f>
        <v>3</v>
      </c>
      <c r="B11" s="477" t="s">
        <v>1211</v>
      </c>
      <c r="C11" s="478" t="s">
        <v>782</v>
      </c>
      <c r="D11" s="766" t="s">
        <v>34</v>
      </c>
      <c r="E11" s="766" t="s">
        <v>34</v>
      </c>
      <c r="F11" s="766" t="s">
        <v>34</v>
      </c>
      <c r="G11" s="766" t="s">
        <v>34</v>
      </c>
      <c r="H11" s="766" t="s">
        <v>34</v>
      </c>
      <c r="I11" s="772" t="s">
        <v>34</v>
      </c>
      <c r="J11" s="773" t="s">
        <v>34</v>
      </c>
      <c r="K11" s="481">
        <f>K127</f>
        <v>500</v>
      </c>
      <c r="L11" s="481">
        <f>L127</f>
        <v>1182</v>
      </c>
      <c r="M11" s="482" t="str">
        <f>M127</f>
        <v>25M</v>
      </c>
      <c r="N11" s="483">
        <v>150</v>
      </c>
      <c r="O11" s="484" t="s">
        <v>347</v>
      </c>
      <c r="P11" s="484"/>
      <c r="Q11" s="484"/>
      <c r="R11">
        <f t="shared" ref="R11:R74" si="5">R10+1</f>
        <v>3</v>
      </c>
      <c r="S11" s="20" t="s">
        <v>169</v>
      </c>
      <c r="T11" s="20"/>
      <c r="U11" s="20"/>
      <c r="V11" t="s">
        <v>34</v>
      </c>
      <c r="W11" s="159">
        <v>870</v>
      </c>
      <c r="X11" t="s">
        <v>1212</v>
      </c>
      <c r="Z11" t="s">
        <v>1213</v>
      </c>
      <c r="AA11" t="s">
        <v>1214</v>
      </c>
      <c r="AB11" t="s">
        <v>815</v>
      </c>
      <c r="AC11" t="s">
        <v>1215</v>
      </c>
      <c r="AF11" t="s">
        <v>34</v>
      </c>
      <c r="AG11" t="s">
        <v>1031</v>
      </c>
      <c r="AH11" s="4" t="s">
        <v>1022</v>
      </c>
      <c r="AI11" t="s">
        <v>1023</v>
      </c>
      <c r="AJ11" s="543">
        <f>0.78*404</f>
        <v>315.12</v>
      </c>
      <c r="AK11" t="s">
        <v>1021</v>
      </c>
      <c r="AL11" s="304">
        <f t="shared" ref="AL11:AL14" si="6">(K11/L11)*60</f>
        <v>25.380710659898476</v>
      </c>
      <c r="AM11" s="304">
        <f t="shared" ref="AM11:AM14" si="7">60*AL11</f>
        <v>1522.8426395939086</v>
      </c>
      <c r="AN11" s="304">
        <f t="shared" ref="AN11:AN14" si="8">AL11/60</f>
        <v>0.42301184433164124</v>
      </c>
      <c r="AP11" s="159" t="s">
        <v>1033</v>
      </c>
    </row>
    <row r="12" spans="1:49" x14ac:dyDescent="0.35">
      <c r="A12">
        <f t="shared" si="4"/>
        <v>4</v>
      </c>
      <c r="B12" s="505" t="s">
        <v>1217</v>
      </c>
      <c r="C12" s="524" t="s">
        <v>1191</v>
      </c>
      <c r="D12" s="763">
        <v>1000000</v>
      </c>
      <c r="E12" s="763" t="s">
        <v>34</v>
      </c>
      <c r="F12" s="763" t="s">
        <v>34</v>
      </c>
      <c r="G12" s="763" t="s">
        <v>34</v>
      </c>
      <c r="H12" s="763" t="s">
        <v>34</v>
      </c>
      <c r="I12" s="774" t="s">
        <v>34</v>
      </c>
      <c r="J12" s="775" t="s">
        <v>34</v>
      </c>
      <c r="K12" s="491">
        <v>600</v>
      </c>
      <c r="L12" s="491">
        <v>5600</v>
      </c>
      <c r="M12" s="496" t="s">
        <v>1193</v>
      </c>
      <c r="N12" s="491">
        <v>1000</v>
      </c>
      <c r="O12" s="494" t="s">
        <v>346</v>
      </c>
      <c r="P12" s="494"/>
      <c r="Q12" s="494"/>
      <c r="R12">
        <f t="shared" si="5"/>
        <v>4</v>
      </c>
      <c r="S12" s="20" t="s">
        <v>1187</v>
      </c>
      <c r="T12" s="20"/>
      <c r="U12" s="20"/>
      <c r="V12" t="s">
        <v>1192</v>
      </c>
      <c r="W12" s="159">
        <v>5820</v>
      </c>
      <c r="X12" t="s">
        <v>1220</v>
      </c>
      <c r="Z12" s="455" t="s">
        <v>1152</v>
      </c>
      <c r="AA12" t="s">
        <v>34</v>
      </c>
      <c r="AB12" t="s">
        <v>1218</v>
      </c>
      <c r="AC12" t="s">
        <v>1219</v>
      </c>
      <c r="AF12" t="s">
        <v>34</v>
      </c>
      <c r="AH12" s="4"/>
      <c r="AJ12" s="543"/>
      <c r="AL12" s="304">
        <f t="shared" ref="AL12" si="9">(K12/L12)*60</f>
        <v>6.4285714285714279</v>
      </c>
      <c r="AM12" s="304">
        <f t="shared" ref="AM12" si="10">60*AL12</f>
        <v>385.71428571428567</v>
      </c>
      <c r="AN12" s="304">
        <f t="shared" ref="AN12" si="11">AL12/60</f>
        <v>0.10714285714285714</v>
      </c>
    </row>
    <row r="13" spans="1:49" x14ac:dyDescent="0.35">
      <c r="A13">
        <f t="shared" si="4"/>
        <v>5</v>
      </c>
      <c r="B13" s="51" t="s">
        <v>1221</v>
      </c>
      <c r="C13" s="417" t="s">
        <v>781</v>
      </c>
      <c r="D13" s="667">
        <v>1406000</v>
      </c>
      <c r="E13" s="667">
        <f>D13*E$7/F$3</f>
        <v>140.6</v>
      </c>
      <c r="F13" s="667">
        <f>D13*F$7/F$3</f>
        <v>1406</v>
      </c>
      <c r="G13" s="666" t="s">
        <v>34</v>
      </c>
      <c r="H13" s="666" t="s">
        <v>34</v>
      </c>
      <c r="I13" s="776" t="s">
        <v>34</v>
      </c>
      <c r="J13" s="777" t="s">
        <v>34</v>
      </c>
      <c r="K13" s="105">
        <v>139</v>
      </c>
      <c r="L13" s="105">
        <v>864</v>
      </c>
      <c r="M13" s="175" t="s">
        <v>350</v>
      </c>
      <c r="N13" s="123">
        <v>221</v>
      </c>
      <c r="O13" s="392">
        <v>7500</v>
      </c>
      <c r="P13" s="392"/>
      <c r="Q13" s="392"/>
      <c r="R13">
        <f t="shared" si="5"/>
        <v>5</v>
      </c>
      <c r="S13" s="20" t="s">
        <v>170</v>
      </c>
      <c r="T13" s="20"/>
      <c r="U13" s="20"/>
      <c r="V13" t="s">
        <v>34</v>
      </c>
      <c r="W13" s="159">
        <v>691</v>
      </c>
      <c r="X13" t="s">
        <v>1212</v>
      </c>
      <c r="AF13" t="s">
        <v>34</v>
      </c>
      <c r="AL13" s="304">
        <f t="shared" si="6"/>
        <v>9.6527777777777768</v>
      </c>
      <c r="AM13" s="304">
        <f t="shared" si="7"/>
        <v>579.16666666666663</v>
      </c>
      <c r="AN13" s="304">
        <f t="shared" si="8"/>
        <v>0.16087962962962962</v>
      </c>
    </row>
    <row r="14" spans="1:49" x14ac:dyDescent="0.35">
      <c r="A14">
        <f t="shared" si="4"/>
        <v>6</v>
      </c>
      <c r="B14" s="123" t="s">
        <v>1459</v>
      </c>
      <c r="C14" s="42" t="s">
        <v>1137</v>
      </c>
      <c r="D14" s="667">
        <v>3240000</v>
      </c>
      <c r="E14" s="667">
        <f>D14*E$7/F$3</f>
        <v>324</v>
      </c>
      <c r="F14" s="667">
        <f>D14*F$7/F$3</f>
        <v>3240</v>
      </c>
      <c r="G14" s="667">
        <f t="shared" ref="G14" si="12">D14*G$7/F$3</f>
        <v>32400</v>
      </c>
      <c r="H14" s="666" t="s">
        <v>34</v>
      </c>
      <c r="I14" s="776" t="s">
        <v>34</v>
      </c>
      <c r="J14" s="777" t="s">
        <v>34</v>
      </c>
      <c r="K14" s="105">
        <v>900</v>
      </c>
      <c r="L14" s="392">
        <v>1075</v>
      </c>
      <c r="M14" s="381" t="s">
        <v>766</v>
      </c>
      <c r="N14" s="179" t="s">
        <v>802</v>
      </c>
      <c r="O14" s="392" t="s">
        <v>1144</v>
      </c>
      <c r="P14" s="392" t="s">
        <v>1144</v>
      </c>
      <c r="Q14" s="466" t="s">
        <v>346</v>
      </c>
      <c r="R14">
        <f t="shared" si="5"/>
        <v>6</v>
      </c>
      <c r="S14" s="4" t="s">
        <v>840</v>
      </c>
      <c r="T14" s="4"/>
      <c r="U14" s="4"/>
      <c r="V14" t="s">
        <v>1109</v>
      </c>
      <c r="W14" s="159">
        <v>1250</v>
      </c>
      <c r="X14" t="s">
        <v>1890</v>
      </c>
      <c r="AF14" t="s">
        <v>34</v>
      </c>
      <c r="AG14" s="427" t="s">
        <v>1045</v>
      </c>
      <c r="AH14" s="4" t="s">
        <v>1019</v>
      </c>
      <c r="AI14" t="s">
        <v>1051</v>
      </c>
      <c r="AJ14" s="543">
        <f>0.683*635</f>
        <v>433.70500000000004</v>
      </c>
      <c r="AK14" t="s">
        <v>1021</v>
      </c>
      <c r="AL14" s="304">
        <f t="shared" si="6"/>
        <v>50.232558139534888</v>
      </c>
      <c r="AM14" s="304">
        <f t="shared" si="7"/>
        <v>3013.9534883720935</v>
      </c>
      <c r="AN14" s="304">
        <f t="shared" si="8"/>
        <v>0.83720930232558144</v>
      </c>
      <c r="AO14" t="s">
        <v>1891</v>
      </c>
      <c r="AP14" s="159">
        <f>1250-(30+AS14+450)</f>
        <v>406.89813953488374</v>
      </c>
      <c r="AQ14" t="s">
        <v>1145</v>
      </c>
      <c r="AR14" t="s">
        <v>1892</v>
      </c>
      <c r="AS14" s="8">
        <f>AJ14*(AL14/60)</f>
        <v>363.10186046511632</v>
      </c>
      <c r="AT14" t="s">
        <v>1036</v>
      </c>
      <c r="AU14" s="448" t="s">
        <v>1893</v>
      </c>
      <c r="AV14" s="545" t="s">
        <v>1894</v>
      </c>
      <c r="AW14" t="s">
        <v>1895</v>
      </c>
    </row>
    <row r="15" spans="1:49" x14ac:dyDescent="0.35">
      <c r="A15">
        <f t="shared" si="4"/>
        <v>7</v>
      </c>
      <c r="B15" s="615" t="s">
        <v>1462</v>
      </c>
      <c r="C15" s="616" t="s">
        <v>785</v>
      </c>
      <c r="D15" s="767">
        <v>5000000</v>
      </c>
      <c r="E15" s="767">
        <f>D15*E$7/F$3</f>
        <v>500</v>
      </c>
      <c r="F15" s="767">
        <f>D15*F$7/F$3</f>
        <v>5000</v>
      </c>
      <c r="G15" s="762" t="s">
        <v>34</v>
      </c>
      <c r="H15" s="762" t="s">
        <v>34</v>
      </c>
      <c r="I15" s="778" t="s">
        <v>34</v>
      </c>
      <c r="J15" s="779" t="s">
        <v>34</v>
      </c>
      <c r="K15" s="618">
        <v>400</v>
      </c>
      <c r="L15" s="619">
        <v>1000</v>
      </c>
      <c r="M15" s="620" t="s">
        <v>1465</v>
      </c>
      <c r="N15" s="621" t="s">
        <v>552</v>
      </c>
      <c r="O15" s="619"/>
      <c r="P15" s="619"/>
      <c r="Q15" s="619"/>
      <c r="R15">
        <f t="shared" si="5"/>
        <v>7</v>
      </c>
      <c r="S15" s="4" t="s">
        <v>1460</v>
      </c>
      <c r="T15" s="4"/>
      <c r="U15" s="4"/>
      <c r="V15" t="s">
        <v>1896</v>
      </c>
      <c r="W15" s="159">
        <v>1250</v>
      </c>
      <c r="AC15" t="s">
        <v>1463</v>
      </c>
      <c r="AG15" s="427"/>
      <c r="AH15" s="4"/>
      <c r="AJ15" s="543"/>
      <c r="AL15" s="304">
        <f t="shared" ref="AL15" si="13">(K15/L15)*60</f>
        <v>24</v>
      </c>
      <c r="AM15" s="304">
        <f t="shared" ref="AM15" si="14">60*AL15</f>
        <v>1440</v>
      </c>
      <c r="AN15" s="304">
        <f t="shared" ref="AN15" si="15">AL15/60</f>
        <v>0.4</v>
      </c>
      <c r="AS15" s="8"/>
      <c r="AU15" s="448"/>
      <c r="AV15" s="545"/>
    </row>
    <row r="16" spans="1:49" x14ac:dyDescent="0.35">
      <c r="A16">
        <f t="shared" si="4"/>
        <v>8</v>
      </c>
      <c r="B16" s="615" t="s">
        <v>1466</v>
      </c>
      <c r="C16" s="616" t="s">
        <v>1001</v>
      </c>
      <c r="D16" s="767">
        <v>5000000</v>
      </c>
      <c r="E16" s="767">
        <f>D16*E$7/F$3</f>
        <v>500</v>
      </c>
      <c r="F16" s="767">
        <f>D16*F$7/F$3</f>
        <v>5000</v>
      </c>
      <c r="G16" s="762" t="s">
        <v>34</v>
      </c>
      <c r="H16" s="762" t="s">
        <v>34</v>
      </c>
      <c r="I16" s="778" t="s">
        <v>34</v>
      </c>
      <c r="J16" s="779" t="s">
        <v>34</v>
      </c>
      <c r="K16" s="618">
        <v>1600</v>
      </c>
      <c r="L16" s="619">
        <v>1000</v>
      </c>
      <c r="M16" s="620" t="s">
        <v>712</v>
      </c>
      <c r="N16" s="622" t="s">
        <v>1467</v>
      </c>
      <c r="O16" s="619">
        <f>KeyArmiesStats!Y62*10</f>
        <v>50</v>
      </c>
      <c r="P16" s="619"/>
      <c r="Q16" s="619"/>
      <c r="R16">
        <f t="shared" si="5"/>
        <v>8</v>
      </c>
      <c r="S16" s="4" t="s">
        <v>1468</v>
      </c>
      <c r="T16" s="4"/>
      <c r="U16" s="4"/>
      <c r="V16" t="s">
        <v>1470</v>
      </c>
      <c r="AG16" s="427"/>
      <c r="AH16" s="4"/>
      <c r="AJ16" s="543"/>
      <c r="AL16" s="304">
        <f t="shared" ref="AL16" si="16">(K16/L16)*60</f>
        <v>96</v>
      </c>
      <c r="AM16" s="304">
        <f t="shared" ref="AM16" si="17">60*AL16</f>
        <v>5760</v>
      </c>
      <c r="AN16" s="304">
        <f t="shared" ref="AN16" si="18">AL16/60</f>
        <v>1.6</v>
      </c>
      <c r="AS16" s="8"/>
      <c r="AU16" s="448"/>
      <c r="AV16" s="545"/>
    </row>
    <row r="17" spans="1:40" x14ac:dyDescent="0.35">
      <c r="A17">
        <f t="shared" si="4"/>
        <v>9</v>
      </c>
      <c r="B17" s="123" t="s">
        <v>1194</v>
      </c>
      <c r="C17" s="42" t="s">
        <v>895</v>
      </c>
      <c r="D17" s="667">
        <v>2800000000</v>
      </c>
      <c r="E17" s="667">
        <f>D17*E$7/F$3</f>
        <v>280000</v>
      </c>
      <c r="F17" s="666" t="s">
        <v>34</v>
      </c>
      <c r="G17" s="666" t="s">
        <v>34</v>
      </c>
      <c r="H17" s="666" t="s">
        <v>34</v>
      </c>
      <c r="I17" s="776" t="s">
        <v>34</v>
      </c>
      <c r="J17" s="777" t="s">
        <v>34</v>
      </c>
      <c r="K17" s="105" t="s">
        <v>1897</v>
      </c>
      <c r="L17" s="392">
        <v>46</v>
      </c>
      <c r="M17" s="381" t="s">
        <v>34</v>
      </c>
      <c r="N17" s="554" t="s">
        <v>1898</v>
      </c>
      <c r="O17" s="392" t="s">
        <v>1133</v>
      </c>
      <c r="P17" s="392" t="s">
        <v>1133</v>
      </c>
      <c r="Q17" s="392">
        <v>3</v>
      </c>
      <c r="R17">
        <f t="shared" si="5"/>
        <v>9</v>
      </c>
      <c r="S17" s="395" t="s">
        <v>1132</v>
      </c>
      <c r="T17" s="395"/>
      <c r="U17" s="395"/>
      <c r="V17" s="427" t="s">
        <v>1134</v>
      </c>
      <c r="W17" s="159" t="s">
        <v>34</v>
      </c>
      <c r="X17" s="427" t="s">
        <v>34</v>
      </c>
      <c r="Y17" s="427"/>
      <c r="Z17" t="s">
        <v>1222</v>
      </c>
      <c r="AA17" s="427" t="s">
        <v>1899</v>
      </c>
      <c r="AB17" s="427"/>
      <c r="AC17" s="427"/>
      <c r="AD17" s="427"/>
      <c r="AE17" s="427"/>
      <c r="AF17" t="s">
        <v>34</v>
      </c>
      <c r="AL17" s="304"/>
      <c r="AM17" s="304"/>
      <c r="AN17" s="304"/>
    </row>
    <row r="18" spans="1:40" x14ac:dyDescent="0.35">
      <c r="A18">
        <f t="shared" si="4"/>
        <v>10</v>
      </c>
      <c r="B18" s="123"/>
      <c r="C18" s="42"/>
      <c r="D18" s="667"/>
      <c r="E18" s="667"/>
      <c r="F18" s="666"/>
      <c r="G18" s="666"/>
      <c r="H18" s="666"/>
      <c r="I18" s="776"/>
      <c r="J18" s="777"/>
      <c r="K18" s="105"/>
      <c r="L18" s="392"/>
      <c r="M18" s="381"/>
      <c r="N18" s="554"/>
      <c r="O18" s="392"/>
      <c r="P18" s="392"/>
      <c r="Q18" s="392"/>
      <c r="R18">
        <f t="shared" si="5"/>
        <v>10</v>
      </c>
      <c r="S18" s="395"/>
      <c r="T18" s="395"/>
      <c r="U18" s="395"/>
      <c r="V18" s="427"/>
      <c r="X18" s="427"/>
      <c r="Y18" s="427"/>
      <c r="AA18" s="427"/>
      <c r="AB18" s="427"/>
      <c r="AC18" s="427"/>
      <c r="AD18" s="427"/>
      <c r="AE18" s="427"/>
      <c r="AL18" s="304"/>
      <c r="AM18" s="304"/>
      <c r="AN18" s="304"/>
    </row>
    <row r="19" spans="1:40" x14ac:dyDescent="0.35">
      <c r="A19">
        <f t="shared" si="4"/>
        <v>11</v>
      </c>
      <c r="B19" s="123"/>
      <c r="C19" s="42"/>
      <c r="D19" s="667"/>
      <c r="E19" s="667"/>
      <c r="F19" s="666"/>
      <c r="G19" s="666"/>
      <c r="H19" s="666"/>
      <c r="I19" s="776"/>
      <c r="J19" s="777"/>
      <c r="K19" s="105"/>
      <c r="L19" s="392"/>
      <c r="M19" s="381"/>
      <c r="N19" s="554"/>
      <c r="O19" s="392"/>
      <c r="P19" s="392"/>
      <c r="Q19" s="392"/>
      <c r="R19">
        <f t="shared" si="5"/>
        <v>11</v>
      </c>
      <c r="S19" s="395"/>
      <c r="T19" s="395"/>
      <c r="U19" s="395"/>
      <c r="V19" s="427"/>
      <c r="X19" s="427"/>
      <c r="Y19" s="427"/>
      <c r="AA19" s="427"/>
      <c r="AB19" s="427"/>
      <c r="AC19" s="427"/>
      <c r="AD19" s="427"/>
      <c r="AE19" s="427"/>
      <c r="AL19" s="304"/>
      <c r="AM19" s="304"/>
      <c r="AN19" s="304"/>
    </row>
    <row r="20" spans="1:40" x14ac:dyDescent="0.35">
      <c r="A20">
        <f t="shared" si="4"/>
        <v>12</v>
      </c>
      <c r="B20" s="123"/>
      <c r="C20" s="42"/>
      <c r="D20" s="667"/>
      <c r="E20" s="667"/>
      <c r="F20" s="666"/>
      <c r="G20" s="666"/>
      <c r="H20" s="666"/>
      <c r="I20" s="776"/>
      <c r="J20" s="777"/>
      <c r="K20" s="105"/>
      <c r="L20" s="392"/>
      <c r="M20" s="381"/>
      <c r="N20" s="554"/>
      <c r="O20" s="392"/>
      <c r="P20" s="392"/>
      <c r="Q20" s="392"/>
      <c r="R20">
        <f t="shared" si="5"/>
        <v>12</v>
      </c>
      <c r="S20" s="395"/>
      <c r="T20" s="395"/>
      <c r="U20" s="395"/>
      <c r="V20" s="427"/>
      <c r="X20" s="427"/>
      <c r="Y20" s="427"/>
      <c r="AA20" s="427"/>
      <c r="AB20" s="427"/>
      <c r="AC20" s="427"/>
      <c r="AD20" s="427"/>
      <c r="AE20" s="427"/>
      <c r="AL20" s="304"/>
      <c r="AM20" s="304"/>
      <c r="AN20" s="304"/>
    </row>
    <row r="21" spans="1:40" x14ac:dyDescent="0.35">
      <c r="A21">
        <f t="shared" si="4"/>
        <v>13</v>
      </c>
      <c r="B21" s="51"/>
      <c r="C21" s="417"/>
      <c r="D21" s="667"/>
      <c r="E21" s="667"/>
      <c r="F21" s="667"/>
      <c r="G21" s="666"/>
      <c r="H21" s="666"/>
      <c r="I21" s="776"/>
      <c r="J21" s="777"/>
      <c r="K21" s="105"/>
      <c r="L21" s="105"/>
      <c r="M21" s="175"/>
      <c r="N21" s="123"/>
      <c r="O21" s="392"/>
      <c r="P21" s="392"/>
      <c r="Q21" s="392"/>
      <c r="R21">
        <f t="shared" si="5"/>
        <v>13</v>
      </c>
      <c r="S21" s="20"/>
      <c r="T21" s="20"/>
      <c r="U21" s="20"/>
      <c r="W21" s="159" t="s">
        <v>34</v>
      </c>
      <c r="AF21" t="s">
        <v>34</v>
      </c>
      <c r="AL21" s="304"/>
      <c r="AM21" s="304"/>
      <c r="AN21" s="304"/>
    </row>
    <row r="22" spans="1:40" x14ac:dyDescent="0.35">
      <c r="A22">
        <f t="shared" si="4"/>
        <v>14</v>
      </c>
      <c r="B22" s="181" t="s">
        <v>163</v>
      </c>
      <c r="C22" s="463"/>
      <c r="D22" s="768"/>
      <c r="E22" s="768"/>
      <c r="F22" s="768"/>
      <c r="G22" s="768"/>
      <c r="H22" s="768"/>
      <c r="I22" s="780"/>
      <c r="J22" s="781"/>
      <c r="K22" s="391"/>
      <c r="L22" s="391"/>
      <c r="M22" s="387"/>
      <c r="N22" s="185"/>
      <c r="O22" s="393"/>
      <c r="P22" s="393"/>
      <c r="Q22" s="393"/>
      <c r="R22">
        <f t="shared" si="5"/>
        <v>14</v>
      </c>
      <c r="V22" t="s">
        <v>34</v>
      </c>
      <c r="W22" s="159" t="s">
        <v>34</v>
      </c>
      <c r="AF22" t="s">
        <v>34</v>
      </c>
    </row>
    <row r="23" spans="1:40" x14ac:dyDescent="0.35">
      <c r="A23">
        <f t="shared" si="4"/>
        <v>15</v>
      </c>
      <c r="B23" s="123" t="s">
        <v>167</v>
      </c>
      <c r="C23" s="42" t="s">
        <v>867</v>
      </c>
      <c r="D23" s="667">
        <v>500</v>
      </c>
      <c r="E23" s="666" t="s">
        <v>34</v>
      </c>
      <c r="F23" s="666" t="s">
        <v>34</v>
      </c>
      <c r="G23" s="666" t="s">
        <v>34</v>
      </c>
      <c r="H23" s="667">
        <f>D23*H$7/F$3</f>
        <v>50</v>
      </c>
      <c r="I23" s="782">
        <f>D23*I$7/I$3</f>
        <v>0.5</v>
      </c>
      <c r="J23" s="783">
        <f>D23*J$7/I$3</f>
        <v>5</v>
      </c>
      <c r="K23" s="392" t="s">
        <v>34</v>
      </c>
      <c r="L23" s="392" t="s">
        <v>34</v>
      </c>
      <c r="M23" s="175" t="s">
        <v>34</v>
      </c>
      <c r="N23" s="123">
        <v>10.3</v>
      </c>
      <c r="O23" s="392" t="s">
        <v>351</v>
      </c>
      <c r="P23" s="392"/>
      <c r="Q23" s="392"/>
      <c r="R23">
        <f t="shared" si="5"/>
        <v>15</v>
      </c>
      <c r="S23" s="97" t="s">
        <v>166</v>
      </c>
      <c r="T23" s="97"/>
      <c r="U23" s="97"/>
      <c r="V23" t="s">
        <v>34</v>
      </c>
      <c r="W23" s="159" t="s">
        <v>34</v>
      </c>
      <c r="AF23" t="s">
        <v>34</v>
      </c>
    </row>
    <row r="24" spans="1:40" x14ac:dyDescent="0.35">
      <c r="A24">
        <f t="shared" si="4"/>
        <v>16</v>
      </c>
      <c r="B24" s="123" t="s">
        <v>1900</v>
      </c>
      <c r="C24" s="42" t="s">
        <v>869</v>
      </c>
      <c r="D24" s="667">
        <v>40</v>
      </c>
      <c r="E24" s="666" t="s">
        <v>34</v>
      </c>
      <c r="F24" s="666" t="s">
        <v>34</v>
      </c>
      <c r="G24" s="666" t="s">
        <v>34</v>
      </c>
      <c r="H24" s="667">
        <f>D24*H$7/F$3</f>
        <v>4</v>
      </c>
      <c r="I24" s="782">
        <f>D24*I$7/I$3</f>
        <v>0.04</v>
      </c>
      <c r="J24" s="783">
        <f>D24*J$7/I$3</f>
        <v>0.4</v>
      </c>
      <c r="K24" s="392" t="s">
        <v>34</v>
      </c>
      <c r="L24" s="392" t="s">
        <v>34</v>
      </c>
      <c r="M24" s="175" t="s">
        <v>34</v>
      </c>
      <c r="N24" s="175" t="s">
        <v>189</v>
      </c>
      <c r="O24" s="392" t="s">
        <v>351</v>
      </c>
      <c r="P24" s="392"/>
      <c r="Q24" s="392"/>
      <c r="R24">
        <f t="shared" si="5"/>
        <v>16</v>
      </c>
      <c r="S24" s="97" t="s">
        <v>868</v>
      </c>
      <c r="T24" s="97"/>
      <c r="U24" s="97"/>
      <c r="V24" t="s">
        <v>34</v>
      </c>
      <c r="W24" s="159" t="s">
        <v>34</v>
      </c>
      <c r="AF24" t="s">
        <v>34</v>
      </c>
    </row>
    <row r="25" spans="1:40" x14ac:dyDescent="0.35">
      <c r="A25">
        <f t="shared" si="4"/>
        <v>17</v>
      </c>
      <c r="B25" s="123" t="s">
        <v>187</v>
      </c>
      <c r="C25" s="42" t="s">
        <v>891</v>
      </c>
      <c r="D25" s="667">
        <v>4000</v>
      </c>
      <c r="E25" s="666" t="s">
        <v>34</v>
      </c>
      <c r="F25" s="666" t="s">
        <v>34</v>
      </c>
      <c r="G25" s="666" t="s">
        <v>34</v>
      </c>
      <c r="H25" s="667">
        <f>D25*H$7/F$3</f>
        <v>400</v>
      </c>
      <c r="I25" s="782">
        <f>D25*I$7/I$3</f>
        <v>4</v>
      </c>
      <c r="J25" s="783">
        <f>D25*J$7/I$3</f>
        <v>40</v>
      </c>
      <c r="K25" s="392">
        <v>25</v>
      </c>
      <c r="L25" s="392">
        <v>3000</v>
      </c>
      <c r="M25" s="175" t="s">
        <v>357</v>
      </c>
      <c r="N25" s="175" t="s">
        <v>203</v>
      </c>
      <c r="O25" s="392" t="s">
        <v>351</v>
      </c>
      <c r="P25" s="392"/>
      <c r="Q25" s="392"/>
      <c r="R25">
        <f t="shared" si="5"/>
        <v>17</v>
      </c>
      <c r="S25" s="395" t="s">
        <v>188</v>
      </c>
      <c r="T25" s="395"/>
      <c r="U25" s="395"/>
      <c r="V25" t="s">
        <v>196</v>
      </c>
      <c r="W25" s="159" t="s">
        <v>34</v>
      </c>
      <c r="AF25" t="s">
        <v>34</v>
      </c>
    </row>
    <row r="26" spans="1:40" x14ac:dyDescent="0.35">
      <c r="A26">
        <f t="shared" si="4"/>
        <v>18</v>
      </c>
      <c r="B26" s="123" t="s">
        <v>1901</v>
      </c>
      <c r="C26" s="42" t="s">
        <v>758</v>
      </c>
      <c r="D26" s="667">
        <v>8000</v>
      </c>
      <c r="E26" s="666" t="s">
        <v>34</v>
      </c>
      <c r="F26" s="666" t="s">
        <v>34</v>
      </c>
      <c r="G26" s="666" t="s">
        <v>34</v>
      </c>
      <c r="H26" s="667">
        <f>D26*H$7/F$3</f>
        <v>800</v>
      </c>
      <c r="I26" s="782">
        <f>D26*I$7/I$3</f>
        <v>8</v>
      </c>
      <c r="J26" s="777" t="s">
        <v>34</v>
      </c>
      <c r="K26" s="105">
        <v>40</v>
      </c>
      <c r="L26" s="105">
        <v>3000</v>
      </c>
      <c r="M26" s="175" t="s">
        <v>357</v>
      </c>
      <c r="N26" s="175"/>
      <c r="O26" s="392" t="s">
        <v>352</v>
      </c>
      <c r="P26" s="392"/>
      <c r="Q26" s="392"/>
      <c r="R26">
        <f t="shared" si="5"/>
        <v>18</v>
      </c>
      <c r="S26" s="395" t="s">
        <v>892</v>
      </c>
      <c r="T26" s="395"/>
      <c r="U26" s="395"/>
      <c r="V26" t="s">
        <v>198</v>
      </c>
      <c r="W26" s="159" t="s">
        <v>34</v>
      </c>
      <c r="AF26" t="s">
        <v>34</v>
      </c>
    </row>
    <row r="27" spans="1:40" x14ac:dyDescent="0.35">
      <c r="A27">
        <f t="shared" si="4"/>
        <v>19</v>
      </c>
      <c r="B27" s="123" t="s">
        <v>1902</v>
      </c>
      <c r="C27" s="42" t="s">
        <v>893</v>
      </c>
      <c r="D27" s="667">
        <v>12000</v>
      </c>
      <c r="E27" s="666" t="s">
        <v>34</v>
      </c>
      <c r="F27" s="666" t="s">
        <v>34</v>
      </c>
      <c r="G27" s="667">
        <f>D27*G$7/F$3</f>
        <v>120</v>
      </c>
      <c r="H27" s="667">
        <f>D27*H$7/F$3</f>
        <v>1200</v>
      </c>
      <c r="I27" s="782">
        <f>D27*I$7/I$3</f>
        <v>12</v>
      </c>
      <c r="J27" s="777" t="s">
        <v>34</v>
      </c>
      <c r="K27" s="105">
        <v>55</v>
      </c>
      <c r="L27" s="105">
        <v>3000</v>
      </c>
      <c r="M27" s="175" t="s">
        <v>357</v>
      </c>
      <c r="N27" s="175" t="s">
        <v>200</v>
      </c>
      <c r="O27" s="392" t="s">
        <v>353</v>
      </c>
      <c r="P27" s="392"/>
      <c r="Q27" s="392"/>
      <c r="R27">
        <f t="shared" si="5"/>
        <v>19</v>
      </c>
      <c r="S27" s="97" t="s">
        <v>894</v>
      </c>
      <c r="T27" s="97"/>
      <c r="U27" s="97"/>
      <c r="V27" t="s">
        <v>1904</v>
      </c>
      <c r="W27" s="159" t="s">
        <v>34</v>
      </c>
      <c r="AF27" t="s">
        <v>34</v>
      </c>
    </row>
    <row r="28" spans="1:40" x14ac:dyDescent="0.35">
      <c r="A28">
        <f t="shared" si="4"/>
        <v>20</v>
      </c>
      <c r="B28" s="123" t="s">
        <v>1903</v>
      </c>
      <c r="C28" s="42" t="s">
        <v>791</v>
      </c>
      <c r="D28" s="667">
        <v>112800</v>
      </c>
      <c r="E28" s="666" t="s">
        <v>34</v>
      </c>
      <c r="F28" s="667">
        <f>D28*F$7/F$3</f>
        <v>112.8</v>
      </c>
      <c r="G28" s="667">
        <f>D28*G$7/F$3</f>
        <v>1128</v>
      </c>
      <c r="H28" s="666" t="s">
        <v>34</v>
      </c>
      <c r="I28" s="776" t="s">
        <v>34</v>
      </c>
      <c r="J28" s="776" t="s">
        <v>34</v>
      </c>
      <c r="K28" s="105">
        <v>70</v>
      </c>
      <c r="L28" s="105">
        <v>3000</v>
      </c>
      <c r="M28" s="175" t="s">
        <v>357</v>
      </c>
      <c r="N28" s="175" t="s">
        <v>199</v>
      </c>
      <c r="O28" s="392" t="s">
        <v>354</v>
      </c>
      <c r="P28" s="392"/>
      <c r="Q28" s="392"/>
      <c r="R28">
        <f t="shared" si="5"/>
        <v>20</v>
      </c>
      <c r="S28" s="97" t="s">
        <v>197</v>
      </c>
      <c r="T28" s="97"/>
      <c r="U28" s="97"/>
      <c r="V28" s="427" t="s">
        <v>34</v>
      </c>
      <c r="W28" s="159" t="s">
        <v>34</v>
      </c>
      <c r="X28" s="427"/>
      <c r="Y28" s="427"/>
      <c r="Z28" s="427"/>
      <c r="AA28" s="427"/>
      <c r="AB28" s="427"/>
      <c r="AC28" s="427"/>
      <c r="AD28" s="427"/>
      <c r="AE28" s="427"/>
      <c r="AF28" t="s">
        <v>34</v>
      </c>
      <c r="AL28" s="304">
        <f t="shared" ref="AL28:AL41" si="19">(K28/L28)*60</f>
        <v>1.4000000000000001</v>
      </c>
      <c r="AM28" s="304">
        <f t="shared" ref="AM28:AM41" si="20">60*AL28</f>
        <v>84.000000000000014</v>
      </c>
      <c r="AN28" s="304">
        <f t="shared" ref="AN28:AN41" si="21">AL28/60</f>
        <v>2.3333333333333334E-2</v>
      </c>
    </row>
    <row r="29" spans="1:40" x14ac:dyDescent="0.35">
      <c r="A29">
        <f t="shared" si="4"/>
        <v>21</v>
      </c>
      <c r="B29" s="123" t="s">
        <v>963</v>
      </c>
      <c r="C29" s="42" t="s">
        <v>874</v>
      </c>
      <c r="D29" s="667">
        <v>10400000</v>
      </c>
      <c r="E29" s="667">
        <f>D29*E$7/F$3</f>
        <v>1040</v>
      </c>
      <c r="F29" s="667">
        <f>D29*F$7/F$3</f>
        <v>10400</v>
      </c>
      <c r="G29" s="666" t="s">
        <v>34</v>
      </c>
      <c r="H29" s="666" t="s">
        <v>34</v>
      </c>
      <c r="I29" s="776" t="s">
        <v>34</v>
      </c>
      <c r="J29" s="776" t="s">
        <v>34</v>
      </c>
      <c r="K29" s="392">
        <v>800</v>
      </c>
      <c r="L29" s="392">
        <v>90</v>
      </c>
      <c r="M29" s="175" t="s">
        <v>34</v>
      </c>
      <c r="N29" s="179" t="s">
        <v>34</v>
      </c>
      <c r="O29" s="392" t="s">
        <v>356</v>
      </c>
      <c r="P29" s="392"/>
      <c r="Q29" s="392"/>
      <c r="R29">
        <f t="shared" si="5"/>
        <v>21</v>
      </c>
      <c r="S29" s="97" t="s">
        <v>176</v>
      </c>
      <c r="T29" s="97"/>
      <c r="U29" s="97"/>
      <c r="V29" s="427" t="s">
        <v>34</v>
      </c>
      <c r="W29" s="159" t="s">
        <v>34</v>
      </c>
      <c r="X29" s="427"/>
      <c r="Y29" s="427"/>
      <c r="Z29" s="427"/>
      <c r="AA29" s="427"/>
      <c r="AB29" s="427"/>
      <c r="AC29" s="427"/>
      <c r="AD29" s="427"/>
      <c r="AE29" s="427"/>
      <c r="AF29" t="s">
        <v>34</v>
      </c>
      <c r="AL29" s="304">
        <f t="shared" si="19"/>
        <v>533.33333333333337</v>
      </c>
      <c r="AM29" s="304">
        <f t="shared" si="20"/>
        <v>32000.000000000004</v>
      </c>
      <c r="AN29" s="304">
        <f t="shared" si="21"/>
        <v>8.8888888888888893</v>
      </c>
    </row>
    <row r="30" spans="1:40" x14ac:dyDescent="0.35">
      <c r="A30">
        <f t="shared" si="4"/>
        <v>22</v>
      </c>
      <c r="B30" s="123" t="s">
        <v>964</v>
      </c>
      <c r="C30" s="42" t="s">
        <v>809</v>
      </c>
      <c r="D30" s="667">
        <v>20000000</v>
      </c>
      <c r="E30" s="667">
        <f>D30*E$7/F$3</f>
        <v>2000</v>
      </c>
      <c r="F30" s="667">
        <f>D30*F$7/F$3</f>
        <v>20000</v>
      </c>
      <c r="G30" s="666" t="s">
        <v>34</v>
      </c>
      <c r="H30" s="666" t="s">
        <v>34</v>
      </c>
      <c r="I30" s="776" t="s">
        <v>34</v>
      </c>
      <c r="J30" s="776" t="s">
        <v>34</v>
      </c>
      <c r="K30" s="392">
        <v>420</v>
      </c>
      <c r="L30" s="392">
        <v>67</v>
      </c>
      <c r="M30" s="175" t="s">
        <v>34</v>
      </c>
      <c r="N30" s="179" t="s">
        <v>34</v>
      </c>
      <c r="O30" s="392" t="s">
        <v>358</v>
      </c>
      <c r="P30" s="392"/>
      <c r="Q30" s="392"/>
      <c r="R30">
        <f t="shared" si="5"/>
        <v>22</v>
      </c>
      <c r="S30" s="20" t="s">
        <v>177</v>
      </c>
      <c r="T30" s="20"/>
      <c r="U30" s="20"/>
      <c r="V30" s="427" t="s">
        <v>34</v>
      </c>
      <c r="W30" s="159" t="s">
        <v>34</v>
      </c>
      <c r="X30" s="427"/>
      <c r="Y30" s="427"/>
      <c r="Z30" s="427"/>
      <c r="AA30" s="427"/>
      <c r="AB30" s="427"/>
      <c r="AC30" s="427"/>
      <c r="AD30" s="427"/>
      <c r="AE30" s="427"/>
      <c r="AF30" t="s">
        <v>34</v>
      </c>
      <c r="AL30" s="304">
        <f t="shared" si="19"/>
        <v>376.11940298507466</v>
      </c>
      <c r="AM30" s="304">
        <f t="shared" si="20"/>
        <v>22567.164179104479</v>
      </c>
      <c r="AN30" s="304">
        <f t="shared" si="21"/>
        <v>6.2686567164179108</v>
      </c>
    </row>
    <row r="31" spans="1:40" x14ac:dyDescent="0.35">
      <c r="A31">
        <f t="shared" si="4"/>
        <v>23</v>
      </c>
      <c r="B31" s="123" t="s">
        <v>953</v>
      </c>
      <c r="C31" s="42" t="s">
        <v>837</v>
      </c>
      <c r="D31" s="667">
        <v>12000000</v>
      </c>
      <c r="E31" s="667">
        <f>D31*E$7/F$3</f>
        <v>1200</v>
      </c>
      <c r="F31" s="667">
        <f>D31*F$7/F$3</f>
        <v>12000</v>
      </c>
      <c r="G31" s="666" t="s">
        <v>34</v>
      </c>
      <c r="H31" s="666" t="s">
        <v>34</v>
      </c>
      <c r="I31" s="776" t="s">
        <v>34</v>
      </c>
      <c r="J31" s="776" t="s">
        <v>34</v>
      </c>
      <c r="K31" s="392">
        <v>700</v>
      </c>
      <c r="L31" s="392">
        <v>103</v>
      </c>
      <c r="M31" s="175" t="s">
        <v>34</v>
      </c>
      <c r="N31" s="179" t="s">
        <v>34</v>
      </c>
      <c r="O31" s="392" t="s">
        <v>409</v>
      </c>
      <c r="P31" s="392"/>
      <c r="Q31" s="392"/>
      <c r="R31">
        <f t="shared" si="5"/>
        <v>23</v>
      </c>
      <c r="S31" s="20" t="s">
        <v>638</v>
      </c>
      <c r="T31" s="20"/>
      <c r="U31" s="20"/>
      <c r="V31" t="s">
        <v>1905</v>
      </c>
      <c r="W31" s="159" t="s">
        <v>34</v>
      </c>
      <c r="AF31" t="s">
        <v>34</v>
      </c>
      <c r="AL31" s="304">
        <f t="shared" si="19"/>
        <v>407.76699029126212</v>
      </c>
      <c r="AM31" s="304">
        <f t="shared" si="20"/>
        <v>24466.019417475727</v>
      </c>
      <c r="AN31" s="304">
        <f t="shared" si="21"/>
        <v>6.7961165048543686</v>
      </c>
    </row>
    <row r="32" spans="1:40" x14ac:dyDescent="0.35">
      <c r="A32">
        <f t="shared" si="4"/>
        <v>24</v>
      </c>
      <c r="B32" s="123" t="s">
        <v>962</v>
      </c>
      <c r="C32" s="42" t="s">
        <v>895</v>
      </c>
      <c r="D32" s="667">
        <f>D29</f>
        <v>10400000</v>
      </c>
      <c r="E32" s="667">
        <f>D32*E$7/F$3</f>
        <v>1040</v>
      </c>
      <c r="F32" s="667">
        <f>D32*F$7/F$3</f>
        <v>10400</v>
      </c>
      <c r="G32" s="666" t="s">
        <v>34</v>
      </c>
      <c r="H32" s="666" t="s">
        <v>34</v>
      </c>
      <c r="I32" s="776" t="s">
        <v>34</v>
      </c>
      <c r="J32" s="776" t="s">
        <v>34</v>
      </c>
      <c r="K32" s="392">
        <v>600</v>
      </c>
      <c r="L32" s="392">
        <v>100</v>
      </c>
      <c r="M32" s="175" t="s">
        <v>34</v>
      </c>
      <c r="N32" s="179" t="s">
        <v>34</v>
      </c>
      <c r="O32" s="392" t="s">
        <v>359</v>
      </c>
      <c r="P32" s="392"/>
      <c r="Q32" s="392"/>
      <c r="R32">
        <f t="shared" si="5"/>
        <v>24</v>
      </c>
      <c r="S32" s="20" t="s">
        <v>191</v>
      </c>
      <c r="T32" s="20"/>
      <c r="U32" s="20"/>
      <c r="V32" s="427" t="s">
        <v>34</v>
      </c>
      <c r="W32" s="159" t="s">
        <v>34</v>
      </c>
      <c r="X32" s="427"/>
      <c r="Y32" s="427"/>
      <c r="Z32" s="427"/>
      <c r="AA32" s="427"/>
      <c r="AB32" s="427"/>
      <c r="AC32" s="427"/>
      <c r="AD32" s="427"/>
      <c r="AE32" s="427"/>
      <c r="AF32" t="s">
        <v>34</v>
      </c>
      <c r="AL32" s="304">
        <f t="shared" si="19"/>
        <v>360</v>
      </c>
      <c r="AM32" s="304">
        <f t="shared" si="20"/>
        <v>21600</v>
      </c>
      <c r="AN32" s="304">
        <f t="shared" si="21"/>
        <v>6</v>
      </c>
    </row>
    <row r="33" spans="1:40" x14ac:dyDescent="0.35">
      <c r="A33">
        <f t="shared" si="4"/>
        <v>25</v>
      </c>
      <c r="B33" s="483" t="s">
        <v>959</v>
      </c>
      <c r="C33" s="485" t="s">
        <v>755</v>
      </c>
      <c r="D33" s="765"/>
      <c r="E33" s="765"/>
      <c r="F33" s="765"/>
      <c r="G33" s="766"/>
      <c r="H33" s="766"/>
      <c r="I33" s="772"/>
      <c r="J33" s="772"/>
      <c r="K33" s="484">
        <v>1200</v>
      </c>
      <c r="L33" s="484">
        <v>100</v>
      </c>
      <c r="M33" s="482" t="s">
        <v>34</v>
      </c>
      <c r="N33" s="516" t="s">
        <v>34</v>
      </c>
      <c r="O33" s="484" t="s">
        <v>960</v>
      </c>
      <c r="P33" s="484"/>
      <c r="Q33" s="484"/>
      <c r="R33">
        <f t="shared" si="5"/>
        <v>25</v>
      </c>
      <c r="S33" s="20" t="s">
        <v>961</v>
      </c>
      <c r="T33" s="20"/>
      <c r="U33" s="20"/>
      <c r="V33" s="427" t="s">
        <v>1906</v>
      </c>
      <c r="W33" s="159" t="s">
        <v>34</v>
      </c>
      <c r="X33" s="427"/>
      <c r="Y33" s="427"/>
      <c r="Z33" s="427"/>
      <c r="AA33" s="427"/>
      <c r="AB33" s="427"/>
      <c r="AC33" s="427"/>
      <c r="AD33" s="427"/>
      <c r="AE33" s="427"/>
      <c r="AF33" t="s">
        <v>34</v>
      </c>
      <c r="AL33" s="304">
        <f t="shared" si="19"/>
        <v>720</v>
      </c>
      <c r="AM33" s="304">
        <f t="shared" si="20"/>
        <v>43200</v>
      </c>
      <c r="AN33" s="304">
        <f t="shared" si="21"/>
        <v>12</v>
      </c>
    </row>
    <row r="34" spans="1:40" x14ac:dyDescent="0.35">
      <c r="A34">
        <f t="shared" si="4"/>
        <v>26</v>
      </c>
      <c r="B34" s="123" t="s">
        <v>897</v>
      </c>
      <c r="C34" s="42" t="s">
        <v>896</v>
      </c>
      <c r="D34" s="667">
        <v>25</v>
      </c>
      <c r="E34" s="666" t="s">
        <v>34</v>
      </c>
      <c r="F34" s="666" t="s">
        <v>34</v>
      </c>
      <c r="G34" s="666" t="s">
        <v>34</v>
      </c>
      <c r="H34" s="667">
        <f>D34*H$7/F$3</f>
        <v>2.5</v>
      </c>
      <c r="I34" s="782">
        <f>D34*I$7/I$3</f>
        <v>2.5000000000000001E-2</v>
      </c>
      <c r="J34" s="783">
        <f>D34*J$7/I$3</f>
        <v>0.25</v>
      </c>
      <c r="K34" s="105">
        <v>2.5</v>
      </c>
      <c r="L34" s="105">
        <v>570</v>
      </c>
      <c r="M34" s="175" t="s">
        <v>360</v>
      </c>
      <c r="N34" s="179" t="s">
        <v>192</v>
      </c>
      <c r="O34" s="392" t="s">
        <v>351</v>
      </c>
      <c r="P34" s="392"/>
      <c r="Q34" s="392"/>
      <c r="R34">
        <f t="shared" si="5"/>
        <v>26</v>
      </c>
      <c r="S34" t="s">
        <v>898</v>
      </c>
      <c r="V34" s="451" t="s">
        <v>355</v>
      </c>
      <c r="W34" s="159" t="s">
        <v>34</v>
      </c>
      <c r="X34" s="451"/>
      <c r="Y34" s="451"/>
      <c r="Z34" s="451"/>
      <c r="AA34" s="451"/>
      <c r="AB34" s="451"/>
      <c r="AC34" s="451"/>
      <c r="AD34" s="451"/>
      <c r="AE34" s="451"/>
      <c r="AF34" t="s">
        <v>34</v>
      </c>
      <c r="AL34" s="304">
        <f t="shared" si="19"/>
        <v>0.26315789473684209</v>
      </c>
      <c r="AM34" s="304">
        <f t="shared" si="20"/>
        <v>15.789473684210526</v>
      </c>
      <c r="AN34" s="304">
        <f t="shared" si="21"/>
        <v>4.3859649122807015E-3</v>
      </c>
    </row>
    <row r="35" spans="1:40" x14ac:dyDescent="0.35">
      <c r="A35">
        <f t="shared" si="4"/>
        <v>27</v>
      </c>
      <c r="B35" s="123" t="s">
        <v>899</v>
      </c>
      <c r="C35" s="42" t="s">
        <v>896</v>
      </c>
      <c r="D35" s="667">
        <v>70</v>
      </c>
      <c r="E35" s="666" t="s">
        <v>34</v>
      </c>
      <c r="F35" s="666" t="s">
        <v>34</v>
      </c>
      <c r="G35" s="666" t="s">
        <v>34</v>
      </c>
      <c r="H35" s="667">
        <f>D35*H$7/F$3</f>
        <v>7</v>
      </c>
      <c r="I35" s="782">
        <f>D35*I$7/I$3</f>
        <v>7.0000000000000007E-2</v>
      </c>
      <c r="J35" s="783">
        <f>D35*J$7/I$3</f>
        <v>0.7</v>
      </c>
      <c r="K35" s="105">
        <v>5.3</v>
      </c>
      <c r="L35" s="105">
        <v>750</v>
      </c>
      <c r="M35" s="175" t="s">
        <v>360</v>
      </c>
      <c r="N35" s="179" t="s">
        <v>193</v>
      </c>
      <c r="O35" s="392" t="s">
        <v>351</v>
      </c>
      <c r="P35" s="392"/>
      <c r="Q35" s="392"/>
      <c r="R35">
        <f t="shared" si="5"/>
        <v>27</v>
      </c>
      <c r="S35" s="20" t="s">
        <v>900</v>
      </c>
      <c r="T35" s="20"/>
      <c r="U35" s="20"/>
      <c r="V35" s="427" t="s">
        <v>34</v>
      </c>
      <c r="W35" s="159" t="s">
        <v>34</v>
      </c>
      <c r="X35" s="427"/>
      <c r="Y35" s="427"/>
      <c r="Z35" s="427"/>
      <c r="AA35" s="427"/>
      <c r="AB35" s="427"/>
      <c r="AC35" s="427"/>
      <c r="AD35" s="427"/>
      <c r="AE35" s="427"/>
      <c r="AF35" t="s">
        <v>34</v>
      </c>
      <c r="AL35" s="304">
        <f t="shared" si="19"/>
        <v>0.42399999999999999</v>
      </c>
      <c r="AM35" s="304">
        <f t="shared" si="20"/>
        <v>25.439999999999998</v>
      </c>
      <c r="AN35" s="304">
        <f t="shared" si="21"/>
        <v>7.0666666666666664E-3</v>
      </c>
    </row>
    <row r="36" spans="1:40" x14ac:dyDescent="0.35">
      <c r="A36">
        <f t="shared" si="4"/>
        <v>28</v>
      </c>
      <c r="B36" s="123" t="s">
        <v>902</v>
      </c>
      <c r="C36" s="42" t="s">
        <v>896</v>
      </c>
      <c r="D36" s="667">
        <v>125</v>
      </c>
      <c r="E36" s="666" t="s">
        <v>34</v>
      </c>
      <c r="F36" s="666" t="s">
        <v>34</v>
      </c>
      <c r="G36" s="666" t="s">
        <v>34</v>
      </c>
      <c r="H36" s="667">
        <f>D36*H$7/F$3</f>
        <v>12.5</v>
      </c>
      <c r="I36" s="782">
        <f>D36*I$7/I$3</f>
        <v>0.125</v>
      </c>
      <c r="J36" s="783">
        <f>D36*J$7/I$3</f>
        <v>1.25</v>
      </c>
      <c r="K36" s="105">
        <v>8</v>
      </c>
      <c r="L36" s="105">
        <v>1100</v>
      </c>
      <c r="M36" s="175" t="s">
        <v>360</v>
      </c>
      <c r="N36" s="179" t="s">
        <v>194</v>
      </c>
      <c r="O36" s="392" t="s">
        <v>351</v>
      </c>
      <c r="P36" s="392"/>
      <c r="Q36" s="392"/>
      <c r="R36">
        <f t="shared" si="5"/>
        <v>28</v>
      </c>
      <c r="S36" s="20" t="s">
        <v>901</v>
      </c>
      <c r="T36" s="20"/>
      <c r="U36" s="20"/>
      <c r="V36" s="427" t="s">
        <v>34</v>
      </c>
      <c r="W36" s="159" t="s">
        <v>34</v>
      </c>
      <c r="X36" s="427"/>
      <c r="Y36" s="427"/>
      <c r="Z36" s="427"/>
      <c r="AA36" s="427"/>
      <c r="AB36" s="427"/>
      <c r="AC36" s="427"/>
      <c r="AD36" s="427"/>
      <c r="AE36" s="427"/>
      <c r="AF36" t="s">
        <v>34</v>
      </c>
      <c r="AL36" s="304">
        <f t="shared" si="19"/>
        <v>0.43636363636363634</v>
      </c>
      <c r="AM36" s="304">
        <f t="shared" si="20"/>
        <v>26.18181818181818</v>
      </c>
      <c r="AN36" s="304">
        <f t="shared" si="21"/>
        <v>7.2727272727272727E-3</v>
      </c>
    </row>
    <row r="37" spans="1:40" x14ac:dyDescent="0.35">
      <c r="A37">
        <f t="shared" si="4"/>
        <v>29</v>
      </c>
      <c r="B37" s="123" t="s">
        <v>186</v>
      </c>
      <c r="C37" s="42" t="s">
        <v>862</v>
      </c>
      <c r="D37" s="667">
        <v>10600</v>
      </c>
      <c r="E37" s="667">
        <f>D37*E$7/F$3</f>
        <v>1.06</v>
      </c>
      <c r="F37" s="667">
        <f t="shared" ref="F37:F42" si="22">D37*F$7/F$3</f>
        <v>10.6</v>
      </c>
      <c r="G37" s="667">
        <f>D37*G$7/F$3</f>
        <v>106</v>
      </c>
      <c r="H37" s="666" t="s">
        <v>34</v>
      </c>
      <c r="I37" s="776" t="s">
        <v>34</v>
      </c>
      <c r="J37" s="776" t="s">
        <v>34</v>
      </c>
      <c r="K37" s="392" t="s">
        <v>34</v>
      </c>
      <c r="L37" s="392" t="s">
        <v>34</v>
      </c>
      <c r="M37" s="175" t="s">
        <v>34</v>
      </c>
      <c r="N37" s="179" t="s">
        <v>34</v>
      </c>
      <c r="O37" s="392" t="s">
        <v>364</v>
      </c>
      <c r="P37" s="392"/>
      <c r="Q37" s="392"/>
      <c r="R37">
        <f t="shared" si="5"/>
        <v>29</v>
      </c>
      <c r="S37" s="20" t="s">
        <v>178</v>
      </c>
      <c r="T37" s="20"/>
      <c r="U37" s="20"/>
      <c r="V37" s="427" t="s">
        <v>34</v>
      </c>
      <c r="W37" s="159" t="s">
        <v>34</v>
      </c>
      <c r="X37" s="427"/>
      <c r="Y37" s="427"/>
      <c r="Z37" s="427"/>
      <c r="AA37" s="427"/>
      <c r="AB37" s="427"/>
      <c r="AC37" s="427"/>
      <c r="AD37" s="427"/>
      <c r="AE37" s="427"/>
      <c r="AF37" t="s">
        <v>34</v>
      </c>
      <c r="AL37" s="304"/>
      <c r="AM37" s="304"/>
      <c r="AN37" s="304"/>
    </row>
    <row r="38" spans="1:40" x14ac:dyDescent="0.35">
      <c r="A38">
        <f t="shared" si="4"/>
        <v>30</v>
      </c>
      <c r="B38" s="123" t="s">
        <v>383</v>
      </c>
      <c r="C38" s="42" t="s">
        <v>876</v>
      </c>
      <c r="D38" s="667">
        <v>40000</v>
      </c>
      <c r="E38" s="667">
        <f>D38*E$7/F$3</f>
        <v>4</v>
      </c>
      <c r="F38" s="667">
        <f t="shared" si="22"/>
        <v>40</v>
      </c>
      <c r="G38" s="667">
        <f>D38*G$7/F$3</f>
        <v>400</v>
      </c>
      <c r="H38" s="666" t="s">
        <v>34</v>
      </c>
      <c r="I38" s="776" t="s">
        <v>34</v>
      </c>
      <c r="J38" s="776" t="s">
        <v>34</v>
      </c>
      <c r="K38" s="392" t="s">
        <v>34</v>
      </c>
      <c r="L38" s="392" t="s">
        <v>34</v>
      </c>
      <c r="M38" s="175" t="s">
        <v>34</v>
      </c>
      <c r="N38" s="179" t="s">
        <v>34</v>
      </c>
      <c r="O38" s="392" t="s">
        <v>363</v>
      </c>
      <c r="P38" s="392"/>
      <c r="Q38" s="392"/>
      <c r="R38">
        <f t="shared" si="5"/>
        <v>30</v>
      </c>
      <c r="S38" s="20" t="s">
        <v>179</v>
      </c>
      <c r="T38" s="20"/>
      <c r="U38" s="20"/>
      <c r="V38" s="427" t="s">
        <v>34</v>
      </c>
      <c r="W38" s="159" t="s">
        <v>34</v>
      </c>
      <c r="X38" s="427"/>
      <c r="Y38" s="427"/>
      <c r="Z38" s="427"/>
      <c r="AA38" s="427"/>
      <c r="AB38" s="427"/>
      <c r="AC38" s="427"/>
      <c r="AD38" s="427"/>
      <c r="AE38" s="427"/>
      <c r="AF38" t="s">
        <v>34</v>
      </c>
      <c r="AL38" s="304"/>
      <c r="AM38" s="304"/>
      <c r="AN38" s="304"/>
    </row>
    <row r="39" spans="1:40" x14ac:dyDescent="0.35">
      <c r="A39">
        <f t="shared" si="4"/>
        <v>31</v>
      </c>
      <c r="B39" s="123" t="s">
        <v>2234</v>
      </c>
      <c r="C39" s="42" t="s">
        <v>874</v>
      </c>
      <c r="D39" s="667">
        <v>4400000</v>
      </c>
      <c r="E39" s="667">
        <f>D39*E$7/F$3</f>
        <v>440</v>
      </c>
      <c r="F39" s="667">
        <f>D39*F$7/F$3</f>
        <v>4400</v>
      </c>
      <c r="G39" s="666" t="s">
        <v>34</v>
      </c>
      <c r="H39" s="666" t="s">
        <v>34</v>
      </c>
      <c r="I39" s="776" t="s">
        <v>34</v>
      </c>
      <c r="J39" s="776" t="s">
        <v>34</v>
      </c>
      <c r="K39" s="392">
        <v>480</v>
      </c>
      <c r="L39" s="392">
        <v>85</v>
      </c>
      <c r="M39" s="175" t="s">
        <v>34</v>
      </c>
      <c r="N39" s="179" t="s">
        <v>34</v>
      </c>
      <c r="O39" s="392" t="s">
        <v>990</v>
      </c>
      <c r="P39" s="392"/>
      <c r="Q39" s="392"/>
      <c r="R39">
        <f t="shared" si="5"/>
        <v>31</v>
      </c>
      <c r="S39" s="4" t="s">
        <v>384</v>
      </c>
      <c r="T39" s="4"/>
      <c r="V39" s="427" t="s">
        <v>2233</v>
      </c>
      <c r="W39" s="159">
        <v>16000</v>
      </c>
      <c r="X39" s="427"/>
      <c r="Y39" s="427"/>
      <c r="Z39" s="427"/>
      <c r="AA39" s="427"/>
      <c r="AB39" s="427"/>
      <c r="AC39" s="427"/>
      <c r="AD39" s="427"/>
      <c r="AE39" s="427"/>
      <c r="AF39" t="s">
        <v>34</v>
      </c>
      <c r="AL39" s="304">
        <f>(K39/L39)*60</f>
        <v>338.82352941176475</v>
      </c>
      <c r="AM39" s="304">
        <f>60*AL39</f>
        <v>20329.411764705885</v>
      </c>
      <c r="AN39" s="304">
        <f>AL39/60</f>
        <v>5.6470588235294121</v>
      </c>
    </row>
    <row r="40" spans="1:40" x14ac:dyDescent="0.35">
      <c r="A40">
        <f t="shared" si="4"/>
        <v>32</v>
      </c>
      <c r="B40" s="123" t="s">
        <v>2230</v>
      </c>
      <c r="C40" s="42" t="s">
        <v>749</v>
      </c>
      <c r="D40" s="667">
        <v>30000</v>
      </c>
      <c r="E40" s="666" t="s">
        <v>34</v>
      </c>
      <c r="F40" s="667">
        <f t="shared" si="22"/>
        <v>30</v>
      </c>
      <c r="G40" s="667">
        <f>D40*G$7/F$3</f>
        <v>300</v>
      </c>
      <c r="H40" s="667">
        <f>D40*H$7/F$3</f>
        <v>3000</v>
      </c>
      <c r="I40" s="776" t="s">
        <v>34</v>
      </c>
      <c r="J40" s="776" t="s">
        <v>34</v>
      </c>
      <c r="K40" s="392">
        <v>45</v>
      </c>
      <c r="L40" s="392" t="s">
        <v>34</v>
      </c>
      <c r="M40" s="175" t="s">
        <v>34</v>
      </c>
      <c r="N40" s="179" t="s">
        <v>34</v>
      </c>
      <c r="O40" s="392" t="s">
        <v>386</v>
      </c>
      <c r="P40" s="392"/>
      <c r="Q40" s="392"/>
      <c r="R40">
        <f t="shared" si="5"/>
        <v>32</v>
      </c>
      <c r="S40" s="20" t="s">
        <v>398</v>
      </c>
      <c r="T40" s="20"/>
      <c r="U40" s="20"/>
      <c r="V40" t="s">
        <v>385</v>
      </c>
      <c r="W40" s="159" t="s">
        <v>34</v>
      </c>
      <c r="AF40" t="s">
        <v>34</v>
      </c>
      <c r="AL40" s="304"/>
      <c r="AM40" s="304"/>
      <c r="AN40" s="304"/>
    </row>
    <row r="41" spans="1:40" x14ac:dyDescent="0.35">
      <c r="A41">
        <f t="shared" si="4"/>
        <v>33</v>
      </c>
      <c r="B41" s="123" t="s">
        <v>2231</v>
      </c>
      <c r="C41" s="42" t="s">
        <v>761</v>
      </c>
      <c r="D41" s="667">
        <v>168000</v>
      </c>
      <c r="E41" s="666" t="s">
        <v>34</v>
      </c>
      <c r="F41" s="667">
        <f t="shared" si="22"/>
        <v>168</v>
      </c>
      <c r="G41" s="667">
        <f>D41*G$7/F$3</f>
        <v>1680</v>
      </c>
      <c r="H41" s="667">
        <f>D41*H$7/F$3</f>
        <v>16800</v>
      </c>
      <c r="I41" s="776" t="s">
        <v>34</v>
      </c>
      <c r="J41" s="776" t="s">
        <v>34</v>
      </c>
      <c r="K41" s="392">
        <v>90</v>
      </c>
      <c r="L41" s="392">
        <v>3062</v>
      </c>
      <c r="M41" s="175" t="s">
        <v>394</v>
      </c>
      <c r="N41" s="179" t="s">
        <v>391</v>
      </c>
      <c r="O41" s="392" t="s">
        <v>390</v>
      </c>
      <c r="P41" s="392"/>
      <c r="Q41" s="392"/>
      <c r="R41">
        <f t="shared" si="5"/>
        <v>33</v>
      </c>
      <c r="S41" s="20" t="s">
        <v>387</v>
      </c>
      <c r="T41" s="20"/>
      <c r="U41" s="20"/>
      <c r="V41" t="s">
        <v>392</v>
      </c>
      <c r="W41" s="159" t="s">
        <v>34</v>
      </c>
      <c r="AF41" t="s">
        <v>34</v>
      </c>
      <c r="AL41" s="304">
        <f t="shared" si="19"/>
        <v>1.7635532331809274</v>
      </c>
      <c r="AM41" s="304">
        <f t="shared" si="20"/>
        <v>105.81319399085564</v>
      </c>
      <c r="AN41" s="304">
        <f t="shared" si="21"/>
        <v>2.9392553886348791E-2</v>
      </c>
    </row>
    <row r="42" spans="1:40" x14ac:dyDescent="0.35">
      <c r="A42">
        <f t="shared" si="4"/>
        <v>34</v>
      </c>
      <c r="B42" s="123" t="s">
        <v>2232</v>
      </c>
      <c r="C42" s="42" t="s">
        <v>755</v>
      </c>
      <c r="D42" s="667">
        <v>40000</v>
      </c>
      <c r="E42" s="666" t="s">
        <v>34</v>
      </c>
      <c r="F42" s="667">
        <f t="shared" si="22"/>
        <v>40</v>
      </c>
      <c r="G42" s="667">
        <f>D42*G$7/F$3</f>
        <v>400</v>
      </c>
      <c r="H42" s="667">
        <f>D42*H$7/F$3</f>
        <v>4000</v>
      </c>
      <c r="I42" s="776" t="s">
        <v>34</v>
      </c>
      <c r="J42" s="776" t="s">
        <v>34</v>
      </c>
      <c r="K42" s="392">
        <v>150</v>
      </c>
      <c r="L42" s="392" t="s">
        <v>34</v>
      </c>
      <c r="M42" s="175" t="s">
        <v>34</v>
      </c>
      <c r="N42" s="179" t="s">
        <v>389</v>
      </c>
      <c r="O42" s="392" t="s">
        <v>346</v>
      </c>
      <c r="P42" s="392"/>
      <c r="Q42" s="392"/>
      <c r="R42">
        <f t="shared" si="5"/>
        <v>34</v>
      </c>
      <c r="S42" s="20" t="s">
        <v>388</v>
      </c>
      <c r="T42" s="20"/>
      <c r="U42" s="20"/>
      <c r="V42" t="s">
        <v>1907</v>
      </c>
      <c r="W42" s="159" t="s">
        <v>34</v>
      </c>
      <c r="AF42" t="s">
        <v>34</v>
      </c>
      <c r="AL42" s="304"/>
      <c r="AM42" s="304"/>
      <c r="AN42" s="304"/>
    </row>
    <row r="43" spans="1:40" x14ac:dyDescent="0.35">
      <c r="A43">
        <f t="shared" si="4"/>
        <v>35</v>
      </c>
      <c r="B43" s="615" t="s">
        <v>2246</v>
      </c>
      <c r="C43" s="616" t="s">
        <v>2247</v>
      </c>
      <c r="D43" s="762" t="s">
        <v>34</v>
      </c>
      <c r="E43" s="762" t="s">
        <v>34</v>
      </c>
      <c r="F43" s="762" t="s">
        <v>34</v>
      </c>
      <c r="G43" s="762" t="s">
        <v>34</v>
      </c>
      <c r="H43" s="762" t="s">
        <v>34</v>
      </c>
      <c r="I43" s="778" t="s">
        <v>34</v>
      </c>
      <c r="J43" s="778" t="s">
        <v>34</v>
      </c>
      <c r="K43" s="619" t="s">
        <v>34</v>
      </c>
      <c r="L43" s="619" t="s">
        <v>34</v>
      </c>
      <c r="M43" s="624" t="s">
        <v>34</v>
      </c>
      <c r="N43" s="621" t="s">
        <v>34</v>
      </c>
      <c r="O43" s="619" t="s">
        <v>34</v>
      </c>
      <c r="P43" s="619"/>
      <c r="Q43" s="619"/>
      <c r="R43">
        <f t="shared" si="5"/>
        <v>35</v>
      </c>
      <c r="S43" s="20" t="s">
        <v>2245</v>
      </c>
      <c r="T43" s="20"/>
      <c r="U43" s="20"/>
      <c r="V43" t="s">
        <v>2248</v>
      </c>
      <c r="AL43" s="304"/>
      <c r="AM43" s="304"/>
      <c r="AN43" s="304"/>
    </row>
    <row r="44" spans="1:40" x14ac:dyDescent="0.35">
      <c r="A44">
        <f t="shared" si="4"/>
        <v>36</v>
      </c>
      <c r="B44" s="615" t="s">
        <v>2395</v>
      </c>
      <c r="C44" s="616" t="s">
        <v>2247</v>
      </c>
      <c r="D44" s="762" t="s">
        <v>34</v>
      </c>
      <c r="E44" s="762" t="s">
        <v>34</v>
      </c>
      <c r="F44" s="762" t="s">
        <v>34</v>
      </c>
      <c r="G44" s="762" t="s">
        <v>34</v>
      </c>
      <c r="H44" s="762" t="s">
        <v>34</v>
      </c>
      <c r="I44" s="778" t="s">
        <v>34</v>
      </c>
      <c r="J44" s="778" t="s">
        <v>34</v>
      </c>
      <c r="K44" s="619">
        <v>40</v>
      </c>
      <c r="L44" s="619"/>
      <c r="M44" s="624"/>
      <c r="N44" s="621" t="s">
        <v>467</v>
      </c>
      <c r="O44" s="619"/>
      <c r="P44" s="619"/>
      <c r="Q44" s="619"/>
      <c r="R44">
        <f t="shared" si="5"/>
        <v>36</v>
      </c>
      <c r="S44" s="20" t="s">
        <v>2245</v>
      </c>
      <c r="T44" s="20"/>
      <c r="U44" s="20"/>
      <c r="W44" s="159">
        <v>66</v>
      </c>
      <c r="AL44" s="304"/>
      <c r="AM44" s="304"/>
      <c r="AN44" s="304"/>
    </row>
    <row r="45" spans="1:40" x14ac:dyDescent="0.35">
      <c r="A45">
        <f t="shared" si="4"/>
        <v>37</v>
      </c>
      <c r="B45" s="615" t="s">
        <v>2244</v>
      </c>
      <c r="C45" s="616" t="s">
        <v>762</v>
      </c>
      <c r="D45" s="762" t="s">
        <v>34</v>
      </c>
      <c r="E45" s="762" t="s">
        <v>34</v>
      </c>
      <c r="F45" s="762" t="s">
        <v>34</v>
      </c>
      <c r="G45" s="762" t="s">
        <v>34</v>
      </c>
      <c r="H45" s="762" t="s">
        <v>34</v>
      </c>
      <c r="I45" s="778" t="s">
        <v>34</v>
      </c>
      <c r="J45" s="778" t="s">
        <v>34</v>
      </c>
      <c r="K45" s="619">
        <v>150</v>
      </c>
      <c r="L45" s="619"/>
      <c r="M45" s="624"/>
      <c r="N45" s="621" t="s">
        <v>482</v>
      </c>
      <c r="O45" s="619"/>
      <c r="P45" s="619"/>
      <c r="Q45" s="619"/>
      <c r="R45">
        <f t="shared" si="5"/>
        <v>37</v>
      </c>
      <c r="S45" s="4" t="s">
        <v>1472</v>
      </c>
      <c r="T45" s="4"/>
      <c r="U45" t="s">
        <v>1473</v>
      </c>
      <c r="V45" s="427"/>
      <c r="W45" s="159">
        <v>570</v>
      </c>
      <c r="X45" s="427" t="s">
        <v>2243</v>
      </c>
      <c r="Y45" s="427"/>
      <c r="Z45" s="427"/>
      <c r="AA45" s="427"/>
      <c r="AB45" s="427"/>
      <c r="AC45" s="427"/>
      <c r="AD45" s="427"/>
      <c r="AE45" s="427"/>
      <c r="AL45" s="304"/>
      <c r="AM45" s="304"/>
      <c r="AN45" s="304"/>
    </row>
    <row r="46" spans="1:40" x14ac:dyDescent="0.35">
      <c r="A46">
        <f t="shared" si="4"/>
        <v>38</v>
      </c>
      <c r="B46" s="615" t="s">
        <v>2249</v>
      </c>
      <c r="C46" s="616" t="s">
        <v>2247</v>
      </c>
      <c r="D46" s="762" t="s">
        <v>34</v>
      </c>
      <c r="E46" s="762" t="s">
        <v>34</v>
      </c>
      <c r="F46" s="762" t="s">
        <v>34</v>
      </c>
      <c r="G46" s="762" t="s">
        <v>34</v>
      </c>
      <c r="H46" s="762" t="s">
        <v>34</v>
      </c>
      <c r="I46" s="778" t="s">
        <v>34</v>
      </c>
      <c r="J46" s="778" t="s">
        <v>34</v>
      </c>
      <c r="K46" s="619">
        <v>300</v>
      </c>
      <c r="L46" s="619"/>
      <c r="M46" s="624"/>
      <c r="N46" s="621" t="s">
        <v>2250</v>
      </c>
      <c r="O46" s="619"/>
      <c r="P46" s="619"/>
      <c r="Q46" s="619"/>
      <c r="R46">
        <f t="shared" si="5"/>
        <v>38</v>
      </c>
      <c r="S46" s="4" t="s">
        <v>2245</v>
      </c>
      <c r="T46" s="4"/>
      <c r="V46" s="427"/>
      <c r="W46" s="159">
        <v>800</v>
      </c>
      <c r="X46" s="427"/>
      <c r="Y46" s="427"/>
      <c r="Z46" s="427"/>
      <c r="AA46" s="427"/>
      <c r="AB46" s="427"/>
      <c r="AC46" s="427"/>
      <c r="AD46" s="427"/>
      <c r="AE46" s="427"/>
      <c r="AL46" s="304"/>
      <c r="AM46" s="304"/>
      <c r="AN46" s="304"/>
    </row>
    <row r="47" spans="1:40" x14ac:dyDescent="0.35">
      <c r="A47">
        <f t="shared" si="4"/>
        <v>39</v>
      </c>
      <c r="B47" s="487" t="s">
        <v>1908</v>
      </c>
      <c r="C47" s="488" t="s">
        <v>906</v>
      </c>
      <c r="D47" s="769">
        <v>500</v>
      </c>
      <c r="E47" s="763" t="s">
        <v>34</v>
      </c>
      <c r="F47" s="763" t="s">
        <v>34</v>
      </c>
      <c r="G47" s="763" t="s">
        <v>34</v>
      </c>
      <c r="H47" s="769">
        <f>D47*H$7/F$3</f>
        <v>50</v>
      </c>
      <c r="I47" s="784">
        <f>D47*I$7/I$3</f>
        <v>0.5</v>
      </c>
      <c r="J47" s="785">
        <f>D47*J$7/I$3</f>
        <v>5</v>
      </c>
      <c r="K47" s="495" t="s">
        <v>452</v>
      </c>
      <c r="L47" s="491">
        <v>1080</v>
      </c>
      <c r="M47" s="496" t="s">
        <v>541</v>
      </c>
      <c r="N47" s="497" t="s">
        <v>332</v>
      </c>
      <c r="O47" s="494" t="s">
        <v>451</v>
      </c>
      <c r="P47" s="494"/>
      <c r="Q47" s="494"/>
      <c r="R47">
        <f t="shared" si="5"/>
        <v>39</v>
      </c>
      <c r="S47" s="20" t="s">
        <v>334</v>
      </c>
      <c r="T47" s="20"/>
      <c r="U47" s="20"/>
      <c r="V47" s="427" t="s">
        <v>34</v>
      </c>
      <c r="W47" s="159" t="s">
        <v>34</v>
      </c>
      <c r="X47" s="427"/>
      <c r="Y47" s="427"/>
      <c r="Z47" s="427"/>
      <c r="AA47" s="427"/>
      <c r="AB47" s="427"/>
      <c r="AC47" s="427"/>
      <c r="AD47" s="427"/>
      <c r="AE47" s="427"/>
      <c r="AF47" t="s">
        <v>34</v>
      </c>
      <c r="AL47" s="304"/>
      <c r="AM47" s="304"/>
      <c r="AN47" s="304"/>
    </row>
    <row r="48" spans="1:40" x14ac:dyDescent="0.35">
      <c r="A48">
        <f t="shared" si="4"/>
        <v>40</v>
      </c>
      <c r="B48" s="487" t="s">
        <v>1909</v>
      </c>
      <c r="C48" s="488" t="s">
        <v>906</v>
      </c>
      <c r="D48" s="769">
        <v>400</v>
      </c>
      <c r="E48" s="763" t="s">
        <v>34</v>
      </c>
      <c r="F48" s="763" t="s">
        <v>34</v>
      </c>
      <c r="G48" s="763" t="s">
        <v>34</v>
      </c>
      <c r="H48" s="769">
        <f>D48*H$7/F$3</f>
        <v>40</v>
      </c>
      <c r="I48" s="784">
        <f>D48*I$7/I$3</f>
        <v>0.4</v>
      </c>
      <c r="J48" s="785">
        <f>D48*J$7/I$3</f>
        <v>4</v>
      </c>
      <c r="K48" s="494" t="s">
        <v>34</v>
      </c>
      <c r="L48" s="494" t="s">
        <v>34</v>
      </c>
      <c r="M48" s="496" t="s">
        <v>34</v>
      </c>
      <c r="N48" s="497" t="s">
        <v>333</v>
      </c>
      <c r="O48" s="494" t="s">
        <v>404</v>
      </c>
      <c r="P48" s="494"/>
      <c r="Q48" s="494"/>
      <c r="R48">
        <f t="shared" si="5"/>
        <v>40</v>
      </c>
      <c r="S48" s="20" t="s">
        <v>907</v>
      </c>
      <c r="T48" s="20"/>
      <c r="U48" s="20"/>
      <c r="V48" s="427" t="s">
        <v>34</v>
      </c>
      <c r="W48" s="159" t="s">
        <v>34</v>
      </c>
      <c r="X48" s="427"/>
      <c r="Y48" s="427"/>
      <c r="Z48" s="427"/>
      <c r="AA48" s="427"/>
      <c r="AB48" s="427"/>
      <c r="AC48" s="427"/>
      <c r="AD48" s="427"/>
      <c r="AE48" s="427"/>
      <c r="AF48" t="s">
        <v>34</v>
      </c>
      <c r="AL48" s="304"/>
      <c r="AM48" s="304"/>
      <c r="AN48" s="304"/>
    </row>
    <row r="49" spans="1:40" x14ac:dyDescent="0.35">
      <c r="A49">
        <f t="shared" si="4"/>
        <v>41</v>
      </c>
      <c r="B49" s="487" t="s">
        <v>1910</v>
      </c>
      <c r="C49" s="488" t="s">
        <v>906</v>
      </c>
      <c r="D49" s="769">
        <v>100</v>
      </c>
      <c r="E49" s="763" t="s">
        <v>34</v>
      </c>
      <c r="F49" s="763" t="s">
        <v>34</v>
      </c>
      <c r="G49" s="763" t="s">
        <v>34</v>
      </c>
      <c r="H49" s="769">
        <f>D49*H$7/F$3</f>
        <v>10</v>
      </c>
      <c r="I49" s="784">
        <f>D49*I$7/I$3</f>
        <v>0.1</v>
      </c>
      <c r="J49" s="785">
        <f>D49*J$7/I$3</f>
        <v>1</v>
      </c>
      <c r="K49" s="494" t="s">
        <v>34</v>
      </c>
      <c r="L49" s="494" t="s">
        <v>34</v>
      </c>
      <c r="M49" s="496" t="s">
        <v>34</v>
      </c>
      <c r="N49" s="497" t="s">
        <v>335</v>
      </c>
      <c r="O49" s="494" t="s">
        <v>404</v>
      </c>
      <c r="P49" s="494"/>
      <c r="Q49" s="494"/>
      <c r="R49">
        <f t="shared" si="5"/>
        <v>41</v>
      </c>
      <c r="S49" s="20" t="s">
        <v>908</v>
      </c>
      <c r="T49" s="20"/>
      <c r="U49" s="20"/>
      <c r="V49" s="427" t="s">
        <v>34</v>
      </c>
      <c r="W49" s="159" t="s">
        <v>34</v>
      </c>
      <c r="X49" s="427"/>
      <c r="Y49" s="427"/>
      <c r="Z49" s="427"/>
      <c r="AA49" s="427"/>
      <c r="AB49" s="427"/>
      <c r="AC49" s="427"/>
      <c r="AD49" s="427"/>
      <c r="AE49" s="427"/>
      <c r="AF49" t="s">
        <v>34</v>
      </c>
      <c r="AL49" s="304"/>
      <c r="AM49" s="304"/>
      <c r="AN49" s="304"/>
    </row>
    <row r="50" spans="1:40" x14ac:dyDescent="0.35">
      <c r="A50">
        <f t="shared" si="4"/>
        <v>42</v>
      </c>
      <c r="B50" s="487" t="s">
        <v>331</v>
      </c>
      <c r="C50" s="488" t="s">
        <v>906</v>
      </c>
      <c r="D50" s="769">
        <v>2000</v>
      </c>
      <c r="E50" s="763" t="s">
        <v>34</v>
      </c>
      <c r="F50" s="763" t="s">
        <v>34</v>
      </c>
      <c r="G50" s="769">
        <f t="shared" ref="G50:G59" si="23">D50*G$7/F$3</f>
        <v>20</v>
      </c>
      <c r="H50" s="769">
        <f>D50*H$7/F$3</f>
        <v>200</v>
      </c>
      <c r="I50" s="784">
        <f>D50*I$7/I$3</f>
        <v>2</v>
      </c>
      <c r="J50" s="774" t="s">
        <v>34</v>
      </c>
      <c r="K50" s="494" t="s">
        <v>34</v>
      </c>
      <c r="L50" s="494" t="s">
        <v>34</v>
      </c>
      <c r="M50" s="496" t="s">
        <v>34</v>
      </c>
      <c r="N50" s="497" t="s">
        <v>34</v>
      </c>
      <c r="O50" s="494" t="s">
        <v>450</v>
      </c>
      <c r="P50" s="494"/>
      <c r="Q50" s="494"/>
      <c r="R50">
        <f t="shared" si="5"/>
        <v>42</v>
      </c>
      <c r="S50" s="20" t="s">
        <v>909</v>
      </c>
      <c r="T50" s="20"/>
      <c r="U50" s="20"/>
      <c r="V50" s="427" t="s">
        <v>34</v>
      </c>
      <c r="W50" s="159" t="s">
        <v>34</v>
      </c>
      <c r="X50" s="427"/>
      <c r="Y50" s="427"/>
      <c r="Z50" s="427"/>
      <c r="AA50" s="427"/>
      <c r="AB50" s="427"/>
      <c r="AC50" s="427"/>
      <c r="AD50" s="427"/>
      <c r="AE50" s="427"/>
      <c r="AF50" t="s">
        <v>34</v>
      </c>
      <c r="AL50" s="304"/>
      <c r="AM50" s="304"/>
      <c r="AN50" s="304"/>
    </row>
    <row r="51" spans="1:40" x14ac:dyDescent="0.35">
      <c r="A51">
        <f t="shared" si="4"/>
        <v>43</v>
      </c>
      <c r="B51" s="123" t="s">
        <v>449</v>
      </c>
      <c r="C51" s="42" t="s">
        <v>911</v>
      </c>
      <c r="D51" s="667">
        <v>249700</v>
      </c>
      <c r="E51" s="666" t="s">
        <v>34</v>
      </c>
      <c r="F51" s="667">
        <f t="shared" ref="F51:F59" si="24">D51*F$7/F$3</f>
        <v>249.7</v>
      </c>
      <c r="G51" s="667">
        <f t="shared" si="23"/>
        <v>2497</v>
      </c>
      <c r="H51" s="666" t="s">
        <v>34</v>
      </c>
      <c r="I51" s="776" t="s">
        <v>34</v>
      </c>
      <c r="J51" s="776" t="s">
        <v>34</v>
      </c>
      <c r="K51" s="392" t="s">
        <v>34</v>
      </c>
      <c r="L51" s="392" t="s">
        <v>34</v>
      </c>
      <c r="M51" s="175" t="s">
        <v>34</v>
      </c>
      <c r="N51" s="179" t="s">
        <v>34</v>
      </c>
      <c r="O51" s="392" t="s">
        <v>454</v>
      </c>
      <c r="P51" s="392"/>
      <c r="Q51" s="392"/>
      <c r="R51">
        <f t="shared" si="5"/>
        <v>43</v>
      </c>
      <c r="S51" s="20" t="s">
        <v>910</v>
      </c>
      <c r="T51" s="20"/>
      <c r="U51" s="20"/>
      <c r="V51" s="427" t="s">
        <v>34</v>
      </c>
      <c r="W51" s="159" t="s">
        <v>34</v>
      </c>
      <c r="X51" s="427"/>
      <c r="Y51" s="427"/>
      <c r="Z51" s="427"/>
      <c r="AA51" s="427"/>
      <c r="AB51" s="427"/>
      <c r="AC51" s="427"/>
      <c r="AD51" s="427"/>
      <c r="AE51" s="427"/>
      <c r="AF51" t="s">
        <v>34</v>
      </c>
      <c r="AL51" s="304"/>
      <c r="AM51" s="304"/>
      <c r="AN51" s="304"/>
    </row>
    <row r="52" spans="1:40" x14ac:dyDescent="0.35">
      <c r="A52">
        <f t="shared" si="4"/>
        <v>44</v>
      </c>
      <c r="B52" s="123" t="s">
        <v>2663</v>
      </c>
      <c r="C52" s="42" t="s">
        <v>911</v>
      </c>
      <c r="D52" s="667">
        <v>216717</v>
      </c>
      <c r="E52" s="666" t="s">
        <v>34</v>
      </c>
      <c r="F52" s="667">
        <f t="shared" si="24"/>
        <v>216.71700000000001</v>
      </c>
      <c r="G52" s="667">
        <f t="shared" si="23"/>
        <v>2167.17</v>
      </c>
      <c r="H52" s="666" t="s">
        <v>34</v>
      </c>
      <c r="I52" s="776" t="s">
        <v>34</v>
      </c>
      <c r="J52" s="776" t="s">
        <v>34</v>
      </c>
      <c r="K52" s="105">
        <v>4</v>
      </c>
      <c r="L52" s="392" t="s">
        <v>34</v>
      </c>
      <c r="M52" s="175" t="s">
        <v>34</v>
      </c>
      <c r="N52" s="179" t="s">
        <v>455</v>
      </c>
      <c r="O52" s="392" t="s">
        <v>912</v>
      </c>
      <c r="P52" s="392"/>
      <c r="Q52" s="392"/>
      <c r="R52">
        <f t="shared" si="5"/>
        <v>44</v>
      </c>
      <c r="S52" s="97" t="s">
        <v>453</v>
      </c>
      <c r="T52" s="97"/>
      <c r="U52" s="97"/>
      <c r="V52" s="427" t="s">
        <v>34</v>
      </c>
      <c r="W52" s="159" t="s">
        <v>34</v>
      </c>
      <c r="X52" s="427"/>
      <c r="Y52" s="427"/>
      <c r="Z52" s="427"/>
      <c r="AA52" s="427"/>
      <c r="AB52" s="427"/>
      <c r="AC52" s="427"/>
      <c r="AD52" s="427"/>
      <c r="AE52" s="427"/>
      <c r="AF52" t="s">
        <v>34</v>
      </c>
      <c r="AL52" s="304"/>
      <c r="AM52" s="304"/>
      <c r="AN52" s="304"/>
    </row>
    <row r="53" spans="1:40" x14ac:dyDescent="0.35">
      <c r="A53">
        <f t="shared" si="4"/>
        <v>45</v>
      </c>
      <c r="B53" s="615" t="s">
        <v>1911</v>
      </c>
      <c r="C53" s="616" t="s">
        <v>818</v>
      </c>
      <c r="D53" s="767">
        <v>140000</v>
      </c>
      <c r="E53" s="762" t="s">
        <v>34</v>
      </c>
      <c r="F53" s="767">
        <f t="shared" si="24"/>
        <v>140</v>
      </c>
      <c r="G53" s="767">
        <f t="shared" si="23"/>
        <v>1400</v>
      </c>
      <c r="H53" s="762" t="s">
        <v>34</v>
      </c>
      <c r="I53" s="778" t="s">
        <v>34</v>
      </c>
      <c r="J53" s="778" t="s">
        <v>34</v>
      </c>
      <c r="K53" s="623">
        <v>1.5</v>
      </c>
      <c r="L53" s="619">
        <v>500</v>
      </c>
      <c r="M53" s="624" t="s">
        <v>613</v>
      </c>
      <c r="N53" s="622" t="s">
        <v>1912</v>
      </c>
      <c r="O53" s="619" t="s">
        <v>612</v>
      </c>
      <c r="P53" s="619"/>
      <c r="Q53" s="619"/>
      <c r="R53">
        <f t="shared" si="5"/>
        <v>45</v>
      </c>
      <c r="S53" s="97" t="s">
        <v>611</v>
      </c>
      <c r="T53" s="97"/>
      <c r="U53" s="97" t="s">
        <v>1269</v>
      </c>
      <c r="V53" s="429" t="s">
        <v>1913</v>
      </c>
      <c r="W53" s="159">
        <v>9.6</v>
      </c>
      <c r="X53" s="427"/>
      <c r="Y53" s="427"/>
      <c r="Z53" s="427"/>
      <c r="AA53" s="427"/>
      <c r="AB53" s="427"/>
      <c r="AC53" s="427"/>
      <c r="AD53" s="427"/>
      <c r="AE53" s="427"/>
      <c r="AF53" t="s">
        <v>34</v>
      </c>
      <c r="AG53" s="4" t="s">
        <v>1028</v>
      </c>
      <c r="AL53" s="304">
        <f t="shared" ref="AL53" si="25">(K53/L53)*60</f>
        <v>0.18</v>
      </c>
      <c r="AM53" s="304">
        <f>60*AL53</f>
        <v>10.799999999999999</v>
      </c>
      <c r="AN53" s="304">
        <f>AL53/60</f>
        <v>3.0000000000000001E-3</v>
      </c>
    </row>
    <row r="54" spans="1:40" x14ac:dyDescent="0.35">
      <c r="A54">
        <f t="shared" si="4"/>
        <v>46</v>
      </c>
      <c r="B54" s="615" t="s">
        <v>1914</v>
      </c>
      <c r="C54" s="616" t="s">
        <v>818</v>
      </c>
      <c r="D54" s="767">
        <v>140000</v>
      </c>
      <c r="E54" s="762" t="s">
        <v>34</v>
      </c>
      <c r="F54" s="767">
        <f t="shared" si="24"/>
        <v>140</v>
      </c>
      <c r="G54" s="767">
        <f t="shared" si="23"/>
        <v>1400</v>
      </c>
      <c r="H54" s="762" t="s">
        <v>34</v>
      </c>
      <c r="I54" s="778" t="s">
        <v>34</v>
      </c>
      <c r="J54" s="778" t="s">
        <v>34</v>
      </c>
      <c r="K54" s="623">
        <v>5.5</v>
      </c>
      <c r="L54" s="619">
        <v>500</v>
      </c>
      <c r="M54" s="624" t="s">
        <v>614</v>
      </c>
      <c r="N54" s="621" t="s">
        <v>637</v>
      </c>
      <c r="O54" s="619" t="s">
        <v>612</v>
      </c>
      <c r="P54" s="619"/>
      <c r="Q54" s="619"/>
      <c r="R54">
        <f t="shared" si="5"/>
        <v>46</v>
      </c>
      <c r="S54" t="s">
        <v>611</v>
      </c>
      <c r="V54" s="429" t="s">
        <v>616</v>
      </c>
      <c r="W54" s="159" t="s">
        <v>34</v>
      </c>
      <c r="X54" s="427"/>
      <c r="Y54" s="427"/>
      <c r="Z54" s="427"/>
      <c r="AA54" s="427"/>
      <c r="AB54" s="427"/>
      <c r="AC54" s="427"/>
      <c r="AD54" s="427"/>
      <c r="AE54" s="427"/>
      <c r="AF54" t="s">
        <v>34</v>
      </c>
      <c r="AL54" s="304">
        <f t="shared" ref="AL54:AL55" si="26">(K54/L54)*60</f>
        <v>0.65999999999999992</v>
      </c>
      <c r="AM54" s="304">
        <f>60*AL54</f>
        <v>39.599999999999994</v>
      </c>
      <c r="AN54" s="304">
        <f>AL54/60</f>
        <v>1.0999999999999999E-2</v>
      </c>
    </row>
    <row r="55" spans="1:40" x14ac:dyDescent="0.35">
      <c r="A55">
        <f t="shared" si="4"/>
        <v>47</v>
      </c>
      <c r="B55" s="615" t="s">
        <v>1915</v>
      </c>
      <c r="C55" s="616" t="s">
        <v>818</v>
      </c>
      <c r="D55" s="767">
        <v>250000</v>
      </c>
      <c r="E55" s="762" t="s">
        <v>34</v>
      </c>
      <c r="F55" s="767">
        <f t="shared" si="24"/>
        <v>250</v>
      </c>
      <c r="G55" s="767">
        <f t="shared" si="23"/>
        <v>2500</v>
      </c>
      <c r="H55" s="762" t="s">
        <v>34</v>
      </c>
      <c r="I55" s="778" t="s">
        <v>34</v>
      </c>
      <c r="J55" s="778" t="s">
        <v>34</v>
      </c>
      <c r="K55" s="619">
        <v>32</v>
      </c>
      <c r="L55" s="619">
        <v>500</v>
      </c>
      <c r="M55" s="624" t="s">
        <v>366</v>
      </c>
      <c r="N55" s="621" t="s">
        <v>637</v>
      </c>
      <c r="O55" s="619" t="s">
        <v>612</v>
      </c>
      <c r="P55" s="619"/>
      <c r="Q55" s="619"/>
      <c r="R55">
        <f t="shared" si="5"/>
        <v>47</v>
      </c>
      <c r="S55" s="97" t="s">
        <v>611</v>
      </c>
      <c r="T55" s="97"/>
      <c r="U55" s="97"/>
      <c r="V55" s="427" t="s">
        <v>1916</v>
      </c>
      <c r="W55" s="159" t="s">
        <v>34</v>
      </c>
      <c r="X55" s="427"/>
      <c r="Y55" s="427"/>
      <c r="Z55" s="427"/>
      <c r="AA55" s="427"/>
      <c r="AB55" s="427"/>
      <c r="AC55" s="427"/>
      <c r="AD55" s="427"/>
      <c r="AE55" s="427"/>
      <c r="AF55" t="s">
        <v>34</v>
      </c>
      <c r="AL55" s="304">
        <f t="shared" si="26"/>
        <v>3.84</v>
      </c>
      <c r="AM55" s="304">
        <f>60*AL55</f>
        <v>230.39999999999998</v>
      </c>
      <c r="AN55" s="304">
        <f>AL55/60</f>
        <v>6.4000000000000001E-2</v>
      </c>
    </row>
    <row r="56" spans="1:40" x14ac:dyDescent="0.35">
      <c r="A56">
        <f t="shared" si="4"/>
        <v>48</v>
      </c>
      <c r="B56" s="483" t="s">
        <v>460</v>
      </c>
      <c r="C56" s="485" t="s">
        <v>865</v>
      </c>
      <c r="D56" s="765">
        <v>50000</v>
      </c>
      <c r="E56" s="766" t="s">
        <v>34</v>
      </c>
      <c r="F56" s="765">
        <f t="shared" si="24"/>
        <v>50</v>
      </c>
      <c r="G56" s="765">
        <f t="shared" si="23"/>
        <v>500</v>
      </c>
      <c r="H56" s="766" t="s">
        <v>34</v>
      </c>
      <c r="I56" s="772" t="s">
        <v>34</v>
      </c>
      <c r="J56" s="772" t="s">
        <v>34</v>
      </c>
      <c r="K56" s="484" t="s">
        <v>34</v>
      </c>
      <c r="L56" s="484" t="s">
        <v>34</v>
      </c>
      <c r="M56" s="482" t="s">
        <v>34</v>
      </c>
      <c r="N56" s="482" t="s">
        <v>34</v>
      </c>
      <c r="O56" s="484" t="s">
        <v>457</v>
      </c>
      <c r="P56" s="484"/>
      <c r="Q56" s="484"/>
      <c r="R56">
        <f t="shared" si="5"/>
        <v>48</v>
      </c>
      <c r="S56" s="97" t="s">
        <v>458</v>
      </c>
      <c r="T56" s="97"/>
      <c r="U56" s="97"/>
      <c r="V56" s="427" t="s">
        <v>34</v>
      </c>
      <c r="W56" s="159" t="s">
        <v>34</v>
      </c>
      <c r="X56" s="427"/>
      <c r="Y56" s="427"/>
      <c r="Z56" s="427"/>
      <c r="AA56" s="427"/>
      <c r="AB56" s="427"/>
      <c r="AC56" s="427"/>
      <c r="AD56" s="427"/>
      <c r="AE56" s="427"/>
      <c r="AF56" t="s">
        <v>34</v>
      </c>
      <c r="AL56" s="304"/>
      <c r="AM56" s="304"/>
      <c r="AN56" s="304"/>
    </row>
    <row r="57" spans="1:40" x14ac:dyDescent="0.35">
      <c r="A57">
        <f t="shared" si="4"/>
        <v>49</v>
      </c>
      <c r="B57" s="483" t="s">
        <v>461</v>
      </c>
      <c r="C57" s="485" t="s">
        <v>865</v>
      </c>
      <c r="D57" s="765">
        <v>30000</v>
      </c>
      <c r="E57" s="766" t="s">
        <v>34</v>
      </c>
      <c r="F57" s="765">
        <f t="shared" si="24"/>
        <v>30</v>
      </c>
      <c r="G57" s="765">
        <f t="shared" si="23"/>
        <v>300</v>
      </c>
      <c r="H57" s="766" t="s">
        <v>34</v>
      </c>
      <c r="I57" s="772" t="s">
        <v>34</v>
      </c>
      <c r="J57" s="772" t="s">
        <v>34</v>
      </c>
      <c r="K57" s="484" t="s">
        <v>456</v>
      </c>
      <c r="L57" s="484" t="s">
        <v>34</v>
      </c>
      <c r="M57" s="482" t="s">
        <v>34</v>
      </c>
      <c r="N57" s="482" t="s">
        <v>914</v>
      </c>
      <c r="O57" s="484" t="s">
        <v>364</v>
      </c>
      <c r="P57" s="484"/>
      <c r="Q57" s="484"/>
      <c r="R57">
        <f t="shared" si="5"/>
        <v>49</v>
      </c>
      <c r="S57" s="97" t="s">
        <v>458</v>
      </c>
      <c r="T57" s="97"/>
      <c r="U57" s="97"/>
      <c r="V57" s="427" t="s">
        <v>34</v>
      </c>
      <c r="W57" s="159" t="s">
        <v>34</v>
      </c>
      <c r="X57" s="427"/>
      <c r="Y57" s="427"/>
      <c r="Z57" s="427"/>
      <c r="AA57" s="427"/>
      <c r="AB57" s="427"/>
      <c r="AC57" s="427"/>
      <c r="AD57" s="427"/>
      <c r="AE57" s="427"/>
      <c r="AF57" t="s">
        <v>34</v>
      </c>
      <c r="AL57" s="304"/>
      <c r="AM57" s="304"/>
      <c r="AN57" s="304"/>
    </row>
    <row r="58" spans="1:40" x14ac:dyDescent="0.35">
      <c r="A58">
        <f t="shared" si="4"/>
        <v>50</v>
      </c>
      <c r="B58" s="123" t="s">
        <v>462</v>
      </c>
      <c r="C58" s="42" t="s">
        <v>915</v>
      </c>
      <c r="D58" s="667">
        <v>40000</v>
      </c>
      <c r="E58" s="666" t="s">
        <v>34</v>
      </c>
      <c r="F58" s="666">
        <f t="shared" si="24"/>
        <v>40</v>
      </c>
      <c r="G58" s="667">
        <f t="shared" si="23"/>
        <v>400</v>
      </c>
      <c r="H58" s="666" t="s">
        <v>34</v>
      </c>
      <c r="I58" s="776" t="s">
        <v>34</v>
      </c>
      <c r="J58" s="776" t="s">
        <v>34</v>
      </c>
      <c r="K58" s="105">
        <v>1</v>
      </c>
      <c r="L58" s="105">
        <v>724</v>
      </c>
      <c r="M58" s="175" t="s">
        <v>540</v>
      </c>
      <c r="N58" s="179" t="s">
        <v>464</v>
      </c>
      <c r="O58" s="392" t="s">
        <v>463</v>
      </c>
      <c r="P58" s="392"/>
      <c r="Q58" s="392"/>
      <c r="R58">
        <f t="shared" si="5"/>
        <v>50</v>
      </c>
      <c r="S58" s="20" t="s">
        <v>465</v>
      </c>
      <c r="T58" s="20"/>
      <c r="U58" s="20"/>
      <c r="V58" s="427" t="s">
        <v>34</v>
      </c>
      <c r="W58" s="159" t="s">
        <v>34</v>
      </c>
      <c r="X58" s="427"/>
      <c r="Y58" s="427"/>
      <c r="Z58" s="427"/>
      <c r="AA58" s="427"/>
      <c r="AB58" s="427"/>
      <c r="AC58" s="427"/>
      <c r="AD58" s="427"/>
      <c r="AE58" s="427"/>
      <c r="AF58" t="s">
        <v>34</v>
      </c>
      <c r="AL58" s="304">
        <f t="shared" ref="AL58:AL201" si="27">(K58/L58)*60</f>
        <v>8.2872928176795577E-2</v>
      </c>
      <c r="AM58" s="304">
        <f t="shared" ref="AM58:AM201" si="28">60*AL58</f>
        <v>4.972375690607735</v>
      </c>
      <c r="AN58" s="304">
        <f t="shared" ref="AN58:AN201" si="29">AL58/60</f>
        <v>1.3812154696132596E-3</v>
      </c>
    </row>
    <row r="59" spans="1:40" x14ac:dyDescent="0.35">
      <c r="A59">
        <f t="shared" si="4"/>
        <v>51</v>
      </c>
      <c r="B59" s="123" t="s">
        <v>444</v>
      </c>
      <c r="C59" s="42" t="s">
        <v>818</v>
      </c>
      <c r="D59" s="667">
        <v>4212000</v>
      </c>
      <c r="E59" s="667">
        <f>D59*E$7/F$3</f>
        <v>421.2</v>
      </c>
      <c r="F59" s="667">
        <f t="shared" si="24"/>
        <v>4212</v>
      </c>
      <c r="G59" s="667">
        <f t="shared" si="23"/>
        <v>42120</v>
      </c>
      <c r="H59" s="666" t="s">
        <v>34</v>
      </c>
      <c r="I59" s="776" t="s">
        <v>34</v>
      </c>
      <c r="J59" s="776" t="s">
        <v>34</v>
      </c>
      <c r="K59" s="105">
        <v>480</v>
      </c>
      <c r="L59" s="105">
        <v>64</v>
      </c>
      <c r="M59" s="175" t="s">
        <v>34</v>
      </c>
      <c r="N59" s="179" t="s">
        <v>34</v>
      </c>
      <c r="O59" s="392" t="s">
        <v>364</v>
      </c>
      <c r="P59" s="392"/>
      <c r="Q59" s="392"/>
      <c r="R59">
        <f t="shared" si="5"/>
        <v>51</v>
      </c>
      <c r="S59" s="97" t="s">
        <v>445</v>
      </c>
      <c r="T59" s="97"/>
      <c r="U59" s="97"/>
      <c r="V59" s="427" t="s">
        <v>34</v>
      </c>
      <c r="W59" s="159" t="s">
        <v>34</v>
      </c>
      <c r="X59" s="427"/>
      <c r="Y59" s="427"/>
      <c r="Z59" s="427"/>
      <c r="AA59" s="427"/>
      <c r="AB59" s="427"/>
      <c r="AC59" s="427"/>
      <c r="AD59" s="427"/>
      <c r="AE59" s="427"/>
      <c r="AF59" t="s">
        <v>34</v>
      </c>
      <c r="AL59" s="304">
        <f t="shared" si="27"/>
        <v>450</v>
      </c>
      <c r="AM59" s="304">
        <f t="shared" si="28"/>
        <v>27000</v>
      </c>
      <c r="AN59" s="304">
        <f t="shared" si="29"/>
        <v>7.5</v>
      </c>
    </row>
    <row r="60" spans="1:40" x14ac:dyDescent="0.35">
      <c r="A60">
        <f t="shared" si="4"/>
        <v>52</v>
      </c>
      <c r="B60" s="123" t="s">
        <v>446</v>
      </c>
      <c r="C60" s="42" t="s">
        <v>818</v>
      </c>
      <c r="D60" s="667">
        <v>70</v>
      </c>
      <c r="E60" s="666" t="s">
        <v>34</v>
      </c>
      <c r="F60" s="666" t="s">
        <v>34</v>
      </c>
      <c r="G60" s="666" t="s">
        <v>34</v>
      </c>
      <c r="H60" s="667">
        <f>D60*H$7/F$3</f>
        <v>7</v>
      </c>
      <c r="I60" s="782">
        <f>D60*I$7/I$3</f>
        <v>7.0000000000000007E-2</v>
      </c>
      <c r="J60" s="783">
        <f>D60*J$7/I$3</f>
        <v>0.7</v>
      </c>
      <c r="K60" s="392" t="s">
        <v>448</v>
      </c>
      <c r="L60" s="105">
        <v>3960</v>
      </c>
      <c r="M60" s="175" t="s">
        <v>538</v>
      </c>
      <c r="N60" s="179" t="s">
        <v>34</v>
      </c>
      <c r="O60" s="392" t="s">
        <v>351</v>
      </c>
      <c r="P60" s="392"/>
      <c r="Q60" s="392"/>
      <c r="R60">
        <f t="shared" si="5"/>
        <v>52</v>
      </c>
      <c r="S60" s="20" t="s">
        <v>447</v>
      </c>
      <c r="T60" s="20"/>
      <c r="U60" s="20"/>
      <c r="V60" s="427" t="s">
        <v>34</v>
      </c>
      <c r="W60" s="159" t="s">
        <v>34</v>
      </c>
      <c r="X60" s="427"/>
      <c r="Y60" s="427"/>
      <c r="Z60" s="427"/>
      <c r="AA60" s="427"/>
      <c r="AB60" s="427"/>
      <c r="AC60" s="427"/>
      <c r="AD60" s="427"/>
      <c r="AE60" s="427"/>
      <c r="AF60" t="s">
        <v>34</v>
      </c>
      <c r="AL60" s="304"/>
      <c r="AM60" s="304"/>
      <c r="AN60" s="304"/>
    </row>
    <row r="61" spans="1:40" x14ac:dyDescent="0.35">
      <c r="A61">
        <f t="shared" si="4"/>
        <v>53</v>
      </c>
      <c r="B61" s="123"/>
      <c r="C61" s="42"/>
      <c r="D61" s="667"/>
      <c r="E61" s="666"/>
      <c r="F61" s="666"/>
      <c r="G61" s="666"/>
      <c r="H61" s="667"/>
      <c r="I61" s="782"/>
      <c r="J61" s="782"/>
      <c r="K61" s="392"/>
      <c r="L61" s="105"/>
      <c r="M61" s="175"/>
      <c r="N61" s="179"/>
      <c r="O61" s="392"/>
      <c r="P61" s="392"/>
      <c r="Q61" s="392"/>
      <c r="R61">
        <f t="shared" si="5"/>
        <v>53</v>
      </c>
      <c r="S61" s="451"/>
      <c r="T61" s="451"/>
      <c r="U61" s="451"/>
      <c r="V61" s="427" t="s">
        <v>34</v>
      </c>
      <c r="W61" s="159" t="s">
        <v>34</v>
      </c>
      <c r="X61" s="427"/>
      <c r="Y61" s="427"/>
      <c r="Z61" s="427"/>
      <c r="AA61" s="427"/>
      <c r="AB61" s="427"/>
      <c r="AC61" s="427"/>
      <c r="AD61" s="427"/>
      <c r="AE61" s="427"/>
      <c r="AF61" t="s">
        <v>34</v>
      </c>
      <c r="AL61" s="304"/>
      <c r="AM61" s="304"/>
      <c r="AN61" s="304"/>
    </row>
    <row r="62" spans="1:40" x14ac:dyDescent="0.35">
      <c r="A62">
        <f t="shared" si="4"/>
        <v>54</v>
      </c>
      <c r="B62" s="123"/>
      <c r="C62" s="42"/>
      <c r="D62" s="667"/>
      <c r="E62" s="666"/>
      <c r="F62" s="666"/>
      <c r="G62" s="666"/>
      <c r="H62" s="667"/>
      <c r="I62" s="782"/>
      <c r="J62" s="782"/>
      <c r="K62" s="392"/>
      <c r="L62" s="105"/>
      <c r="M62" s="175"/>
      <c r="N62" s="179"/>
      <c r="O62" s="392"/>
      <c r="P62" s="392"/>
      <c r="Q62" s="392"/>
      <c r="R62">
        <f t="shared" si="5"/>
        <v>54</v>
      </c>
      <c r="S62" s="451"/>
      <c r="T62" s="451"/>
      <c r="U62" s="451"/>
      <c r="V62" s="427" t="s">
        <v>34</v>
      </c>
      <c r="W62" s="159" t="s">
        <v>34</v>
      </c>
      <c r="X62" s="427"/>
      <c r="Y62" s="427"/>
      <c r="Z62" s="427"/>
      <c r="AA62" s="427"/>
      <c r="AB62" s="427"/>
      <c r="AC62" s="427"/>
      <c r="AD62" s="427"/>
      <c r="AE62" s="427"/>
      <c r="AF62" t="s">
        <v>34</v>
      </c>
      <c r="AL62" s="304"/>
      <c r="AM62" s="304"/>
      <c r="AN62" s="304"/>
    </row>
    <row r="63" spans="1:40" x14ac:dyDescent="0.35">
      <c r="A63">
        <f t="shared" si="4"/>
        <v>55</v>
      </c>
      <c r="B63" s="123"/>
      <c r="C63" s="42"/>
      <c r="D63" s="667"/>
      <c r="E63" s="666"/>
      <c r="F63" s="666"/>
      <c r="G63" s="667"/>
      <c r="H63" s="667"/>
      <c r="I63" s="776"/>
      <c r="J63" s="776"/>
      <c r="K63" s="105"/>
      <c r="L63" s="105"/>
      <c r="M63" s="175"/>
      <c r="N63" s="179"/>
      <c r="O63" s="392"/>
      <c r="P63" s="392"/>
      <c r="Q63" s="392"/>
      <c r="R63">
        <f t="shared" si="5"/>
        <v>55</v>
      </c>
      <c r="S63" s="20"/>
      <c r="T63" s="20"/>
      <c r="U63" s="20"/>
      <c r="V63" s="427" t="s">
        <v>34</v>
      </c>
      <c r="W63" s="159" t="s">
        <v>34</v>
      </c>
      <c r="X63" s="427"/>
      <c r="Y63" s="427"/>
      <c r="Z63" s="427"/>
      <c r="AA63" s="427"/>
      <c r="AB63" s="427"/>
      <c r="AC63" s="427"/>
      <c r="AD63" s="427"/>
      <c r="AE63" s="427"/>
      <c r="AF63" t="s">
        <v>34</v>
      </c>
      <c r="AL63" s="304"/>
      <c r="AM63" s="304"/>
      <c r="AN63" s="304"/>
    </row>
    <row r="64" spans="1:40" x14ac:dyDescent="0.35">
      <c r="A64">
        <f t="shared" si="4"/>
        <v>56</v>
      </c>
      <c r="B64" s="189" t="s">
        <v>918</v>
      </c>
      <c r="C64" s="464"/>
      <c r="D64" s="768"/>
      <c r="E64" s="768"/>
      <c r="F64" s="768"/>
      <c r="G64" s="768"/>
      <c r="H64" s="768"/>
      <c r="I64" s="780"/>
      <c r="J64" s="781"/>
      <c r="K64" s="391"/>
      <c r="L64" s="391"/>
      <c r="M64" s="388"/>
      <c r="N64" s="190"/>
      <c r="O64" s="393"/>
      <c r="P64" s="393"/>
      <c r="Q64" s="393"/>
      <c r="R64">
        <f t="shared" si="5"/>
        <v>56</v>
      </c>
      <c r="V64" t="s">
        <v>34</v>
      </c>
      <c r="W64" s="159" t="s">
        <v>34</v>
      </c>
      <c r="AF64" t="s">
        <v>34</v>
      </c>
      <c r="AL64" s="304"/>
      <c r="AM64" s="304"/>
      <c r="AN64" s="304"/>
    </row>
    <row r="65" spans="1:48" x14ac:dyDescent="0.35">
      <c r="A65">
        <f t="shared" si="4"/>
        <v>57</v>
      </c>
      <c r="B65" s="123" t="s">
        <v>923</v>
      </c>
      <c r="C65" s="42"/>
      <c r="D65" s="667">
        <v>500</v>
      </c>
      <c r="E65" s="666" t="s">
        <v>34</v>
      </c>
      <c r="F65" s="666" t="s">
        <v>34</v>
      </c>
      <c r="G65" s="666" t="s">
        <v>34</v>
      </c>
      <c r="H65" s="667">
        <f>D65*H$7/F$3</f>
        <v>50</v>
      </c>
      <c r="I65" s="782">
        <f>D65*I$7/I$3</f>
        <v>0.5</v>
      </c>
      <c r="J65" s="783">
        <f>D65*J$7/I$3</f>
        <v>5</v>
      </c>
      <c r="K65" s="392">
        <v>3</v>
      </c>
      <c r="L65" s="392">
        <v>100</v>
      </c>
      <c r="M65" s="178" t="s">
        <v>926</v>
      </c>
      <c r="N65" s="381">
        <v>2</v>
      </c>
      <c r="O65" s="392" t="s">
        <v>404</v>
      </c>
      <c r="P65" s="392"/>
      <c r="Q65" s="392"/>
      <c r="R65">
        <f t="shared" si="5"/>
        <v>57</v>
      </c>
      <c r="S65" t="s">
        <v>925</v>
      </c>
      <c r="V65" s="4" t="s">
        <v>929</v>
      </c>
      <c r="W65" s="159" t="s">
        <v>34</v>
      </c>
      <c r="X65" s="395"/>
      <c r="Y65" s="395"/>
      <c r="Z65" s="395"/>
      <c r="AA65" s="395"/>
      <c r="AB65" s="395"/>
      <c r="AC65" s="395"/>
      <c r="AD65" s="395"/>
      <c r="AE65" s="395"/>
      <c r="AF65" t="s">
        <v>34</v>
      </c>
      <c r="AG65" s="172" t="s">
        <v>34</v>
      </c>
      <c r="AL65" s="304">
        <f t="shared" ref="AL65:AL67" si="30">(K65/L65)*60</f>
        <v>1.7999999999999998</v>
      </c>
      <c r="AM65" s="304">
        <f t="shared" ref="AM65:AM68" si="31">60*AL65</f>
        <v>107.99999999999999</v>
      </c>
      <c r="AN65" s="304">
        <f t="shared" ref="AN65:AN67" si="32">AL65/60</f>
        <v>2.9999999999999995E-2</v>
      </c>
    </row>
    <row r="66" spans="1:48" x14ac:dyDescent="0.35">
      <c r="A66">
        <f t="shared" si="4"/>
        <v>58</v>
      </c>
      <c r="B66" s="123" t="s">
        <v>924</v>
      </c>
      <c r="C66" s="42"/>
      <c r="D66" s="667">
        <v>1500</v>
      </c>
      <c r="E66" s="666" t="s">
        <v>34</v>
      </c>
      <c r="F66" s="666" t="s">
        <v>34</v>
      </c>
      <c r="G66" s="666" t="s">
        <v>34</v>
      </c>
      <c r="H66" s="667">
        <f>D66*H$7/F$3</f>
        <v>150</v>
      </c>
      <c r="I66" s="782">
        <f>D66*I$7/I$3</f>
        <v>1.5</v>
      </c>
      <c r="J66" s="783">
        <f>D66*J$7/I$3</f>
        <v>15</v>
      </c>
      <c r="K66" s="105">
        <v>9</v>
      </c>
      <c r="L66" s="392">
        <v>100</v>
      </c>
      <c r="M66" s="178">
        <v>5.4</v>
      </c>
      <c r="N66" s="381">
        <v>2</v>
      </c>
      <c r="O66" s="392" t="s">
        <v>404</v>
      </c>
      <c r="P66" s="392"/>
      <c r="Q66" s="392"/>
      <c r="R66">
        <f t="shared" si="5"/>
        <v>58</v>
      </c>
      <c r="S66" t="s">
        <v>925</v>
      </c>
      <c r="V66" t="s">
        <v>929</v>
      </c>
      <c r="W66" s="159" t="s">
        <v>34</v>
      </c>
      <c r="AF66" t="s">
        <v>34</v>
      </c>
      <c r="AG66" s="172" t="s">
        <v>34</v>
      </c>
      <c r="AL66" s="304">
        <f t="shared" si="30"/>
        <v>5.3999999999999995</v>
      </c>
      <c r="AM66" s="304">
        <f t="shared" si="31"/>
        <v>323.99999999999994</v>
      </c>
      <c r="AN66" s="304">
        <f t="shared" si="32"/>
        <v>0.09</v>
      </c>
    </row>
    <row r="67" spans="1:48" x14ac:dyDescent="0.35">
      <c r="A67">
        <f t="shared" si="4"/>
        <v>59</v>
      </c>
      <c r="B67" s="483" t="s">
        <v>938</v>
      </c>
      <c r="C67" s="485"/>
      <c r="D67" s="765">
        <v>20000</v>
      </c>
      <c r="E67" s="766" t="s">
        <v>34</v>
      </c>
      <c r="F67" s="766" t="s">
        <v>34</v>
      </c>
      <c r="G67" s="765">
        <f>D67*G$7/F$3</f>
        <v>200</v>
      </c>
      <c r="H67" s="765">
        <f>D67*H$7/F$3</f>
        <v>2000</v>
      </c>
      <c r="I67" s="772" t="s">
        <v>34</v>
      </c>
      <c r="J67" s="772" t="s">
        <v>34</v>
      </c>
      <c r="K67" s="481">
        <v>15</v>
      </c>
      <c r="L67" s="484">
        <v>100</v>
      </c>
      <c r="M67" s="499" t="s">
        <v>927</v>
      </c>
      <c r="N67" s="510">
        <v>15</v>
      </c>
      <c r="O67" s="484" t="s">
        <v>364</v>
      </c>
      <c r="P67" s="484"/>
      <c r="Q67" s="484"/>
      <c r="R67">
        <f t="shared" si="5"/>
        <v>59</v>
      </c>
      <c r="S67" s="97" t="s">
        <v>936</v>
      </c>
      <c r="T67" s="97"/>
      <c r="U67" s="97"/>
      <c r="V67" s="4" t="s">
        <v>937</v>
      </c>
      <c r="W67" s="159" t="s">
        <v>34</v>
      </c>
      <c r="X67" s="395"/>
      <c r="Y67" s="395"/>
      <c r="Z67" s="395"/>
      <c r="AA67" s="395"/>
      <c r="AB67" s="395"/>
      <c r="AC67" s="395"/>
      <c r="AD67" s="395"/>
      <c r="AE67" s="395"/>
      <c r="AF67" t="s">
        <v>34</v>
      </c>
      <c r="AG67" s="172" t="s">
        <v>34</v>
      </c>
      <c r="AL67" s="304">
        <f t="shared" si="30"/>
        <v>9</v>
      </c>
      <c r="AM67" s="304">
        <f t="shared" si="31"/>
        <v>540</v>
      </c>
      <c r="AN67" s="304">
        <f t="shared" si="32"/>
        <v>0.15</v>
      </c>
    </row>
    <row r="68" spans="1:48" x14ac:dyDescent="0.35">
      <c r="A68">
        <f t="shared" si="4"/>
        <v>60</v>
      </c>
      <c r="B68" s="123" t="s">
        <v>1917</v>
      </c>
      <c r="C68" s="42" t="s">
        <v>755</v>
      </c>
      <c r="D68" s="667">
        <v>2500</v>
      </c>
      <c r="E68" s="666" t="s">
        <v>34</v>
      </c>
      <c r="F68" s="666" t="s">
        <v>34</v>
      </c>
      <c r="G68" s="667">
        <f>D68*G$7/F$3</f>
        <v>25</v>
      </c>
      <c r="H68" s="666" t="s">
        <v>34</v>
      </c>
      <c r="I68" s="776" t="s">
        <v>34</v>
      </c>
      <c r="J68" s="776" t="s">
        <v>34</v>
      </c>
      <c r="K68" s="105">
        <v>14</v>
      </c>
      <c r="L68" s="392">
        <v>75</v>
      </c>
      <c r="M68" s="392" t="s">
        <v>553</v>
      </c>
      <c r="N68" s="392" t="s">
        <v>34</v>
      </c>
      <c r="O68" s="392" t="s">
        <v>932</v>
      </c>
      <c r="P68" s="392"/>
      <c r="Q68" s="392"/>
      <c r="R68">
        <f t="shared" si="5"/>
        <v>60</v>
      </c>
      <c r="S68" s="97" t="s">
        <v>930</v>
      </c>
      <c r="T68" s="97"/>
      <c r="U68" s="97"/>
      <c r="V68" t="s">
        <v>34</v>
      </c>
      <c r="W68" s="159" t="s">
        <v>34</v>
      </c>
      <c r="AF68" t="s">
        <v>34</v>
      </c>
      <c r="AL68" s="304">
        <f t="shared" ref="AL68" si="33">(K68/L68)*60</f>
        <v>11.200000000000001</v>
      </c>
      <c r="AM68" s="304">
        <f t="shared" si="31"/>
        <v>672.00000000000011</v>
      </c>
      <c r="AN68" s="304">
        <f t="shared" ref="AN68" si="34">AL68/60</f>
        <v>0.18666666666666668</v>
      </c>
    </row>
    <row r="69" spans="1:48" x14ac:dyDescent="0.35">
      <c r="A69">
        <f t="shared" si="4"/>
        <v>61</v>
      </c>
      <c r="B69" s="123"/>
      <c r="C69" s="42"/>
      <c r="D69" s="667"/>
      <c r="E69" s="666"/>
      <c r="F69" s="666"/>
      <c r="G69" s="666"/>
      <c r="H69" s="667"/>
      <c r="I69" s="782"/>
      <c r="J69" s="783"/>
      <c r="K69" s="105"/>
      <c r="L69" s="392"/>
      <c r="M69" s="392"/>
      <c r="N69" s="392"/>
      <c r="O69" s="392"/>
      <c r="P69" s="392"/>
      <c r="Q69" s="392"/>
      <c r="R69">
        <f t="shared" si="5"/>
        <v>61</v>
      </c>
      <c r="W69" s="159" t="s">
        <v>34</v>
      </c>
      <c r="AF69" t="s">
        <v>34</v>
      </c>
      <c r="AL69" s="304"/>
      <c r="AM69" s="304"/>
      <c r="AN69" s="304"/>
    </row>
    <row r="70" spans="1:48" x14ac:dyDescent="0.35">
      <c r="A70">
        <f t="shared" si="4"/>
        <v>62</v>
      </c>
      <c r="B70" s="123"/>
      <c r="C70" s="42"/>
      <c r="D70" s="667"/>
      <c r="E70" s="666"/>
      <c r="F70" s="666"/>
      <c r="G70" s="666"/>
      <c r="H70" s="667"/>
      <c r="I70" s="782"/>
      <c r="J70" s="783"/>
      <c r="K70" s="105"/>
      <c r="L70" s="392"/>
      <c r="M70" s="392"/>
      <c r="N70" s="392"/>
      <c r="O70" s="392"/>
      <c r="P70" s="392"/>
      <c r="Q70" s="392"/>
      <c r="R70">
        <f t="shared" si="5"/>
        <v>62</v>
      </c>
      <c r="V70" t="s">
        <v>34</v>
      </c>
      <c r="W70" s="159" t="s">
        <v>34</v>
      </c>
      <c r="AF70" t="s">
        <v>34</v>
      </c>
      <c r="AL70" s="304"/>
      <c r="AM70" s="304"/>
      <c r="AN70" s="304"/>
    </row>
    <row r="71" spans="1:48" x14ac:dyDescent="0.35">
      <c r="A71">
        <f t="shared" si="4"/>
        <v>63</v>
      </c>
      <c r="B71" s="189" t="s">
        <v>917</v>
      </c>
      <c r="C71" s="464"/>
      <c r="D71" s="770"/>
      <c r="E71" s="741"/>
      <c r="F71" s="741"/>
      <c r="G71" s="741"/>
      <c r="H71" s="770"/>
      <c r="I71" s="786"/>
      <c r="J71" s="787"/>
      <c r="K71" s="471"/>
      <c r="L71" s="472"/>
      <c r="M71" s="472"/>
      <c r="N71" s="472"/>
      <c r="O71" s="472"/>
      <c r="P71" s="472"/>
      <c r="Q71" s="472"/>
      <c r="R71">
        <f t="shared" si="5"/>
        <v>63</v>
      </c>
      <c r="W71" s="159" t="s">
        <v>34</v>
      </c>
      <c r="AF71" t="s">
        <v>34</v>
      </c>
      <c r="AL71" s="304"/>
      <c r="AM71" s="304"/>
      <c r="AN71" s="304"/>
    </row>
    <row r="72" spans="1:48" x14ac:dyDescent="0.35">
      <c r="A72">
        <f t="shared" si="4"/>
        <v>64</v>
      </c>
      <c r="B72" s="487" t="s">
        <v>939</v>
      </c>
      <c r="C72" s="488" t="s">
        <v>785</v>
      </c>
      <c r="D72" s="769">
        <v>35000</v>
      </c>
      <c r="E72" s="769">
        <f>D72*E$7/F$3</f>
        <v>3.5</v>
      </c>
      <c r="F72" s="769">
        <f>D72*F$7/F$3</f>
        <v>35</v>
      </c>
      <c r="G72" s="769">
        <f>D72*G$7/F$3</f>
        <v>350</v>
      </c>
      <c r="H72" s="763" t="s">
        <v>34</v>
      </c>
      <c r="I72" s="774" t="s">
        <v>34</v>
      </c>
      <c r="J72" s="775" t="s">
        <v>34</v>
      </c>
      <c r="K72" s="491">
        <v>80</v>
      </c>
      <c r="L72" s="491">
        <v>110</v>
      </c>
      <c r="M72" s="492" t="s">
        <v>1005</v>
      </c>
      <c r="N72" s="493">
        <v>5</v>
      </c>
      <c r="O72" s="494" t="s">
        <v>407</v>
      </c>
      <c r="P72" s="494"/>
      <c r="Q72" s="494"/>
      <c r="R72">
        <f t="shared" si="5"/>
        <v>64</v>
      </c>
      <c r="S72" s="20" t="s">
        <v>339</v>
      </c>
      <c r="T72" s="20"/>
      <c r="U72" s="20"/>
      <c r="V72" t="s">
        <v>916</v>
      </c>
      <c r="W72" s="159" t="s">
        <v>34</v>
      </c>
      <c r="AF72" t="s">
        <v>34</v>
      </c>
      <c r="AL72" s="304">
        <f>(K72/L72)*60</f>
        <v>43.63636363636364</v>
      </c>
      <c r="AM72" s="304">
        <f>60*AL72</f>
        <v>2618.1818181818185</v>
      </c>
      <c r="AN72" s="304">
        <f>AL72/60</f>
        <v>0.72727272727272729</v>
      </c>
    </row>
    <row r="73" spans="1:48" x14ac:dyDescent="0.35">
      <c r="A73">
        <f t="shared" si="4"/>
        <v>65</v>
      </c>
      <c r="B73" s="487" t="s">
        <v>788</v>
      </c>
      <c r="C73" s="488" t="s">
        <v>784</v>
      </c>
      <c r="D73" s="769">
        <v>10000</v>
      </c>
      <c r="E73" s="763" t="s">
        <v>34</v>
      </c>
      <c r="F73" s="763" t="s">
        <v>34</v>
      </c>
      <c r="G73" s="763" t="s">
        <v>34</v>
      </c>
      <c r="H73" s="769">
        <f>D73*H$7/F$3</f>
        <v>1000</v>
      </c>
      <c r="I73" s="784">
        <f>D73*I$7/I$3</f>
        <v>10</v>
      </c>
      <c r="J73" s="775" t="s">
        <v>34</v>
      </c>
      <c r="K73" s="491">
        <f>K72</f>
        <v>80</v>
      </c>
      <c r="L73" s="491">
        <v>110</v>
      </c>
      <c r="M73" s="494" t="str">
        <f t="shared" ref="M73:N73" si="35">M72</f>
        <v>44M</v>
      </c>
      <c r="N73" s="491">
        <f t="shared" si="35"/>
        <v>5</v>
      </c>
      <c r="O73" s="494">
        <v>0</v>
      </c>
      <c r="P73" s="494"/>
      <c r="Q73" s="494"/>
      <c r="R73">
        <f t="shared" si="5"/>
        <v>65</v>
      </c>
      <c r="S73" t="s">
        <v>302</v>
      </c>
      <c r="V73" t="s">
        <v>34</v>
      </c>
      <c r="W73" s="159" t="s">
        <v>34</v>
      </c>
      <c r="AF73" t="s">
        <v>34</v>
      </c>
      <c r="AL73" s="304">
        <f>(K73/L73)*60</f>
        <v>43.63636363636364</v>
      </c>
      <c r="AM73" s="304">
        <f>60*AL73</f>
        <v>2618.1818181818185</v>
      </c>
      <c r="AN73" s="304">
        <f>AL73/60</f>
        <v>0.72727272727272729</v>
      </c>
    </row>
    <row r="74" spans="1:48" x14ac:dyDescent="0.35">
      <c r="A74">
        <f t="shared" si="4"/>
        <v>66</v>
      </c>
      <c r="B74" s="483" t="s">
        <v>1918</v>
      </c>
      <c r="C74" s="485" t="s">
        <v>837</v>
      </c>
      <c r="D74" s="765">
        <v>325000</v>
      </c>
      <c r="E74" s="765">
        <f>D74*E$7/F$3</f>
        <v>32.5</v>
      </c>
      <c r="F74" s="765">
        <f>D74*F$7/F$3</f>
        <v>325</v>
      </c>
      <c r="G74" s="765">
        <f>D74*G$7/F$3</f>
        <v>3250</v>
      </c>
      <c r="H74" s="766" t="s">
        <v>34</v>
      </c>
      <c r="I74" s="772" t="s">
        <v>34</v>
      </c>
      <c r="J74" s="773" t="s">
        <v>34</v>
      </c>
      <c r="K74" s="481">
        <v>160</v>
      </c>
      <c r="L74" s="484">
        <v>75</v>
      </c>
      <c r="M74" s="484" t="s">
        <v>934</v>
      </c>
      <c r="N74" s="501" t="s">
        <v>935</v>
      </c>
      <c r="O74" s="484" t="s">
        <v>401</v>
      </c>
      <c r="P74" s="484"/>
      <c r="Q74" s="484"/>
      <c r="R74">
        <f t="shared" si="5"/>
        <v>66</v>
      </c>
      <c r="S74" s="97" t="s">
        <v>933</v>
      </c>
      <c r="T74" s="97"/>
      <c r="U74" s="97"/>
      <c r="V74" t="s">
        <v>34</v>
      </c>
      <c r="W74" s="159" t="s">
        <v>34</v>
      </c>
      <c r="AF74" t="s">
        <v>34</v>
      </c>
      <c r="AL74" s="304">
        <f>(K74/L74)*60</f>
        <v>128</v>
      </c>
      <c r="AM74" s="304">
        <f>60*AL74</f>
        <v>7680</v>
      </c>
      <c r="AN74" s="304">
        <f>AL74/60</f>
        <v>2.1333333333333333</v>
      </c>
    </row>
    <row r="75" spans="1:48" x14ac:dyDescent="0.35">
      <c r="A75">
        <f t="shared" ref="A75:A139" si="36">A74+1</f>
        <v>67</v>
      </c>
      <c r="B75" s="123" t="s">
        <v>1919</v>
      </c>
      <c r="C75" s="42" t="s">
        <v>755</v>
      </c>
      <c r="D75" s="667">
        <v>3000</v>
      </c>
      <c r="E75" s="666" t="s">
        <v>34</v>
      </c>
      <c r="F75" s="667">
        <f>D75*F$7/F$3</f>
        <v>3</v>
      </c>
      <c r="G75" s="667">
        <f>D75*G$7/F$3</f>
        <v>30</v>
      </c>
      <c r="H75" s="666"/>
      <c r="I75" s="776"/>
      <c r="J75" s="777"/>
      <c r="K75" s="105">
        <v>100</v>
      </c>
      <c r="L75" s="392">
        <v>60</v>
      </c>
      <c r="M75" s="392" t="s">
        <v>942</v>
      </c>
      <c r="N75" s="426">
        <v>2.4</v>
      </c>
      <c r="O75" s="392" t="s">
        <v>346</v>
      </c>
      <c r="P75" s="392"/>
      <c r="Q75" s="392"/>
      <c r="R75">
        <f t="shared" ref="R75:R139" si="37">R74+1</f>
        <v>67</v>
      </c>
      <c r="S75" s="97" t="s">
        <v>940</v>
      </c>
      <c r="T75" s="97"/>
      <c r="U75" s="97"/>
      <c r="V75" s="4" t="s">
        <v>941</v>
      </c>
      <c r="W75" s="159" t="s">
        <v>34</v>
      </c>
      <c r="X75" s="395"/>
      <c r="Y75" s="395"/>
      <c r="Z75" s="395"/>
      <c r="AA75" s="395"/>
      <c r="AB75" s="395"/>
      <c r="AC75" s="395"/>
      <c r="AD75" s="395"/>
      <c r="AE75" s="395"/>
      <c r="AF75" t="s">
        <v>34</v>
      </c>
      <c r="AG75" t="s">
        <v>34</v>
      </c>
      <c r="AL75" s="304">
        <f>(K75/L75)*60</f>
        <v>100</v>
      </c>
      <c r="AM75" s="304">
        <f>60*AL75</f>
        <v>6000</v>
      </c>
      <c r="AN75" s="304">
        <f>AL75/60</f>
        <v>1.6666666666666667</v>
      </c>
    </row>
    <row r="76" spans="1:48" x14ac:dyDescent="0.35">
      <c r="A76">
        <f t="shared" si="36"/>
        <v>68</v>
      </c>
      <c r="B76" s="123"/>
      <c r="C76" s="42"/>
      <c r="D76" s="667"/>
      <c r="E76" s="666"/>
      <c r="F76" s="666"/>
      <c r="G76" s="666"/>
      <c r="H76" s="667"/>
      <c r="I76" s="782"/>
      <c r="J76" s="783"/>
      <c r="K76" s="105"/>
      <c r="L76" s="392"/>
      <c r="M76" s="392"/>
      <c r="N76" s="392"/>
      <c r="O76" s="392"/>
      <c r="P76" s="392"/>
      <c r="Q76" s="392"/>
      <c r="R76">
        <f t="shared" si="37"/>
        <v>68</v>
      </c>
      <c r="W76" s="159" t="s">
        <v>34</v>
      </c>
      <c r="AF76" t="s">
        <v>34</v>
      </c>
    </row>
    <row r="77" spans="1:48" x14ac:dyDescent="0.35">
      <c r="A77">
        <f t="shared" si="36"/>
        <v>69</v>
      </c>
      <c r="B77" s="189" t="s">
        <v>919</v>
      </c>
      <c r="C77" s="464"/>
      <c r="D77" s="768"/>
      <c r="E77" s="768"/>
      <c r="F77" s="768"/>
      <c r="G77" s="768"/>
      <c r="H77" s="768"/>
      <c r="I77" s="780"/>
      <c r="J77" s="781"/>
      <c r="K77" s="391"/>
      <c r="L77" s="391"/>
      <c r="M77" s="388"/>
      <c r="N77" s="190"/>
      <c r="O77" s="393"/>
      <c r="P77" s="393"/>
      <c r="Q77" s="393"/>
      <c r="R77">
        <f t="shared" si="37"/>
        <v>69</v>
      </c>
      <c r="V77" t="s">
        <v>34</v>
      </c>
      <c r="W77" s="159" t="s">
        <v>34</v>
      </c>
      <c r="AF77" t="s">
        <v>34</v>
      </c>
    </row>
    <row r="78" spans="1:48" x14ac:dyDescent="0.35">
      <c r="A78">
        <f t="shared" si="36"/>
        <v>70</v>
      </c>
      <c r="B78" s="487" t="s">
        <v>1501</v>
      </c>
      <c r="C78" s="488" t="s">
        <v>786</v>
      </c>
      <c r="D78" s="769">
        <v>193000</v>
      </c>
      <c r="E78" s="769">
        <f>D78*E$7/F$3</f>
        <v>19.3</v>
      </c>
      <c r="F78" s="769">
        <f>D78*F$7/F$3</f>
        <v>193</v>
      </c>
      <c r="G78" s="769">
        <f>D78*G$7/F$3</f>
        <v>1930</v>
      </c>
      <c r="H78" s="763" t="s">
        <v>34</v>
      </c>
      <c r="I78" s="774" t="s">
        <v>34</v>
      </c>
      <c r="J78" s="775" t="s">
        <v>34</v>
      </c>
      <c r="K78" s="491">
        <v>2500</v>
      </c>
      <c r="L78" s="491">
        <v>185</v>
      </c>
      <c r="M78" s="492" t="s">
        <v>928</v>
      </c>
      <c r="N78" s="493">
        <v>50</v>
      </c>
      <c r="O78" s="494" t="s">
        <v>499</v>
      </c>
      <c r="P78" s="494"/>
      <c r="Q78" s="494"/>
      <c r="R78">
        <f t="shared" si="37"/>
        <v>70</v>
      </c>
      <c r="S78" s="395" t="s">
        <v>340</v>
      </c>
      <c r="T78" s="395"/>
      <c r="U78" s="395"/>
      <c r="V78" t="s">
        <v>1920</v>
      </c>
      <c r="W78" s="159">
        <v>200</v>
      </c>
      <c r="AF78" t="s">
        <v>34</v>
      </c>
      <c r="AL78" s="304">
        <f>(K78/L78)*60</f>
        <v>810.81081081081084</v>
      </c>
      <c r="AM78" s="304">
        <f>60*AL78</f>
        <v>48648.648648648654</v>
      </c>
      <c r="AN78" s="304">
        <f>AL78/60</f>
        <v>13.513513513513514</v>
      </c>
    </row>
    <row r="79" spans="1:48" x14ac:dyDescent="0.35">
      <c r="A79">
        <f t="shared" si="36"/>
        <v>71</v>
      </c>
      <c r="B79" s="487" t="s">
        <v>787</v>
      </c>
      <c r="C79" s="488" t="s">
        <v>784</v>
      </c>
      <c r="D79" s="769">
        <v>20000</v>
      </c>
      <c r="E79" s="763" t="s">
        <v>34</v>
      </c>
      <c r="F79" s="763" t="s">
        <v>34</v>
      </c>
      <c r="G79" s="763" t="s">
        <v>34</v>
      </c>
      <c r="H79" s="769">
        <f>D79*H$7/F$3</f>
        <v>2000</v>
      </c>
      <c r="I79" s="784">
        <f>D79*I$7/I$3</f>
        <v>20</v>
      </c>
      <c r="J79" s="775" t="s">
        <v>34</v>
      </c>
      <c r="K79" s="491">
        <f>K78</f>
        <v>2500</v>
      </c>
      <c r="L79" s="491">
        <f t="shared" ref="L79:N79" si="38">L78</f>
        <v>185</v>
      </c>
      <c r="M79" s="494" t="str">
        <f t="shared" si="38"/>
        <v>&gt;13.5H</v>
      </c>
      <c r="N79" s="491">
        <f t="shared" si="38"/>
        <v>50</v>
      </c>
      <c r="O79" s="494">
        <v>0</v>
      </c>
      <c r="P79" s="494"/>
      <c r="Q79" s="494"/>
      <c r="R79">
        <f t="shared" si="37"/>
        <v>71</v>
      </c>
      <c r="V79" t="s">
        <v>498</v>
      </c>
      <c r="W79" s="159" t="s">
        <v>34</v>
      </c>
      <c r="AF79" t="s">
        <v>34</v>
      </c>
      <c r="AL79" s="304">
        <f>(K79/L79)*60</f>
        <v>810.81081081081084</v>
      </c>
      <c r="AM79" s="304">
        <f>60*AL79</f>
        <v>48648.648648648654</v>
      </c>
      <c r="AN79" s="304">
        <f>AL79/60</f>
        <v>13.513513513513514</v>
      </c>
    </row>
    <row r="80" spans="1:48" x14ac:dyDescent="0.35">
      <c r="A80">
        <f t="shared" si="36"/>
        <v>72</v>
      </c>
      <c r="B80" s="483" t="s">
        <v>1499</v>
      </c>
      <c r="C80" s="636" t="s">
        <v>1921</v>
      </c>
      <c r="D80" s="765">
        <v>40000</v>
      </c>
      <c r="E80" s="765">
        <f>D80*E$7/F$3</f>
        <v>4</v>
      </c>
      <c r="F80" s="765">
        <f t="shared" ref="F80:F85" si="39">D80*F$7/F$3</f>
        <v>40</v>
      </c>
      <c r="G80" s="765">
        <f t="shared" ref="G80:G85" si="40">D80*G$7/F$3</f>
        <v>400</v>
      </c>
      <c r="H80" s="765">
        <f>D80*H$7/F$3</f>
        <v>4000</v>
      </c>
      <c r="I80" s="772" t="s">
        <v>34</v>
      </c>
      <c r="J80" s="773" t="s">
        <v>34</v>
      </c>
      <c r="K80" s="481">
        <v>500</v>
      </c>
      <c r="L80" s="484">
        <v>430</v>
      </c>
      <c r="M80" s="484" t="s">
        <v>922</v>
      </c>
      <c r="N80" s="501" t="s">
        <v>1922</v>
      </c>
      <c r="O80" s="484" t="s">
        <v>346</v>
      </c>
      <c r="P80" s="501" t="s">
        <v>1272</v>
      </c>
      <c r="Q80" s="484" t="s">
        <v>410</v>
      </c>
      <c r="R80">
        <f t="shared" si="37"/>
        <v>72</v>
      </c>
      <c r="S80" s="97" t="s">
        <v>870</v>
      </c>
      <c r="T80" s="97"/>
      <c r="U80" s="97"/>
      <c r="V80" t="s">
        <v>1500</v>
      </c>
      <c r="W80" s="159">
        <v>120</v>
      </c>
      <c r="AF80" t="s">
        <v>34</v>
      </c>
      <c r="AG80" t="s">
        <v>1029</v>
      </c>
      <c r="AH80" s="395" t="s">
        <v>921</v>
      </c>
      <c r="AI80" t="s">
        <v>1030</v>
      </c>
      <c r="AJ80" s="543">
        <f>1.6*43</f>
        <v>68.8</v>
      </c>
      <c r="AK80" t="s">
        <v>1021</v>
      </c>
      <c r="AL80" s="304">
        <f>(K80/L80)*60</f>
        <v>69.767441860465127</v>
      </c>
      <c r="AM80" s="304">
        <f>60*AL80</f>
        <v>4186.0465116279074</v>
      </c>
      <c r="AN80" s="304">
        <f>AL80/60</f>
        <v>1.1627906976744187</v>
      </c>
      <c r="AO80" s="4" t="s">
        <v>841</v>
      </c>
      <c r="AP80" s="159">
        <f>80/1.14</f>
        <v>70.175438596491233</v>
      </c>
      <c r="AQ80" t="s">
        <v>1923</v>
      </c>
      <c r="AS80" t="s">
        <v>920</v>
      </c>
      <c r="AT80" s="4" t="s">
        <v>871</v>
      </c>
      <c r="AV80" t="s">
        <v>1924</v>
      </c>
    </row>
    <row r="81" spans="1:40" x14ac:dyDescent="0.35">
      <c r="A81">
        <f t="shared" si="36"/>
        <v>73</v>
      </c>
      <c r="B81" s="483" t="s">
        <v>789</v>
      </c>
      <c r="C81" s="485" t="s">
        <v>790</v>
      </c>
      <c r="D81" s="765">
        <v>300000</v>
      </c>
      <c r="E81" s="765">
        <f>D81*E$7/F$3</f>
        <v>30</v>
      </c>
      <c r="F81" s="765">
        <f t="shared" si="39"/>
        <v>300</v>
      </c>
      <c r="G81" s="765">
        <f t="shared" si="40"/>
        <v>3000</v>
      </c>
      <c r="H81" s="766" t="s">
        <v>34</v>
      </c>
      <c r="I81" s="772" t="s">
        <v>34</v>
      </c>
      <c r="J81" s="773" t="s">
        <v>34</v>
      </c>
      <c r="K81" s="481">
        <v>3000</v>
      </c>
      <c r="L81" s="484">
        <v>200</v>
      </c>
      <c r="M81" s="499" t="s">
        <v>943</v>
      </c>
      <c r="N81" s="500">
        <v>80</v>
      </c>
      <c r="O81" s="484" t="s">
        <v>409</v>
      </c>
      <c r="P81" s="484"/>
      <c r="Q81" s="484"/>
      <c r="R81">
        <f t="shared" si="37"/>
        <v>73</v>
      </c>
      <c r="S81" s="20" t="s">
        <v>343</v>
      </c>
      <c r="T81" s="20"/>
      <c r="U81" s="20"/>
      <c r="V81" s="4" t="s">
        <v>958</v>
      </c>
      <c r="W81" s="159" t="s">
        <v>34</v>
      </c>
      <c r="X81" s="395"/>
      <c r="Y81" s="395"/>
      <c r="Z81" s="395"/>
      <c r="AA81" s="395"/>
      <c r="AB81" s="395"/>
      <c r="AC81" s="395"/>
      <c r="AD81" s="395"/>
      <c r="AE81" s="395"/>
      <c r="AF81" t="s">
        <v>34</v>
      </c>
      <c r="AL81" s="304">
        <f t="shared" ref="AL81:AL95" si="41">(K81/L81)*60</f>
        <v>900</v>
      </c>
      <c r="AM81" s="304">
        <f t="shared" ref="AM81:AM95" si="42">60*AL81</f>
        <v>54000</v>
      </c>
      <c r="AN81" s="304">
        <f t="shared" ref="AN81:AN95" si="43">AL81/60</f>
        <v>15</v>
      </c>
    </row>
    <row r="82" spans="1:40" x14ac:dyDescent="0.35">
      <c r="A82">
        <f t="shared" si="36"/>
        <v>74</v>
      </c>
      <c r="B82" s="483" t="s">
        <v>1496</v>
      </c>
      <c r="C82" s="485" t="s">
        <v>790</v>
      </c>
      <c r="D82" s="766">
        <v>200000</v>
      </c>
      <c r="E82" s="765">
        <f>D82*E$7/F$3</f>
        <v>20</v>
      </c>
      <c r="F82" s="765">
        <f t="shared" si="39"/>
        <v>200</v>
      </c>
      <c r="G82" s="765">
        <f t="shared" si="40"/>
        <v>2000</v>
      </c>
      <c r="H82" s="766" t="s">
        <v>34</v>
      </c>
      <c r="I82" s="772" t="s">
        <v>34</v>
      </c>
      <c r="J82" s="773" t="s">
        <v>34</v>
      </c>
      <c r="K82" s="481">
        <v>1000</v>
      </c>
      <c r="L82" s="484">
        <v>200</v>
      </c>
      <c r="M82" s="499" t="s">
        <v>680</v>
      </c>
      <c r="N82" s="500">
        <v>50</v>
      </c>
      <c r="O82" s="484" t="s">
        <v>358</v>
      </c>
      <c r="P82" s="484"/>
      <c r="Q82" s="484"/>
      <c r="R82">
        <f t="shared" si="37"/>
        <v>74</v>
      </c>
      <c r="S82" s="20" t="s">
        <v>344</v>
      </c>
      <c r="T82" s="20"/>
      <c r="U82" s="20"/>
      <c r="V82" s="4" t="s">
        <v>491</v>
      </c>
      <c r="W82" s="172" t="s">
        <v>440</v>
      </c>
      <c r="X82" s="395"/>
      <c r="Y82" s="395"/>
      <c r="Z82" s="395"/>
      <c r="AA82" s="395"/>
      <c r="AB82" s="395"/>
      <c r="AC82" s="395"/>
      <c r="AD82" s="395"/>
      <c r="AE82" s="395"/>
      <c r="AF82" t="s">
        <v>34</v>
      </c>
      <c r="AG82" s="479" t="s">
        <v>34</v>
      </c>
      <c r="AL82" s="304">
        <f t="shared" si="41"/>
        <v>300</v>
      </c>
      <c r="AM82" s="304">
        <f t="shared" si="42"/>
        <v>18000</v>
      </c>
      <c r="AN82" s="304">
        <f t="shared" si="43"/>
        <v>5</v>
      </c>
    </row>
    <row r="83" spans="1:40" x14ac:dyDescent="0.35">
      <c r="A83">
        <f t="shared" si="36"/>
        <v>75</v>
      </c>
      <c r="B83" s="483" t="s">
        <v>948</v>
      </c>
      <c r="C83" s="485" t="s">
        <v>755</v>
      </c>
      <c r="D83" s="766">
        <v>100000</v>
      </c>
      <c r="E83" s="765">
        <f>D83*E$7/F$3</f>
        <v>10</v>
      </c>
      <c r="F83" s="765">
        <f t="shared" si="39"/>
        <v>100</v>
      </c>
      <c r="G83" s="765">
        <f t="shared" si="40"/>
        <v>1000</v>
      </c>
      <c r="H83" s="766" t="s">
        <v>34</v>
      </c>
      <c r="I83" s="772" t="s">
        <v>34</v>
      </c>
      <c r="J83" s="773" t="s">
        <v>34</v>
      </c>
      <c r="K83" s="481">
        <v>800</v>
      </c>
      <c r="L83" s="484">
        <v>150</v>
      </c>
      <c r="M83" s="499" t="s">
        <v>946</v>
      </c>
      <c r="N83" s="500">
        <v>20</v>
      </c>
      <c r="O83" s="484" t="s">
        <v>346</v>
      </c>
      <c r="P83" s="484"/>
      <c r="Q83" s="484"/>
      <c r="R83">
        <f t="shared" si="37"/>
        <v>75</v>
      </c>
      <c r="S83" s="20" t="s">
        <v>944</v>
      </c>
      <c r="T83" s="20"/>
      <c r="U83" s="20"/>
      <c r="V83" s="4" t="s">
        <v>945</v>
      </c>
      <c r="W83" s="159" t="s">
        <v>34</v>
      </c>
      <c r="X83" s="395"/>
      <c r="Y83" s="395"/>
      <c r="Z83" s="395"/>
      <c r="AA83" s="395"/>
      <c r="AB83" s="395"/>
      <c r="AC83" s="395"/>
      <c r="AD83" s="395"/>
      <c r="AE83" s="395"/>
      <c r="AF83" t="s">
        <v>34</v>
      </c>
      <c r="AG83" s="479" t="s">
        <v>34</v>
      </c>
      <c r="AL83" s="304">
        <f t="shared" si="41"/>
        <v>320</v>
      </c>
      <c r="AM83" s="304">
        <f t="shared" si="42"/>
        <v>19200</v>
      </c>
      <c r="AN83" s="304">
        <f t="shared" si="43"/>
        <v>5.333333333333333</v>
      </c>
    </row>
    <row r="84" spans="1:40" x14ac:dyDescent="0.35">
      <c r="A84">
        <f t="shared" si="36"/>
        <v>76</v>
      </c>
      <c r="B84" s="483" t="s">
        <v>1497</v>
      </c>
      <c r="C84" s="485" t="s">
        <v>947</v>
      </c>
      <c r="D84" s="766">
        <v>30000</v>
      </c>
      <c r="E84" s="766" t="s">
        <v>34</v>
      </c>
      <c r="F84" s="765">
        <f t="shared" si="39"/>
        <v>30</v>
      </c>
      <c r="G84" s="765">
        <f t="shared" si="40"/>
        <v>300</v>
      </c>
      <c r="H84" s="766" t="s">
        <v>34</v>
      </c>
      <c r="I84" s="772" t="s">
        <v>34</v>
      </c>
      <c r="J84" s="773" t="s">
        <v>34</v>
      </c>
      <c r="K84" s="481">
        <v>750</v>
      </c>
      <c r="L84" s="484">
        <v>140</v>
      </c>
      <c r="M84" s="499" t="s">
        <v>951</v>
      </c>
      <c r="N84" s="500">
        <v>32</v>
      </c>
      <c r="O84" s="484" t="s">
        <v>401</v>
      </c>
      <c r="P84" s="484"/>
      <c r="Q84" s="484">
        <v>6000</v>
      </c>
      <c r="R84">
        <f t="shared" si="37"/>
        <v>76</v>
      </c>
      <c r="S84" s="20" t="s">
        <v>949</v>
      </c>
      <c r="T84" s="20"/>
      <c r="U84" s="20"/>
      <c r="V84" s="4" t="s">
        <v>950</v>
      </c>
      <c r="W84" s="159">
        <v>100</v>
      </c>
      <c r="X84" s="395"/>
      <c r="Y84" s="395"/>
      <c r="Z84" s="395"/>
      <c r="AA84" s="395"/>
      <c r="AB84" s="395"/>
      <c r="AC84" s="395"/>
      <c r="AD84" s="395"/>
      <c r="AE84" s="395"/>
      <c r="AF84" t="s">
        <v>34</v>
      </c>
      <c r="AG84" s="539" t="s">
        <v>952</v>
      </c>
      <c r="AH84" s="479" t="s">
        <v>34</v>
      </c>
      <c r="AL84" s="304">
        <f t="shared" si="41"/>
        <v>321.42857142857139</v>
      </c>
      <c r="AM84" s="304">
        <f t="shared" si="42"/>
        <v>19285.714285714283</v>
      </c>
      <c r="AN84" s="304">
        <f t="shared" si="43"/>
        <v>5.3571428571428568</v>
      </c>
    </row>
    <row r="85" spans="1:40" x14ac:dyDescent="0.35">
      <c r="A85">
        <f t="shared" si="36"/>
        <v>77</v>
      </c>
      <c r="B85" s="483" t="s">
        <v>1498</v>
      </c>
      <c r="C85" s="485" t="s">
        <v>837</v>
      </c>
      <c r="D85" s="766">
        <v>100000</v>
      </c>
      <c r="E85" s="765">
        <f t="shared" ref="E85:E87" si="44">D85*E$7/F$3</f>
        <v>10</v>
      </c>
      <c r="F85" s="765">
        <f t="shared" si="39"/>
        <v>100</v>
      </c>
      <c r="G85" s="765">
        <f t="shared" si="40"/>
        <v>1000</v>
      </c>
      <c r="H85" s="766"/>
      <c r="I85" s="772"/>
      <c r="J85" s="773"/>
      <c r="K85" s="481">
        <v>800</v>
      </c>
      <c r="L85" s="484">
        <v>120</v>
      </c>
      <c r="M85" s="499" t="s">
        <v>993</v>
      </c>
      <c r="N85" s="500">
        <v>20</v>
      </c>
      <c r="O85" s="484" t="s">
        <v>629</v>
      </c>
      <c r="P85" s="484" t="s">
        <v>992</v>
      </c>
      <c r="Q85" s="484"/>
      <c r="R85">
        <f t="shared" si="37"/>
        <v>77</v>
      </c>
      <c r="S85" s="20" t="s">
        <v>991</v>
      </c>
      <c r="T85" s="20"/>
      <c r="U85" s="20"/>
      <c r="V85" s="4"/>
      <c r="W85" s="159">
        <v>85</v>
      </c>
      <c r="X85" s="395"/>
      <c r="Y85" s="395"/>
      <c r="Z85" s="395"/>
      <c r="AA85" s="395"/>
      <c r="AB85" s="395"/>
      <c r="AC85" s="395"/>
      <c r="AD85" s="395"/>
      <c r="AE85" s="395"/>
      <c r="AF85" t="s">
        <v>34</v>
      </c>
      <c r="AG85" s="539"/>
      <c r="AH85" s="479"/>
      <c r="AL85" s="304">
        <f t="shared" si="41"/>
        <v>400</v>
      </c>
      <c r="AM85" s="304">
        <f t="shared" si="42"/>
        <v>24000</v>
      </c>
      <c r="AN85" s="304">
        <f t="shared" si="43"/>
        <v>6.666666666666667</v>
      </c>
    </row>
    <row r="86" spans="1:40" x14ac:dyDescent="0.35">
      <c r="A86">
        <f t="shared" si="36"/>
        <v>78</v>
      </c>
      <c r="B86" s="483" t="s">
        <v>965</v>
      </c>
      <c r="C86" s="485" t="s">
        <v>755</v>
      </c>
      <c r="D86" s="766">
        <v>10000000</v>
      </c>
      <c r="E86" s="765">
        <f t="shared" si="44"/>
        <v>1000</v>
      </c>
      <c r="F86" s="766" t="s">
        <v>34</v>
      </c>
      <c r="G86" s="766" t="s">
        <v>34</v>
      </c>
      <c r="H86" s="766" t="s">
        <v>34</v>
      </c>
      <c r="I86" s="772" t="s">
        <v>34</v>
      </c>
      <c r="J86" s="773" t="s">
        <v>34</v>
      </c>
      <c r="K86" s="481">
        <v>3300</v>
      </c>
      <c r="L86" s="484">
        <v>150</v>
      </c>
      <c r="M86" s="499" t="s">
        <v>973</v>
      </c>
      <c r="N86" s="500">
        <v>300</v>
      </c>
      <c r="O86" s="484">
        <v>1</v>
      </c>
      <c r="P86" s="484">
        <v>0</v>
      </c>
      <c r="Q86" s="484">
        <v>0</v>
      </c>
      <c r="R86">
        <f t="shared" si="37"/>
        <v>78</v>
      </c>
      <c r="S86" s="20" t="s">
        <v>966</v>
      </c>
      <c r="T86" s="20"/>
      <c r="U86" s="20"/>
      <c r="V86" s="4" t="s">
        <v>34</v>
      </c>
      <c r="W86" s="159" t="s">
        <v>34</v>
      </c>
      <c r="X86" s="395"/>
      <c r="Y86" s="395"/>
      <c r="Z86" s="395"/>
      <c r="AA86" s="395"/>
      <c r="AB86" s="395"/>
      <c r="AC86" s="395"/>
      <c r="AD86" s="395"/>
      <c r="AE86" s="395"/>
      <c r="AF86" t="s">
        <v>34</v>
      </c>
      <c r="AG86" s="539"/>
      <c r="AH86" s="479"/>
      <c r="AL86" s="304">
        <f t="shared" si="41"/>
        <v>1320</v>
      </c>
      <c r="AM86" s="304">
        <f t="shared" si="42"/>
        <v>79200</v>
      </c>
      <c r="AN86" s="304">
        <f t="shared" si="43"/>
        <v>22</v>
      </c>
    </row>
    <row r="87" spans="1:40" x14ac:dyDescent="0.35">
      <c r="A87">
        <f t="shared" si="36"/>
        <v>79</v>
      </c>
      <c r="B87" s="123" t="s">
        <v>972</v>
      </c>
      <c r="C87" s="42" t="s">
        <v>866</v>
      </c>
      <c r="D87" s="666">
        <v>2000000</v>
      </c>
      <c r="E87" s="667">
        <f t="shared" si="44"/>
        <v>200</v>
      </c>
      <c r="F87" s="666" t="s">
        <v>34</v>
      </c>
      <c r="G87" s="666" t="s">
        <v>34</v>
      </c>
      <c r="H87" s="666" t="s">
        <v>34</v>
      </c>
      <c r="I87" s="776" t="s">
        <v>34</v>
      </c>
      <c r="J87" s="777" t="s">
        <v>34</v>
      </c>
      <c r="K87" s="105">
        <v>3500</v>
      </c>
      <c r="L87" s="392">
        <v>130</v>
      </c>
      <c r="M87" s="178" t="s">
        <v>989</v>
      </c>
      <c r="N87" s="422">
        <v>150</v>
      </c>
      <c r="O87" s="392" t="s">
        <v>990</v>
      </c>
      <c r="P87" s="541" t="s">
        <v>1925</v>
      </c>
      <c r="Q87" s="392"/>
      <c r="R87">
        <f t="shared" si="37"/>
        <v>79</v>
      </c>
      <c r="S87" s="20" t="s">
        <v>974</v>
      </c>
      <c r="T87" s="20"/>
      <c r="U87" s="20"/>
      <c r="V87" s="4"/>
      <c r="W87" s="159" t="s">
        <v>34</v>
      </c>
      <c r="X87" s="395"/>
      <c r="Y87" s="395"/>
      <c r="Z87" s="395"/>
      <c r="AA87" s="395"/>
      <c r="AB87" s="395"/>
      <c r="AC87" s="395"/>
      <c r="AD87" s="395"/>
      <c r="AE87" s="395"/>
      <c r="AF87" t="s">
        <v>34</v>
      </c>
      <c r="AG87" s="539"/>
      <c r="AH87" s="479"/>
      <c r="AL87" s="304">
        <f t="shared" si="41"/>
        <v>1615.3846153846155</v>
      </c>
      <c r="AM87" s="304">
        <f t="shared" si="42"/>
        <v>96923.076923076922</v>
      </c>
      <c r="AN87" s="304">
        <f t="shared" si="43"/>
        <v>26.923076923076923</v>
      </c>
    </row>
    <row r="88" spans="1:40" x14ac:dyDescent="0.35">
      <c r="A88">
        <f t="shared" si="36"/>
        <v>80</v>
      </c>
      <c r="B88" s="615" t="s">
        <v>606</v>
      </c>
      <c r="C88" s="616" t="s">
        <v>761</v>
      </c>
      <c r="D88" s="762">
        <v>18000000</v>
      </c>
      <c r="E88" s="767">
        <f>D88*E$7/F$3</f>
        <v>1800</v>
      </c>
      <c r="F88" s="762" t="s">
        <v>34</v>
      </c>
      <c r="G88" s="762" t="s">
        <v>34</v>
      </c>
      <c r="H88" s="762" t="s">
        <v>34</v>
      </c>
      <c r="I88" s="778" t="s">
        <v>34</v>
      </c>
      <c r="J88" s="779" t="s">
        <v>34</v>
      </c>
      <c r="K88" s="618">
        <v>6750</v>
      </c>
      <c r="L88" s="619">
        <v>150</v>
      </c>
      <c r="M88" s="625" t="s">
        <v>607</v>
      </c>
      <c r="N88" s="619">
        <v>250</v>
      </c>
      <c r="O88" s="619" t="s">
        <v>440</v>
      </c>
      <c r="P88" s="619"/>
      <c r="Q88" s="619"/>
      <c r="R88">
        <f t="shared" si="37"/>
        <v>80</v>
      </c>
      <c r="S88" s="20" t="s">
        <v>608</v>
      </c>
      <c r="T88" s="20"/>
      <c r="U88" s="20"/>
      <c r="V88" t="s">
        <v>34</v>
      </c>
      <c r="W88" s="159">
        <v>1150</v>
      </c>
      <c r="AF88" t="s">
        <v>34</v>
      </c>
      <c r="AG88">
        <f>45*150</f>
        <v>6750</v>
      </c>
      <c r="AL88" s="304">
        <f t="shared" si="41"/>
        <v>2700</v>
      </c>
      <c r="AM88" s="304">
        <f t="shared" si="42"/>
        <v>162000</v>
      </c>
      <c r="AN88" s="304">
        <f t="shared" si="43"/>
        <v>45</v>
      </c>
    </row>
    <row r="89" spans="1:40" x14ac:dyDescent="0.35">
      <c r="A89">
        <f t="shared" si="36"/>
        <v>81</v>
      </c>
      <c r="B89" s="615" t="s">
        <v>1506</v>
      </c>
      <c r="C89" s="616" t="s">
        <v>874</v>
      </c>
      <c r="D89" s="762">
        <v>40000000</v>
      </c>
      <c r="E89" s="767">
        <f>D89*E$7/F$3</f>
        <v>4000</v>
      </c>
      <c r="F89" s="767">
        <f t="shared" ref="F89:F90" si="45">D89*F$7/F$3</f>
        <v>40000</v>
      </c>
      <c r="G89" s="762" t="s">
        <v>34</v>
      </c>
      <c r="H89" s="762" t="s">
        <v>34</v>
      </c>
      <c r="I89" s="778" t="s">
        <v>34</v>
      </c>
      <c r="J89" s="779" t="s">
        <v>34</v>
      </c>
      <c r="K89" s="618">
        <v>7400</v>
      </c>
      <c r="L89" s="619">
        <v>250</v>
      </c>
      <c r="M89" s="625" t="s">
        <v>1505</v>
      </c>
      <c r="N89" s="619">
        <v>1000</v>
      </c>
      <c r="O89" s="619" t="s">
        <v>410</v>
      </c>
      <c r="P89" s="630" t="s">
        <v>1513</v>
      </c>
      <c r="Q89" s="619"/>
      <c r="R89">
        <f t="shared" si="37"/>
        <v>81</v>
      </c>
      <c r="S89" s="20" t="s">
        <v>1507</v>
      </c>
      <c r="T89" s="20"/>
      <c r="U89" s="20" t="s">
        <v>1517</v>
      </c>
      <c r="V89" s="467" t="s">
        <v>1926</v>
      </c>
      <c r="W89" s="159">
        <v>5670</v>
      </c>
      <c r="AL89" s="304">
        <f t="shared" si="41"/>
        <v>1776</v>
      </c>
      <c r="AM89" s="304">
        <f t="shared" si="42"/>
        <v>106560</v>
      </c>
      <c r="AN89" s="304">
        <f t="shared" si="43"/>
        <v>29.6</v>
      </c>
    </row>
    <row r="90" spans="1:40" x14ac:dyDescent="0.35">
      <c r="A90">
        <f t="shared" si="36"/>
        <v>82</v>
      </c>
      <c r="B90" s="615" t="s">
        <v>1927</v>
      </c>
      <c r="C90" s="616" t="s">
        <v>738</v>
      </c>
      <c r="D90" s="762">
        <v>16000000</v>
      </c>
      <c r="E90" s="767">
        <f>D90*E$7/F$3</f>
        <v>1600</v>
      </c>
      <c r="F90" s="767">
        <f t="shared" si="45"/>
        <v>16000</v>
      </c>
      <c r="G90" s="762" t="s">
        <v>34</v>
      </c>
      <c r="H90" s="762" t="s">
        <v>34</v>
      </c>
      <c r="I90" s="778" t="s">
        <v>34</v>
      </c>
      <c r="J90" s="779" t="s">
        <v>34</v>
      </c>
      <c r="K90" s="618">
        <v>4000</v>
      </c>
      <c r="L90" s="619">
        <v>112</v>
      </c>
      <c r="M90" s="625" t="s">
        <v>1527</v>
      </c>
      <c r="N90" s="619">
        <v>450</v>
      </c>
      <c r="O90" s="619" t="s">
        <v>358</v>
      </c>
      <c r="P90" s="630"/>
      <c r="Q90" s="619"/>
      <c r="R90">
        <f t="shared" si="37"/>
        <v>82</v>
      </c>
      <c r="S90" s="20" t="s">
        <v>1525</v>
      </c>
      <c r="T90" s="20"/>
      <c r="U90" s="20"/>
      <c r="V90" s="467" t="s">
        <v>1528</v>
      </c>
      <c r="W90" s="159">
        <v>1100</v>
      </c>
      <c r="AL90" s="304">
        <f t="shared" ref="AL90:AL91" si="46">(K90/L90)*60</f>
        <v>2142.8571428571431</v>
      </c>
      <c r="AM90" s="304">
        <f t="shared" ref="AM90:AM91" si="47">60*AL90</f>
        <v>128571.42857142858</v>
      </c>
      <c r="AN90" s="304">
        <f t="shared" ref="AN90:AN91" si="48">AL90/60</f>
        <v>35.714285714285715</v>
      </c>
    </row>
    <row r="91" spans="1:40" x14ac:dyDescent="0.35">
      <c r="A91">
        <f t="shared" si="36"/>
        <v>83</v>
      </c>
      <c r="B91" s="615" t="s">
        <v>1529</v>
      </c>
      <c r="C91" s="616" t="s">
        <v>890</v>
      </c>
      <c r="D91" s="762">
        <v>2000000</v>
      </c>
      <c r="E91" s="767">
        <f>D91*E$7/F$3</f>
        <v>200</v>
      </c>
      <c r="F91" s="767">
        <f t="shared" ref="F91" si="49">D91*F$7/F$3</f>
        <v>2000</v>
      </c>
      <c r="G91" s="762" t="s">
        <v>34</v>
      </c>
      <c r="H91" s="762" t="s">
        <v>34</v>
      </c>
      <c r="I91" s="778" t="s">
        <v>34</v>
      </c>
      <c r="J91" s="779" t="s">
        <v>34</v>
      </c>
      <c r="K91" s="618">
        <v>2900</v>
      </c>
      <c r="L91" s="619">
        <v>120</v>
      </c>
      <c r="M91" s="625" t="s">
        <v>603</v>
      </c>
      <c r="N91" s="619">
        <v>120</v>
      </c>
      <c r="O91" s="619" t="s">
        <v>483</v>
      </c>
      <c r="P91" s="630"/>
      <c r="Q91" s="619"/>
      <c r="R91">
        <f t="shared" si="37"/>
        <v>83</v>
      </c>
      <c r="S91" s="20" t="s">
        <v>1530</v>
      </c>
      <c r="T91" s="20"/>
      <c r="U91" s="20" t="s">
        <v>1531</v>
      </c>
      <c r="V91" s="467" t="s">
        <v>1532</v>
      </c>
      <c r="W91" s="159">
        <v>650</v>
      </c>
      <c r="AA91" t="s">
        <v>1928</v>
      </c>
      <c r="AL91" s="304">
        <f t="shared" si="46"/>
        <v>1450</v>
      </c>
      <c r="AM91" s="304">
        <f t="shared" si="47"/>
        <v>87000</v>
      </c>
      <c r="AN91" s="304">
        <f t="shared" si="48"/>
        <v>24.166666666666668</v>
      </c>
    </row>
    <row r="92" spans="1:40" x14ac:dyDescent="0.35">
      <c r="A92">
        <f t="shared" si="36"/>
        <v>84</v>
      </c>
      <c r="B92" s="615" t="s">
        <v>1504</v>
      </c>
      <c r="C92" s="616" t="s">
        <v>1495</v>
      </c>
      <c r="D92" s="762">
        <v>300000</v>
      </c>
      <c r="E92" s="767">
        <f>D92*E$7/F$3</f>
        <v>30</v>
      </c>
      <c r="F92" s="767">
        <f t="shared" ref="F92" si="50">D92*F$7/F$3</f>
        <v>300</v>
      </c>
      <c r="G92" s="767">
        <f t="shared" ref="G92" si="51">D92*G$7/F$3</f>
        <v>3000</v>
      </c>
      <c r="H92" s="762" t="s">
        <v>34</v>
      </c>
      <c r="I92" s="778" t="s">
        <v>34</v>
      </c>
      <c r="J92" s="779" t="s">
        <v>34</v>
      </c>
      <c r="K92" s="618">
        <v>250</v>
      </c>
      <c r="L92" s="619">
        <v>600</v>
      </c>
      <c r="M92" s="625" t="s">
        <v>533</v>
      </c>
      <c r="N92" s="619">
        <v>30</v>
      </c>
      <c r="O92" s="619" t="s">
        <v>401</v>
      </c>
      <c r="P92" s="619"/>
      <c r="Q92" s="619"/>
      <c r="R92">
        <f t="shared" si="37"/>
        <v>84</v>
      </c>
      <c r="S92" s="20" t="s">
        <v>1474</v>
      </c>
      <c r="T92" s="20"/>
      <c r="U92" s="20" t="s">
        <v>1475</v>
      </c>
      <c r="V92" t="s">
        <v>1503</v>
      </c>
      <c r="W92" s="159">
        <v>187</v>
      </c>
      <c r="X92" t="s">
        <v>1502</v>
      </c>
      <c r="AL92" s="304">
        <f t="shared" si="41"/>
        <v>25</v>
      </c>
      <c r="AM92" s="304">
        <f t="shared" si="42"/>
        <v>1500</v>
      </c>
      <c r="AN92" s="304">
        <f t="shared" si="43"/>
        <v>0.41666666666666669</v>
      </c>
    </row>
    <row r="93" spans="1:40" x14ac:dyDescent="0.35">
      <c r="A93">
        <f t="shared" si="36"/>
        <v>85</v>
      </c>
      <c r="B93" s="123" t="s">
        <v>975</v>
      </c>
      <c r="C93" s="42" t="s">
        <v>976</v>
      </c>
      <c r="D93" s="666">
        <v>20000000</v>
      </c>
      <c r="E93" s="667">
        <f t="shared" ref="E93:E95" si="52">D93*E$7/F$3</f>
        <v>2000</v>
      </c>
      <c r="F93" s="666" t="s">
        <v>34</v>
      </c>
      <c r="G93" s="666" t="s">
        <v>34</v>
      </c>
      <c r="H93" s="666" t="s">
        <v>34</v>
      </c>
      <c r="I93" s="776" t="s">
        <v>34</v>
      </c>
      <c r="J93" s="777" t="s">
        <v>34</v>
      </c>
      <c r="K93" s="105">
        <v>3100</v>
      </c>
      <c r="L93" s="392">
        <v>130</v>
      </c>
      <c r="M93" s="178" t="s">
        <v>603</v>
      </c>
      <c r="N93" s="422">
        <f>1020-513-387</f>
        <v>120</v>
      </c>
      <c r="O93" s="392">
        <v>360</v>
      </c>
      <c r="P93" s="392"/>
      <c r="Q93" s="392"/>
      <c r="R93">
        <f t="shared" si="37"/>
        <v>85</v>
      </c>
      <c r="S93" s="20" t="s">
        <v>977</v>
      </c>
      <c r="T93" s="20"/>
      <c r="U93" s="20"/>
      <c r="V93" s="4" t="s">
        <v>34</v>
      </c>
      <c r="W93" s="159" t="s">
        <v>34</v>
      </c>
      <c r="X93" s="395"/>
      <c r="Y93" s="395"/>
      <c r="Z93" s="395"/>
      <c r="AA93" s="395"/>
      <c r="AB93" s="395"/>
      <c r="AC93" s="395"/>
      <c r="AD93" s="395"/>
      <c r="AE93" s="395"/>
      <c r="AF93" t="s">
        <v>34</v>
      </c>
      <c r="AG93" s="539"/>
      <c r="AH93" s="479"/>
      <c r="AL93" s="304">
        <f t="shared" si="41"/>
        <v>1430.7692307692307</v>
      </c>
      <c r="AM93" s="304">
        <f t="shared" si="42"/>
        <v>85846.153846153844</v>
      </c>
      <c r="AN93" s="304">
        <f t="shared" si="43"/>
        <v>23.846153846153847</v>
      </c>
    </row>
    <row r="94" spans="1:40" x14ac:dyDescent="0.35">
      <c r="A94">
        <f t="shared" si="36"/>
        <v>86</v>
      </c>
      <c r="B94" s="123" t="s">
        <v>979</v>
      </c>
      <c r="C94" s="42" t="s">
        <v>895</v>
      </c>
      <c r="D94" s="666">
        <v>31000000</v>
      </c>
      <c r="E94" s="667">
        <f t="shared" si="52"/>
        <v>3100</v>
      </c>
      <c r="F94" s="666" t="s">
        <v>34</v>
      </c>
      <c r="G94" s="666" t="s">
        <v>34</v>
      </c>
      <c r="H94" s="666" t="s">
        <v>34</v>
      </c>
      <c r="I94" s="776" t="s">
        <v>34</v>
      </c>
      <c r="J94" s="777" t="s">
        <v>34</v>
      </c>
      <c r="K94" s="105">
        <v>3800</v>
      </c>
      <c r="L94" s="392">
        <v>150</v>
      </c>
      <c r="M94" s="178" t="s">
        <v>981</v>
      </c>
      <c r="N94" s="422">
        <v>360</v>
      </c>
      <c r="O94" s="392" t="s">
        <v>980</v>
      </c>
      <c r="P94" s="392"/>
      <c r="Q94" s="392"/>
      <c r="R94">
        <f t="shared" si="37"/>
        <v>86</v>
      </c>
      <c r="S94" s="20" t="s">
        <v>978</v>
      </c>
      <c r="T94" s="20"/>
      <c r="U94" s="20"/>
      <c r="V94" s="4"/>
      <c r="W94" s="159" t="s">
        <v>34</v>
      </c>
      <c r="X94" s="395"/>
      <c r="Y94" s="395"/>
      <c r="Z94" s="395"/>
      <c r="AA94" s="395"/>
      <c r="AB94" s="395"/>
      <c r="AC94" s="395"/>
      <c r="AD94" s="395"/>
      <c r="AE94" s="395"/>
      <c r="AF94" t="s">
        <v>34</v>
      </c>
      <c r="AG94" s="539"/>
      <c r="AH94" s="479"/>
      <c r="AL94" s="304">
        <f t="shared" si="41"/>
        <v>1520</v>
      </c>
      <c r="AM94" s="304">
        <f t="shared" si="42"/>
        <v>91200</v>
      </c>
      <c r="AN94" s="304">
        <f t="shared" si="43"/>
        <v>25.333333333333332</v>
      </c>
    </row>
    <row r="95" spans="1:40" x14ac:dyDescent="0.35">
      <c r="A95">
        <f t="shared" si="36"/>
        <v>87</v>
      </c>
      <c r="B95" s="123" t="s">
        <v>1015</v>
      </c>
      <c r="C95" s="42" t="s">
        <v>1013</v>
      </c>
      <c r="D95" s="666">
        <v>132000000</v>
      </c>
      <c r="E95" s="667">
        <f t="shared" si="52"/>
        <v>13200</v>
      </c>
      <c r="F95" s="666" t="s">
        <v>34</v>
      </c>
      <c r="G95" s="666" t="s">
        <v>34</v>
      </c>
      <c r="H95" s="666" t="s">
        <v>34</v>
      </c>
      <c r="I95" s="776" t="s">
        <v>34</v>
      </c>
      <c r="J95" s="777" t="s">
        <v>34</v>
      </c>
      <c r="K95" s="105">
        <v>22800</v>
      </c>
      <c r="L95" s="392">
        <v>570</v>
      </c>
      <c r="M95" s="178" t="s">
        <v>1010</v>
      </c>
      <c r="N95" s="422" t="s">
        <v>1012</v>
      </c>
      <c r="O95" s="392">
        <v>42</v>
      </c>
      <c r="P95" s="392"/>
      <c r="Q95" s="392"/>
      <c r="R95">
        <f t="shared" si="37"/>
        <v>87</v>
      </c>
      <c r="S95" s="20" t="s">
        <v>1009</v>
      </c>
      <c r="T95" s="20"/>
      <c r="U95" s="20"/>
      <c r="V95" s="180" t="s">
        <v>1011</v>
      </c>
      <c r="W95" s="159" t="s">
        <v>34</v>
      </c>
      <c r="X95" s="467"/>
      <c r="Y95" s="467"/>
      <c r="Z95" s="467"/>
      <c r="AA95" s="467"/>
      <c r="AB95" s="467"/>
      <c r="AC95" s="467"/>
      <c r="AD95" s="467"/>
      <c r="AE95" s="467"/>
      <c r="AF95" t="s">
        <v>34</v>
      </c>
      <c r="AG95" s="539"/>
      <c r="AH95" s="479"/>
      <c r="AL95" s="304">
        <f t="shared" si="41"/>
        <v>2400</v>
      </c>
      <c r="AM95" s="304">
        <f t="shared" si="42"/>
        <v>144000</v>
      </c>
      <c r="AN95" s="304">
        <f t="shared" si="43"/>
        <v>40</v>
      </c>
    </row>
    <row r="96" spans="1:40" x14ac:dyDescent="0.35">
      <c r="A96">
        <f t="shared" si="36"/>
        <v>88</v>
      </c>
      <c r="B96" s="123" t="s">
        <v>1014</v>
      </c>
      <c r="C96" s="42" t="s">
        <v>791</v>
      </c>
      <c r="D96" s="666" t="s">
        <v>627</v>
      </c>
      <c r="E96" s="666" t="s">
        <v>34</v>
      </c>
      <c r="F96" s="666" t="s">
        <v>34</v>
      </c>
      <c r="G96" s="666" t="s">
        <v>34</v>
      </c>
      <c r="H96" s="666" t="s">
        <v>34</v>
      </c>
      <c r="I96" s="776" t="s">
        <v>34</v>
      </c>
      <c r="J96" s="777" t="s">
        <v>34</v>
      </c>
      <c r="K96" s="105">
        <v>22000</v>
      </c>
      <c r="L96" s="392">
        <v>900</v>
      </c>
      <c r="M96" s="178" t="s">
        <v>603</v>
      </c>
      <c r="N96" s="422" t="s">
        <v>602</v>
      </c>
      <c r="O96" s="392" t="s">
        <v>629</v>
      </c>
      <c r="P96" s="392"/>
      <c r="Q96" s="392"/>
      <c r="R96">
        <f t="shared" si="37"/>
        <v>88</v>
      </c>
      <c r="S96" s="20" t="s">
        <v>605</v>
      </c>
      <c r="T96" s="20"/>
      <c r="U96" s="20"/>
      <c r="V96" t="s">
        <v>34</v>
      </c>
      <c r="W96" s="159" t="s">
        <v>34</v>
      </c>
      <c r="AF96" t="s">
        <v>34</v>
      </c>
      <c r="AL96" s="304">
        <f>(K96/L96)*60</f>
        <v>1466.6666666666665</v>
      </c>
      <c r="AM96" s="304">
        <f>60*AL96</f>
        <v>87999.999999999985</v>
      </c>
      <c r="AN96" s="304">
        <f>AL96/60</f>
        <v>24.444444444444443</v>
      </c>
    </row>
    <row r="97" spans="1:49" x14ac:dyDescent="0.35">
      <c r="A97">
        <f t="shared" si="36"/>
        <v>89</v>
      </c>
      <c r="B97" s="123"/>
      <c r="C97" s="42"/>
      <c r="D97" s="666"/>
      <c r="E97" s="666"/>
      <c r="F97" s="666"/>
      <c r="G97" s="666"/>
      <c r="H97" s="666"/>
      <c r="I97" s="776"/>
      <c r="J97" s="777"/>
      <c r="K97" s="105"/>
      <c r="L97" s="392"/>
      <c r="M97" s="178"/>
      <c r="N97" s="178"/>
      <c r="O97" s="392"/>
      <c r="P97" s="392"/>
      <c r="Q97" s="392"/>
      <c r="R97">
        <f t="shared" si="37"/>
        <v>89</v>
      </c>
      <c r="V97" t="s">
        <v>34</v>
      </c>
      <c r="W97" s="159" t="s">
        <v>34</v>
      </c>
      <c r="AF97" t="s">
        <v>34</v>
      </c>
    </row>
    <row r="98" spans="1:49" x14ac:dyDescent="0.35">
      <c r="A98">
        <f t="shared" si="36"/>
        <v>90</v>
      </c>
      <c r="B98" s="123"/>
      <c r="C98" s="42"/>
      <c r="D98" s="667"/>
      <c r="E98" s="667"/>
      <c r="F98" s="667"/>
      <c r="G98" s="667"/>
      <c r="H98" s="667"/>
      <c r="I98" s="782"/>
      <c r="J98" s="783"/>
      <c r="K98" s="105"/>
      <c r="L98" s="392"/>
      <c r="M98" s="178"/>
      <c r="N98" s="178"/>
      <c r="O98" s="392"/>
      <c r="P98" s="392"/>
      <c r="Q98" s="392"/>
      <c r="R98">
        <f t="shared" si="37"/>
        <v>90</v>
      </c>
      <c r="V98" t="s">
        <v>34</v>
      </c>
      <c r="W98" s="159" t="s">
        <v>34</v>
      </c>
      <c r="AF98" t="s">
        <v>34</v>
      </c>
    </row>
    <row r="99" spans="1:49" x14ac:dyDescent="0.35">
      <c r="A99">
        <f t="shared" si="36"/>
        <v>91</v>
      </c>
      <c r="B99" s="189" t="s">
        <v>1140</v>
      </c>
      <c r="C99" s="464"/>
      <c r="D99" s="768"/>
      <c r="E99" s="768"/>
      <c r="F99" s="768"/>
      <c r="G99" s="768"/>
      <c r="H99" s="768"/>
      <c r="I99" s="780"/>
      <c r="J99" s="781"/>
      <c r="K99" s="391"/>
      <c r="L99" s="393"/>
      <c r="M99" s="384"/>
      <c r="N99" s="384"/>
      <c r="O99" s="393"/>
      <c r="P99" s="393"/>
      <c r="Q99" s="393"/>
      <c r="R99">
        <f t="shared" si="37"/>
        <v>91</v>
      </c>
      <c r="S99" s="304"/>
      <c r="T99" s="304"/>
      <c r="U99" s="304"/>
      <c r="V99" t="s">
        <v>34</v>
      </c>
      <c r="W99" s="159" t="s">
        <v>34</v>
      </c>
      <c r="AF99" t="s">
        <v>34</v>
      </c>
    </row>
    <row r="100" spans="1:49" x14ac:dyDescent="0.35">
      <c r="A100">
        <f t="shared" si="36"/>
        <v>92</v>
      </c>
      <c r="B100" s="123" t="s">
        <v>522</v>
      </c>
      <c r="C100" s="42" t="s">
        <v>1224</v>
      </c>
      <c r="D100" s="667">
        <v>2500000</v>
      </c>
      <c r="E100" s="667">
        <f>D100*E$7/F$3</f>
        <v>250</v>
      </c>
      <c r="F100" s="667">
        <f>D100*F$7/F$3</f>
        <v>2500</v>
      </c>
      <c r="G100" s="666" t="s">
        <v>34</v>
      </c>
      <c r="H100" s="666" t="s">
        <v>34</v>
      </c>
      <c r="I100" s="776" t="s">
        <v>34</v>
      </c>
      <c r="J100" s="777" t="s">
        <v>34</v>
      </c>
      <c r="K100" s="105">
        <v>550</v>
      </c>
      <c r="L100" s="392">
        <v>1130</v>
      </c>
      <c r="M100" s="381" t="s">
        <v>1039</v>
      </c>
      <c r="N100" s="179" t="s">
        <v>337</v>
      </c>
      <c r="O100" s="392" t="s">
        <v>2611</v>
      </c>
      <c r="P100" s="392" t="s">
        <v>990</v>
      </c>
      <c r="Q100" s="392" t="s">
        <v>346</v>
      </c>
      <c r="R100">
        <f t="shared" si="37"/>
        <v>92</v>
      </c>
      <c r="S100" s="20" t="s">
        <v>336</v>
      </c>
      <c r="T100" s="20"/>
      <c r="U100" s="20"/>
      <c r="V100" t="s">
        <v>34</v>
      </c>
      <c r="W100" s="159">
        <v>1300</v>
      </c>
      <c r="X100" t="s">
        <v>1225</v>
      </c>
      <c r="Y100" t="s">
        <v>2574</v>
      </c>
      <c r="Z100" t="s">
        <v>1226</v>
      </c>
      <c r="AA100" t="s">
        <v>1227</v>
      </c>
      <c r="AB100" t="s">
        <v>1228</v>
      </c>
      <c r="AC100" t="s">
        <v>1929</v>
      </c>
      <c r="AF100" t="s">
        <v>34</v>
      </c>
      <c r="AL100" s="304">
        <f t="shared" ref="AL100" si="53">(K100/L100)*60</f>
        <v>29.20353982300885</v>
      </c>
      <c r="AM100" s="304">
        <f>60*AL100</f>
        <v>1752.212389380531</v>
      </c>
      <c r="AN100" s="304">
        <f>AL100/60</f>
        <v>0.48672566371681414</v>
      </c>
    </row>
    <row r="101" spans="1:49" x14ac:dyDescent="0.35">
      <c r="A101">
        <f t="shared" si="36"/>
        <v>93</v>
      </c>
      <c r="B101" s="123" t="s">
        <v>1136</v>
      </c>
      <c r="C101" s="42" t="s">
        <v>1130</v>
      </c>
      <c r="D101" s="667">
        <v>2000000</v>
      </c>
      <c r="E101" s="666" t="s">
        <v>34</v>
      </c>
      <c r="F101" s="666" t="s">
        <v>34</v>
      </c>
      <c r="G101" s="666" t="s">
        <v>34</v>
      </c>
      <c r="H101" s="666" t="s">
        <v>34</v>
      </c>
      <c r="I101" s="776" t="s">
        <v>34</v>
      </c>
      <c r="J101" s="777" t="s">
        <v>34</v>
      </c>
      <c r="K101" s="105">
        <v>2400</v>
      </c>
      <c r="L101" s="392">
        <v>900</v>
      </c>
      <c r="M101" s="381" t="s">
        <v>1129</v>
      </c>
      <c r="N101" s="179" t="s">
        <v>1128</v>
      </c>
      <c r="O101" s="392">
        <f>1715+239+50</f>
        <v>2004</v>
      </c>
      <c r="P101" s="541" t="s">
        <v>1131</v>
      </c>
      <c r="Q101" s="392">
        <v>0</v>
      </c>
      <c r="R101">
        <f t="shared" si="37"/>
        <v>93</v>
      </c>
      <c r="S101" s="20" t="s">
        <v>1125</v>
      </c>
      <c r="T101" s="20"/>
      <c r="U101" s="20"/>
      <c r="W101" s="159">
        <v>1430</v>
      </c>
      <c r="AF101" t="s">
        <v>34</v>
      </c>
      <c r="AG101" s="427" t="s">
        <v>1124</v>
      </c>
      <c r="AH101" s="4" t="s">
        <v>1123</v>
      </c>
      <c r="AL101" s="304">
        <f t="shared" ref="AL101" si="54">(K101/L101)*60</f>
        <v>160</v>
      </c>
      <c r="AM101" s="304">
        <f>60*AL101</f>
        <v>9600</v>
      </c>
      <c r="AN101" s="304">
        <f>AL101/60</f>
        <v>2.6666666666666665</v>
      </c>
    </row>
    <row r="102" spans="1:49" x14ac:dyDescent="0.35">
      <c r="A102">
        <f t="shared" si="36"/>
        <v>94</v>
      </c>
      <c r="B102" s="123" t="s">
        <v>2739</v>
      </c>
      <c r="C102" s="42" t="s">
        <v>755</v>
      </c>
      <c r="D102" s="667">
        <v>300000000</v>
      </c>
      <c r="E102" s="666" t="s">
        <v>34</v>
      </c>
      <c r="F102" s="666" t="s">
        <v>34</v>
      </c>
      <c r="G102" s="666" t="s">
        <v>34</v>
      </c>
      <c r="H102" s="666" t="s">
        <v>34</v>
      </c>
      <c r="I102" s="776" t="s">
        <v>34</v>
      </c>
      <c r="J102" s="777" t="s">
        <v>34</v>
      </c>
      <c r="K102" s="392" t="s">
        <v>34</v>
      </c>
      <c r="L102" s="392" t="s">
        <v>34</v>
      </c>
      <c r="M102" s="381" t="s">
        <v>34</v>
      </c>
      <c r="N102" s="179" t="s">
        <v>34</v>
      </c>
      <c r="O102" s="392" t="s">
        <v>2581</v>
      </c>
      <c r="P102" s="392" t="s">
        <v>2581</v>
      </c>
      <c r="Q102" s="392" t="s">
        <v>2614</v>
      </c>
      <c r="R102">
        <f t="shared" si="37"/>
        <v>94</v>
      </c>
      <c r="S102" s="20" t="s">
        <v>1102</v>
      </c>
      <c r="T102" s="20"/>
      <c r="U102" s="20" t="s">
        <v>1244</v>
      </c>
      <c r="V102" s="4" t="s">
        <v>1135</v>
      </c>
      <c r="W102" s="159" t="s">
        <v>34</v>
      </c>
      <c r="X102" s="395"/>
      <c r="Y102" s="395"/>
      <c r="Z102" s="395"/>
      <c r="AA102" s="395"/>
      <c r="AB102" s="395"/>
      <c r="AC102" s="395"/>
      <c r="AD102" s="395"/>
      <c r="AE102" s="395"/>
      <c r="AF102" t="s">
        <v>34</v>
      </c>
      <c r="AG102" s="427" t="s">
        <v>1108</v>
      </c>
      <c r="AL102" s="304"/>
      <c r="AM102" s="304"/>
      <c r="AN102" s="304"/>
    </row>
    <row r="103" spans="1:49" x14ac:dyDescent="0.35">
      <c r="A103">
        <f t="shared" si="36"/>
        <v>95</v>
      </c>
      <c r="B103" s="123" t="s">
        <v>2239</v>
      </c>
      <c r="C103" s="42" t="s">
        <v>810</v>
      </c>
      <c r="D103" s="667">
        <v>2000000</v>
      </c>
      <c r="E103" s="667">
        <f t="shared" ref="E103:E109" si="55">D103*E$7/F$3</f>
        <v>200</v>
      </c>
      <c r="F103" s="667">
        <f t="shared" ref="F103:F109" si="56">D103*F$7/F$3</f>
        <v>2000</v>
      </c>
      <c r="G103" s="666" t="s">
        <v>34</v>
      </c>
      <c r="H103" s="666" t="s">
        <v>34</v>
      </c>
      <c r="I103" s="776" t="s">
        <v>34</v>
      </c>
      <c r="J103" s="777" t="s">
        <v>34</v>
      </c>
      <c r="K103" s="105">
        <v>1666</v>
      </c>
      <c r="L103" s="392">
        <v>913</v>
      </c>
      <c r="M103" s="381" t="s">
        <v>400</v>
      </c>
      <c r="N103" s="179" t="s">
        <v>337</v>
      </c>
      <c r="O103" s="541" t="s">
        <v>2624</v>
      </c>
      <c r="P103" s="392"/>
      <c r="Q103" s="392" t="s">
        <v>346</v>
      </c>
      <c r="R103">
        <f t="shared" si="37"/>
        <v>95</v>
      </c>
      <c r="S103" s="20" t="s">
        <v>399</v>
      </c>
      <c r="T103" s="20"/>
      <c r="U103" s="20"/>
      <c r="V103" t="s">
        <v>1930</v>
      </c>
      <c r="W103" s="159">
        <f>1300+300</f>
        <v>1600</v>
      </c>
      <c r="X103" t="s">
        <v>1839</v>
      </c>
      <c r="Y103" t="s">
        <v>1845</v>
      </c>
      <c r="Z103" t="s">
        <v>1236</v>
      </c>
      <c r="AA103" t="s">
        <v>1227</v>
      </c>
      <c r="AF103" t="s">
        <v>34</v>
      </c>
      <c r="AG103" s="427" t="s">
        <v>1124</v>
      </c>
      <c r="AH103" s="4" t="s">
        <v>1123</v>
      </c>
      <c r="AL103" s="304">
        <f>(K103/L103)*60</f>
        <v>109.48521358159911</v>
      </c>
      <c r="AM103" s="304">
        <f t="shared" ref="AM103:AM108" si="57">60*AL103</f>
        <v>6569.1128148959469</v>
      </c>
      <c r="AN103" s="304">
        <f t="shared" ref="AN103:AN108" si="58">AL103/60</f>
        <v>1.8247535596933184</v>
      </c>
    </row>
    <row r="104" spans="1:49" x14ac:dyDescent="0.35">
      <c r="A104">
        <f t="shared" si="36"/>
        <v>96</v>
      </c>
      <c r="B104" s="123" t="s">
        <v>2238</v>
      </c>
      <c r="C104" s="42" t="s">
        <v>1103</v>
      </c>
      <c r="D104" s="667">
        <v>4870000</v>
      </c>
      <c r="E104" s="667">
        <f t="shared" si="55"/>
        <v>487</v>
      </c>
      <c r="F104" s="667">
        <f t="shared" si="56"/>
        <v>4870</v>
      </c>
      <c r="G104" s="667">
        <f>D104*G$7/F$3</f>
        <v>48700</v>
      </c>
      <c r="H104" s="666" t="s">
        <v>34</v>
      </c>
      <c r="I104" s="776" t="s">
        <v>34</v>
      </c>
      <c r="J104" s="777" t="s">
        <v>34</v>
      </c>
      <c r="K104" s="105">
        <v>500</v>
      </c>
      <c r="L104" s="392">
        <v>4287</v>
      </c>
      <c r="M104" s="381" t="s">
        <v>1107</v>
      </c>
      <c r="N104" s="179" t="s">
        <v>1105</v>
      </c>
      <c r="O104" s="392" t="s">
        <v>358</v>
      </c>
      <c r="P104" s="392"/>
      <c r="Q104" s="392">
        <v>180</v>
      </c>
      <c r="R104">
        <f t="shared" si="37"/>
        <v>96</v>
      </c>
      <c r="S104" s="20" t="s">
        <v>1104</v>
      </c>
      <c r="T104" s="20"/>
      <c r="U104" s="20"/>
      <c r="V104" t="s">
        <v>1106</v>
      </c>
      <c r="W104" s="159">
        <f>1200+300</f>
        <v>1500</v>
      </c>
      <c r="X104" t="s">
        <v>1233</v>
      </c>
      <c r="Z104" t="s">
        <v>1232</v>
      </c>
      <c r="AA104" t="s">
        <v>1931</v>
      </c>
      <c r="AB104" t="s">
        <v>1231</v>
      </c>
      <c r="AC104" t="s">
        <v>1932</v>
      </c>
      <c r="AF104" t="s">
        <v>34</v>
      </c>
      <c r="AG104" t="s">
        <v>1127</v>
      </c>
      <c r="AL104" s="304">
        <f t="shared" ref="AL104" si="59">(K104/L104)*60</f>
        <v>6.9979006298110562</v>
      </c>
      <c r="AM104" s="304">
        <f t="shared" si="57"/>
        <v>419.87403778866337</v>
      </c>
      <c r="AN104" s="304">
        <f t="shared" si="58"/>
        <v>0.11663167716351761</v>
      </c>
    </row>
    <row r="105" spans="1:49" x14ac:dyDescent="0.35">
      <c r="A105">
        <f t="shared" si="36"/>
        <v>97</v>
      </c>
      <c r="B105" s="123" t="s">
        <v>1933</v>
      </c>
      <c r="C105" s="42" t="s">
        <v>1138</v>
      </c>
      <c r="D105" s="667">
        <v>689000</v>
      </c>
      <c r="E105" s="667">
        <f t="shared" si="55"/>
        <v>68.900000000000006</v>
      </c>
      <c r="F105" s="667">
        <f t="shared" si="56"/>
        <v>689</v>
      </c>
      <c r="G105" s="667">
        <f>D105*G$7/F$3</f>
        <v>6890</v>
      </c>
      <c r="H105" s="666" t="s">
        <v>34</v>
      </c>
      <c r="I105" s="776" t="s">
        <v>34</v>
      </c>
      <c r="J105" s="777" t="s">
        <v>34</v>
      </c>
      <c r="K105" s="105">
        <v>370</v>
      </c>
      <c r="L105" s="392">
        <v>760</v>
      </c>
      <c r="M105" s="381" t="s">
        <v>1039</v>
      </c>
      <c r="N105" s="179" t="s">
        <v>802</v>
      </c>
      <c r="O105" s="392">
        <v>7500</v>
      </c>
      <c r="P105" s="392">
        <v>7500</v>
      </c>
      <c r="Q105" s="392">
        <v>0</v>
      </c>
      <c r="R105">
        <f t="shared" si="37"/>
        <v>97</v>
      </c>
      <c r="S105" s="20" t="s">
        <v>597</v>
      </c>
      <c r="T105" s="20"/>
      <c r="U105" s="20" t="s">
        <v>1270</v>
      </c>
      <c r="V105" s="4" t="s">
        <v>1027</v>
      </c>
      <c r="W105" s="159">
        <v>1021</v>
      </c>
      <c r="X105" s="467" t="s">
        <v>1934</v>
      </c>
      <c r="Y105" s="467" t="s">
        <v>1847</v>
      </c>
      <c r="Z105" s="395"/>
      <c r="AA105" s="395"/>
      <c r="AB105" s="395"/>
      <c r="AC105" s="395"/>
      <c r="AD105" s="395"/>
      <c r="AE105" s="395"/>
      <c r="AF105" t="s">
        <v>34</v>
      </c>
      <c r="AG105" t="s">
        <v>1004</v>
      </c>
      <c r="AH105" s="4" t="s">
        <v>1002</v>
      </c>
      <c r="AI105" t="s">
        <v>1003</v>
      </c>
      <c r="AJ105" s="543">
        <f>1.2*300</f>
        <v>360</v>
      </c>
      <c r="AK105" t="s">
        <v>1021</v>
      </c>
      <c r="AL105" s="304">
        <f t="shared" ref="AL105" si="60">(K105/L105)*60</f>
        <v>29.210526315789476</v>
      </c>
      <c r="AM105" s="304">
        <f t="shared" si="57"/>
        <v>1752.6315789473686</v>
      </c>
      <c r="AN105" s="304">
        <f t="shared" si="58"/>
        <v>0.48684210526315791</v>
      </c>
      <c r="AO105" t="s">
        <v>1935</v>
      </c>
      <c r="AP105" s="159">
        <f>1021-(46+AS105+450)</f>
        <v>349.73684210526312</v>
      </c>
      <c r="AQ105" t="s">
        <v>1024</v>
      </c>
      <c r="AR105" t="s">
        <v>1040</v>
      </c>
      <c r="AS105" s="8">
        <f>AJ105*(AL105/60)</f>
        <v>175.26315789473685</v>
      </c>
      <c r="AT105" t="s">
        <v>1036</v>
      </c>
      <c r="AU105" s="448" t="s">
        <v>1936</v>
      </c>
      <c r="AV105" s="545" t="s">
        <v>1937</v>
      </c>
    </row>
    <row r="106" spans="1:49" x14ac:dyDescent="0.35">
      <c r="A106">
        <f t="shared" si="36"/>
        <v>98</v>
      </c>
      <c r="B106" s="123" t="s">
        <v>1938</v>
      </c>
      <c r="C106" s="42" t="s">
        <v>2618</v>
      </c>
      <c r="D106" s="667">
        <v>1004000</v>
      </c>
      <c r="E106" s="667">
        <f t="shared" si="55"/>
        <v>100.4</v>
      </c>
      <c r="F106" s="667">
        <f t="shared" si="56"/>
        <v>1004</v>
      </c>
      <c r="G106" s="667">
        <f t="shared" ref="G106:G109" si="61">D106*G$7/F$3</f>
        <v>10040</v>
      </c>
      <c r="H106" s="666" t="s">
        <v>34</v>
      </c>
      <c r="I106" s="776" t="s">
        <v>34</v>
      </c>
      <c r="J106" s="777" t="s">
        <v>34</v>
      </c>
      <c r="K106" s="105">
        <v>926</v>
      </c>
      <c r="L106" s="392">
        <v>1105</v>
      </c>
      <c r="M106" s="381" t="s">
        <v>766</v>
      </c>
      <c r="N106" s="179" t="s">
        <v>802</v>
      </c>
      <c r="O106" s="392" t="s">
        <v>598</v>
      </c>
      <c r="P106" s="392" t="s">
        <v>598</v>
      </c>
      <c r="Q106" s="123" t="s">
        <v>2589</v>
      </c>
      <c r="R106">
        <f t="shared" si="37"/>
        <v>98</v>
      </c>
      <c r="S106" s="20" t="s">
        <v>597</v>
      </c>
      <c r="T106" s="20"/>
      <c r="U106" s="20" t="s">
        <v>1295</v>
      </c>
      <c r="V106" t="s">
        <v>845</v>
      </c>
      <c r="W106" s="159">
        <v>1200</v>
      </c>
      <c r="X106" t="s">
        <v>1934</v>
      </c>
      <c r="Y106" s="467" t="s">
        <v>1847</v>
      </c>
      <c r="AF106" t="s">
        <v>34</v>
      </c>
      <c r="AG106" s="427" t="s">
        <v>1043</v>
      </c>
      <c r="AH106" s="4" t="s">
        <v>1019</v>
      </c>
      <c r="AI106" t="s">
        <v>1051</v>
      </c>
      <c r="AJ106" s="543">
        <f>0.683*635</f>
        <v>433.70500000000004</v>
      </c>
      <c r="AK106" t="s">
        <v>1021</v>
      </c>
      <c r="AL106" s="304">
        <f>(K106/L106)*60</f>
        <v>50.280542986425338</v>
      </c>
      <c r="AM106" s="304">
        <f t="shared" si="57"/>
        <v>3016.8325791855204</v>
      </c>
      <c r="AN106" s="304">
        <f t="shared" si="58"/>
        <v>0.83800904977375568</v>
      </c>
      <c r="AO106" t="s">
        <v>1891</v>
      </c>
      <c r="AP106" s="159">
        <f>1200-(30+AS106+450)</f>
        <v>356.55128506787332</v>
      </c>
      <c r="AQ106" t="s">
        <v>1024</v>
      </c>
      <c r="AR106" t="s">
        <v>1040</v>
      </c>
      <c r="AS106" s="8">
        <f>AJ106*(AL106/60)</f>
        <v>363.44871493212673</v>
      </c>
      <c r="AT106" t="s">
        <v>1036</v>
      </c>
      <c r="AU106" s="448" t="s">
        <v>1939</v>
      </c>
      <c r="AV106" s="545" t="s">
        <v>1998</v>
      </c>
    </row>
    <row r="107" spans="1:49" x14ac:dyDescent="0.35">
      <c r="A107">
        <f t="shared" si="36"/>
        <v>99</v>
      </c>
      <c r="B107" s="123" t="s">
        <v>2736</v>
      </c>
      <c r="C107" s="42" t="s">
        <v>2621</v>
      </c>
      <c r="D107" s="667">
        <v>3240000</v>
      </c>
      <c r="E107" s="667">
        <f t="shared" si="55"/>
        <v>324</v>
      </c>
      <c r="F107" s="667">
        <f t="shared" si="56"/>
        <v>3240</v>
      </c>
      <c r="G107" s="667">
        <f>D107*G$7/F$3</f>
        <v>32400</v>
      </c>
      <c r="H107" s="666" t="s">
        <v>34</v>
      </c>
      <c r="I107" s="776" t="s">
        <v>34</v>
      </c>
      <c r="J107" s="777" t="s">
        <v>34</v>
      </c>
      <c r="K107" s="105">
        <v>900</v>
      </c>
      <c r="L107" s="392">
        <v>1075</v>
      </c>
      <c r="M107" s="381" t="s">
        <v>766</v>
      </c>
      <c r="N107" s="179" t="s">
        <v>802</v>
      </c>
      <c r="O107" s="392" t="s">
        <v>358</v>
      </c>
      <c r="P107" s="392" t="s">
        <v>358</v>
      </c>
      <c r="Q107" s="555"/>
      <c r="R107">
        <f t="shared" si="37"/>
        <v>99</v>
      </c>
      <c r="S107" s="4" t="s">
        <v>840</v>
      </c>
      <c r="T107" s="4"/>
      <c r="U107" s="4"/>
      <c r="V107" t="s">
        <v>1109</v>
      </c>
      <c r="W107" s="159">
        <v>1250</v>
      </c>
      <c r="X107" t="s">
        <v>2738</v>
      </c>
      <c r="Y107" s="467" t="s">
        <v>1847</v>
      </c>
      <c r="AF107" t="s">
        <v>34</v>
      </c>
      <c r="AG107" s="427" t="s">
        <v>1045</v>
      </c>
      <c r="AH107" s="4" t="s">
        <v>1019</v>
      </c>
      <c r="AI107" t="s">
        <v>1051</v>
      </c>
      <c r="AJ107" s="543">
        <f>0.683*635</f>
        <v>433.70500000000004</v>
      </c>
      <c r="AK107" t="s">
        <v>1021</v>
      </c>
      <c r="AL107" s="304">
        <f>(K107/L107)*60</f>
        <v>50.232558139534888</v>
      </c>
      <c r="AM107" s="304">
        <f t="shared" si="57"/>
        <v>3013.9534883720935</v>
      </c>
      <c r="AN107" s="304">
        <f t="shared" si="58"/>
        <v>0.83720930232558144</v>
      </c>
      <c r="AO107" t="s">
        <v>1891</v>
      </c>
      <c r="AP107" s="159">
        <f>1250-(30+AS107+450)</f>
        <v>406.89813953488374</v>
      </c>
      <c r="AQ107" t="s">
        <v>1145</v>
      </c>
      <c r="AR107" t="s">
        <v>1892</v>
      </c>
      <c r="AS107" s="8">
        <f>AJ107*(AL107/60)</f>
        <v>363.10186046511632</v>
      </c>
      <c r="AT107" t="s">
        <v>1036</v>
      </c>
      <c r="AU107" s="448" t="s">
        <v>1893</v>
      </c>
      <c r="AV107" s="545" t="s">
        <v>1894</v>
      </c>
      <c r="AW107" t="s">
        <v>1895</v>
      </c>
    </row>
    <row r="108" spans="1:49" x14ac:dyDescent="0.35">
      <c r="A108">
        <f t="shared" si="36"/>
        <v>100</v>
      </c>
      <c r="B108" s="123" t="s">
        <v>2620</v>
      </c>
      <c r="C108" s="42" t="s">
        <v>808</v>
      </c>
      <c r="D108" s="667">
        <v>3240000</v>
      </c>
      <c r="E108" s="667">
        <f t="shared" ref="E108" si="62">D108*E$7/F$3</f>
        <v>324</v>
      </c>
      <c r="F108" s="667">
        <f t="shared" ref="F108" si="63">D108*F$7/F$3</f>
        <v>3240</v>
      </c>
      <c r="G108" s="667">
        <f>D108*G$7/F$3</f>
        <v>32400</v>
      </c>
      <c r="H108" s="666" t="s">
        <v>34</v>
      </c>
      <c r="I108" s="776" t="s">
        <v>34</v>
      </c>
      <c r="J108" s="777" t="s">
        <v>34</v>
      </c>
      <c r="K108" s="105">
        <v>900</v>
      </c>
      <c r="L108" s="392">
        <v>1075</v>
      </c>
      <c r="M108" s="381" t="s">
        <v>766</v>
      </c>
      <c r="N108" s="179" t="s">
        <v>802</v>
      </c>
      <c r="O108" s="392" t="s">
        <v>358</v>
      </c>
      <c r="P108" s="392" t="s">
        <v>358</v>
      </c>
      <c r="Q108" s="555" t="s">
        <v>1294</v>
      </c>
      <c r="R108">
        <f t="shared" si="37"/>
        <v>100</v>
      </c>
      <c r="S108" s="4" t="s">
        <v>840</v>
      </c>
      <c r="T108" s="4"/>
      <c r="U108" s="4"/>
      <c r="V108" t="s">
        <v>1109</v>
      </c>
      <c r="W108" s="159">
        <v>1250</v>
      </c>
      <c r="X108" t="s">
        <v>2737</v>
      </c>
      <c r="Y108" s="467" t="s">
        <v>1847</v>
      </c>
      <c r="AF108" t="s">
        <v>34</v>
      </c>
      <c r="AG108" s="427" t="s">
        <v>1045</v>
      </c>
      <c r="AH108" s="4" t="s">
        <v>1019</v>
      </c>
      <c r="AI108" t="s">
        <v>1051</v>
      </c>
      <c r="AJ108" s="543">
        <f>0.683*635</f>
        <v>433.70500000000004</v>
      </c>
      <c r="AK108" t="s">
        <v>1021</v>
      </c>
      <c r="AL108" s="304">
        <f>(K108/L108)*60</f>
        <v>50.232558139534888</v>
      </c>
      <c r="AM108" s="304">
        <f t="shared" si="57"/>
        <v>3013.9534883720935</v>
      </c>
      <c r="AN108" s="304">
        <f t="shared" si="58"/>
        <v>0.83720930232558144</v>
      </c>
      <c r="AO108" t="s">
        <v>1891</v>
      </c>
      <c r="AP108" s="159">
        <f>1250-(30+AS108+450)</f>
        <v>406.89813953488374</v>
      </c>
      <c r="AQ108" t="s">
        <v>1145</v>
      </c>
      <c r="AR108" t="s">
        <v>1892</v>
      </c>
      <c r="AS108" s="8">
        <f>AJ108*(AL108/60)</f>
        <v>363.10186046511632</v>
      </c>
      <c r="AT108" t="s">
        <v>1036</v>
      </c>
      <c r="AU108" s="448" t="s">
        <v>1893</v>
      </c>
      <c r="AV108" s="545" t="s">
        <v>1894</v>
      </c>
      <c r="AW108" t="s">
        <v>1895</v>
      </c>
    </row>
    <row r="109" spans="1:49" x14ac:dyDescent="0.35">
      <c r="A109">
        <f t="shared" si="36"/>
        <v>101</v>
      </c>
      <c r="B109" s="123" t="s">
        <v>2619</v>
      </c>
      <c r="C109" s="42" t="s">
        <v>808</v>
      </c>
      <c r="D109" s="667">
        <v>1500000</v>
      </c>
      <c r="E109" s="667">
        <f t="shared" si="55"/>
        <v>150</v>
      </c>
      <c r="F109" s="667">
        <f t="shared" si="56"/>
        <v>1500</v>
      </c>
      <c r="G109" s="667">
        <f t="shared" si="61"/>
        <v>15000</v>
      </c>
      <c r="H109" s="666" t="s">
        <v>34</v>
      </c>
      <c r="I109" s="776" t="s">
        <v>34</v>
      </c>
      <c r="J109" s="777" t="s">
        <v>34</v>
      </c>
      <c r="K109" s="105">
        <v>1800</v>
      </c>
      <c r="L109" s="392">
        <v>970</v>
      </c>
      <c r="M109" s="381" t="s">
        <v>1048</v>
      </c>
      <c r="N109" s="179" t="s">
        <v>802</v>
      </c>
      <c r="O109" s="392" t="s">
        <v>409</v>
      </c>
      <c r="P109" s="392" t="s">
        <v>409</v>
      </c>
      <c r="Q109" s="466" t="s">
        <v>346</v>
      </c>
      <c r="R109">
        <f t="shared" si="37"/>
        <v>101</v>
      </c>
      <c r="S109" s="4" t="s">
        <v>811</v>
      </c>
      <c r="T109" s="4"/>
      <c r="U109" s="4" t="s">
        <v>1293</v>
      </c>
      <c r="V109" t="s">
        <v>1312</v>
      </c>
      <c r="W109" s="159">
        <v>1700</v>
      </c>
      <c r="X109" t="s">
        <v>1940</v>
      </c>
      <c r="Y109" s="467" t="s">
        <v>1847</v>
      </c>
      <c r="AF109" t="s">
        <v>34</v>
      </c>
      <c r="AG109" s="427" t="s">
        <v>1044</v>
      </c>
      <c r="AH109" s="4" t="s">
        <v>1019</v>
      </c>
      <c r="AI109" t="s">
        <v>1051</v>
      </c>
      <c r="AJ109" s="543">
        <f>0.683*635</f>
        <v>433.70500000000004</v>
      </c>
      <c r="AK109" t="s">
        <v>1021</v>
      </c>
      <c r="AL109" s="304">
        <f t="shared" ref="AL109" si="64">(K109/L109)*60</f>
        <v>111.34020618556701</v>
      </c>
      <c r="AM109" s="304">
        <f t="shared" ref="AM109" si="65">60*AL109</f>
        <v>6680.4123711340208</v>
      </c>
      <c r="AN109" s="304">
        <f t="shared" ref="AN109" si="66">AL109/60</f>
        <v>1.8556701030927836</v>
      </c>
      <c r="AO109" t="s">
        <v>1891</v>
      </c>
      <c r="AP109" s="159">
        <f>1700-(30+AS109+450)</f>
        <v>415.18659793814413</v>
      </c>
      <c r="AQ109" t="s">
        <v>1024</v>
      </c>
      <c r="AR109" t="s">
        <v>1040</v>
      </c>
      <c r="AS109" s="8">
        <f>AJ109*(AL109/60)</f>
        <v>804.81340206185575</v>
      </c>
      <c r="AT109" t="s">
        <v>1036</v>
      </c>
      <c r="AU109" s="448" t="s">
        <v>1941</v>
      </c>
      <c r="AV109" s="545" t="s">
        <v>1047</v>
      </c>
      <c r="AW109" t="s">
        <v>1942</v>
      </c>
    </row>
    <row r="110" spans="1:49" x14ac:dyDescent="0.35">
      <c r="A110">
        <f t="shared" si="36"/>
        <v>102</v>
      </c>
      <c r="B110" s="123" t="s">
        <v>1862</v>
      </c>
      <c r="C110" s="42" t="s">
        <v>837</v>
      </c>
      <c r="D110" s="667" t="s">
        <v>1126</v>
      </c>
      <c r="E110" s="666" t="s">
        <v>34</v>
      </c>
      <c r="F110" s="666" t="s">
        <v>34</v>
      </c>
      <c r="G110" s="666" t="s">
        <v>34</v>
      </c>
      <c r="H110" s="666" t="s">
        <v>34</v>
      </c>
      <c r="I110" s="776" t="s">
        <v>34</v>
      </c>
      <c r="J110" s="777" t="s">
        <v>34</v>
      </c>
      <c r="K110" s="392" t="s">
        <v>34</v>
      </c>
      <c r="L110" s="392" t="s">
        <v>34</v>
      </c>
      <c r="M110" s="381" t="s">
        <v>34</v>
      </c>
      <c r="N110" s="179" t="s">
        <v>34</v>
      </c>
      <c r="O110" s="392" t="s">
        <v>409</v>
      </c>
      <c r="P110" s="392" t="s">
        <v>409</v>
      </c>
      <c r="Q110" s="392"/>
      <c r="R110">
        <f t="shared" si="37"/>
        <v>102</v>
      </c>
      <c r="S110" s="20" t="s">
        <v>838</v>
      </c>
      <c r="T110" s="20"/>
      <c r="U110" s="20"/>
      <c r="V110" s="4" t="s">
        <v>839</v>
      </c>
      <c r="W110" s="159" t="s">
        <v>34</v>
      </c>
      <c r="X110" s="395"/>
      <c r="Y110" s="395"/>
      <c r="Z110" s="395"/>
      <c r="AA110" s="395"/>
      <c r="AB110" s="395"/>
      <c r="AC110" s="395"/>
      <c r="AD110" s="395"/>
      <c r="AE110" s="395"/>
      <c r="AF110" t="s">
        <v>34</v>
      </c>
      <c r="AL110" s="304"/>
      <c r="AM110" s="304"/>
      <c r="AN110" s="304"/>
    </row>
    <row r="111" spans="1:49" x14ac:dyDescent="0.35">
      <c r="A111">
        <f t="shared" si="36"/>
        <v>103</v>
      </c>
      <c r="B111" s="123" t="s">
        <v>1943</v>
      </c>
      <c r="C111" s="42" t="s">
        <v>2629</v>
      </c>
      <c r="D111" s="667">
        <v>200000000</v>
      </c>
      <c r="E111" s="666" t="s">
        <v>34</v>
      </c>
      <c r="F111" s="666" t="s">
        <v>34</v>
      </c>
      <c r="G111" s="666" t="s">
        <v>34</v>
      </c>
      <c r="H111" s="666" t="s">
        <v>34</v>
      </c>
      <c r="I111" s="776" t="s">
        <v>34</v>
      </c>
      <c r="J111" s="777" t="s">
        <v>34</v>
      </c>
      <c r="K111" s="392" t="s">
        <v>34</v>
      </c>
      <c r="L111" s="392" t="s">
        <v>34</v>
      </c>
      <c r="M111" s="381" t="s">
        <v>34</v>
      </c>
      <c r="N111" s="179" t="s">
        <v>34</v>
      </c>
      <c r="O111" s="392" t="s">
        <v>401</v>
      </c>
      <c r="P111" s="392"/>
      <c r="Q111" s="392"/>
      <c r="R111">
        <f t="shared" si="37"/>
        <v>103</v>
      </c>
      <c r="S111" s="20" t="s">
        <v>1115</v>
      </c>
      <c r="T111" s="20"/>
      <c r="U111" s="20"/>
      <c r="V111" s="4"/>
      <c r="W111" s="159" t="s">
        <v>34</v>
      </c>
      <c r="X111" s="395"/>
      <c r="Y111" s="395"/>
      <c r="Z111" s="395"/>
      <c r="AA111" s="395"/>
      <c r="AB111" s="395"/>
      <c r="AC111" s="395"/>
      <c r="AD111" s="395"/>
      <c r="AE111" s="395"/>
      <c r="AF111" t="s">
        <v>34</v>
      </c>
      <c r="AL111" s="304"/>
      <c r="AM111" s="304"/>
      <c r="AN111" s="304"/>
    </row>
    <row r="112" spans="1:49" x14ac:dyDescent="0.35">
      <c r="A112">
        <f t="shared" si="36"/>
        <v>104</v>
      </c>
      <c r="B112" s="123" t="s">
        <v>1863</v>
      </c>
      <c r="C112" s="42" t="s">
        <v>1113</v>
      </c>
      <c r="D112" s="667">
        <v>400000</v>
      </c>
      <c r="E112" s="667">
        <f t="shared" ref="E112" si="67">D112*E$7/F$3</f>
        <v>40</v>
      </c>
      <c r="F112" s="667">
        <f t="shared" ref="F112" si="68">D112*F$7/F$3</f>
        <v>400</v>
      </c>
      <c r="G112" s="666" t="s">
        <v>34</v>
      </c>
      <c r="H112" s="666" t="s">
        <v>34</v>
      </c>
      <c r="I112" s="776" t="s">
        <v>34</v>
      </c>
      <c r="J112" s="777" t="s">
        <v>34</v>
      </c>
      <c r="K112" s="392">
        <v>500</v>
      </c>
      <c r="L112" s="392">
        <v>72</v>
      </c>
      <c r="M112" s="381" t="s">
        <v>686</v>
      </c>
      <c r="N112" s="392">
        <v>70000</v>
      </c>
      <c r="O112" s="392">
        <v>2600</v>
      </c>
      <c r="P112" s="392">
        <v>2600</v>
      </c>
      <c r="Q112" s="392" t="s">
        <v>409</v>
      </c>
      <c r="R112">
        <f t="shared" si="37"/>
        <v>104</v>
      </c>
      <c r="S112" s="20" t="s">
        <v>1112</v>
      </c>
      <c r="T112" s="20"/>
      <c r="U112" s="20"/>
      <c r="V112" t="s">
        <v>1111</v>
      </c>
      <c r="W112" s="159" t="s">
        <v>34</v>
      </c>
      <c r="AF112" t="s">
        <v>34</v>
      </c>
      <c r="AG112" s="4" t="s">
        <v>1110</v>
      </c>
      <c r="AL112" s="304">
        <f t="shared" ref="AL112" si="69">(K112/L112)*60</f>
        <v>416.66666666666669</v>
      </c>
      <c r="AM112" s="304">
        <f t="shared" ref="AM112" si="70">60*AL112</f>
        <v>25000</v>
      </c>
      <c r="AN112" s="304">
        <f t="shared" ref="AN112" si="71">AL112/60</f>
        <v>6.9444444444444446</v>
      </c>
    </row>
    <row r="113" spans="1:48" x14ac:dyDescent="0.35">
      <c r="A113">
        <f t="shared" si="36"/>
        <v>105</v>
      </c>
      <c r="B113" s="123" t="s">
        <v>2234</v>
      </c>
      <c r="C113" s="42" t="s">
        <v>874</v>
      </c>
      <c r="D113" s="667">
        <v>4400000</v>
      </c>
      <c r="E113" s="667">
        <f>D113*E$7/F$3</f>
        <v>440</v>
      </c>
      <c r="F113" s="667">
        <f>D113*F$7/F$3</f>
        <v>4400</v>
      </c>
      <c r="G113" s="666" t="s">
        <v>34</v>
      </c>
      <c r="H113" s="666" t="s">
        <v>34</v>
      </c>
      <c r="I113" s="776" t="s">
        <v>34</v>
      </c>
      <c r="J113" s="776" t="s">
        <v>34</v>
      </c>
      <c r="K113" s="392">
        <v>480</v>
      </c>
      <c r="L113" s="392">
        <v>85</v>
      </c>
      <c r="M113" s="175" t="s">
        <v>34</v>
      </c>
      <c r="N113" s="179" t="s">
        <v>34</v>
      </c>
      <c r="O113" s="392" t="s">
        <v>990</v>
      </c>
      <c r="P113" s="392"/>
      <c r="Q113" s="392"/>
      <c r="R113">
        <f t="shared" si="37"/>
        <v>105</v>
      </c>
      <c r="S113" s="4" t="s">
        <v>384</v>
      </c>
      <c r="T113" s="4"/>
      <c r="V113" s="427" t="s">
        <v>2233</v>
      </c>
      <c r="W113" s="159">
        <v>16000</v>
      </c>
      <c r="X113" s="427"/>
      <c r="Y113" s="427"/>
      <c r="Z113" s="427"/>
      <c r="AA113" s="427"/>
      <c r="AB113" s="427"/>
      <c r="AC113" s="427"/>
      <c r="AD113" s="427"/>
      <c r="AE113" s="427"/>
      <c r="AF113" t="s">
        <v>34</v>
      </c>
      <c r="AL113" s="304">
        <f>(K113/L113)*60</f>
        <v>338.82352941176475</v>
      </c>
      <c r="AM113" s="304">
        <f>60*AL113</f>
        <v>20329.411764705885</v>
      </c>
      <c r="AN113" s="304">
        <f>AL113/60</f>
        <v>5.6470588235294121</v>
      </c>
    </row>
    <row r="114" spans="1:48" x14ac:dyDescent="0.35">
      <c r="A114">
        <f t="shared" si="36"/>
        <v>106</v>
      </c>
      <c r="B114" s="123" t="s">
        <v>2236</v>
      </c>
      <c r="C114" s="42" t="s">
        <v>812</v>
      </c>
      <c r="D114" s="667">
        <v>1700000</v>
      </c>
      <c r="E114" s="666" t="s">
        <v>34</v>
      </c>
      <c r="F114" s="667">
        <f>D114*F$7/F$3</f>
        <v>1700</v>
      </c>
      <c r="G114" s="667">
        <f>D114*G$7/F$3</f>
        <v>17000</v>
      </c>
      <c r="H114" s="666" t="s">
        <v>34</v>
      </c>
      <c r="I114" s="776" t="s">
        <v>34</v>
      </c>
      <c r="J114" s="777" t="s">
        <v>34</v>
      </c>
      <c r="K114" s="392">
        <v>300</v>
      </c>
      <c r="L114" s="392">
        <f>L41</f>
        <v>3062</v>
      </c>
      <c r="M114" s="175" t="s">
        <v>396</v>
      </c>
      <c r="N114" s="179" t="s">
        <v>397</v>
      </c>
      <c r="O114" s="392" t="s">
        <v>413</v>
      </c>
      <c r="P114" s="392"/>
      <c r="Q114" s="392">
        <v>0</v>
      </c>
      <c r="R114">
        <f t="shared" si="37"/>
        <v>106</v>
      </c>
      <c r="S114" s="20" t="s">
        <v>395</v>
      </c>
      <c r="T114" s="20"/>
      <c r="U114" s="20"/>
      <c r="V114" t="s">
        <v>34</v>
      </c>
      <c r="W114" s="159" t="s">
        <v>34</v>
      </c>
      <c r="AF114" t="s">
        <v>34</v>
      </c>
      <c r="AL114" s="304">
        <f t="shared" ref="AL114:AL126" si="72">(K114/L114)*60</f>
        <v>5.8785107772697582</v>
      </c>
      <c r="AM114" s="304">
        <f t="shared" ref="AM114:AM126" si="73">60*AL114</f>
        <v>352.71064663618552</v>
      </c>
      <c r="AN114" s="304">
        <f t="shared" ref="AN114:AN126" si="74">AL114/60</f>
        <v>9.7975179621162631E-2</v>
      </c>
    </row>
    <row r="115" spans="1:48" x14ac:dyDescent="0.35">
      <c r="A115">
        <f t="shared" si="36"/>
        <v>107</v>
      </c>
      <c r="B115" s="123" t="s">
        <v>2237</v>
      </c>
      <c r="C115" s="42" t="s">
        <v>813</v>
      </c>
      <c r="D115" s="667">
        <v>2000000</v>
      </c>
      <c r="E115" s="666" t="s">
        <v>34</v>
      </c>
      <c r="F115" s="667">
        <f>D115*F$7/F$3</f>
        <v>2000</v>
      </c>
      <c r="G115" s="667">
        <f>D115*G$7/F$3</f>
        <v>20000</v>
      </c>
      <c r="H115" s="666" t="s">
        <v>34</v>
      </c>
      <c r="I115" s="776" t="s">
        <v>34</v>
      </c>
      <c r="J115" s="776" t="s">
        <v>34</v>
      </c>
      <c r="K115" s="392">
        <v>500</v>
      </c>
      <c r="L115" s="392">
        <f>L41</f>
        <v>3062</v>
      </c>
      <c r="M115" s="175" t="s">
        <v>350</v>
      </c>
      <c r="N115" s="179" t="s">
        <v>397</v>
      </c>
      <c r="O115" s="392" t="s">
        <v>346</v>
      </c>
      <c r="P115" s="392"/>
      <c r="Q115" s="392">
        <v>200</v>
      </c>
      <c r="R115">
        <f t="shared" si="37"/>
        <v>107</v>
      </c>
      <c r="S115" s="20" t="s">
        <v>384</v>
      </c>
      <c r="T115" s="20"/>
      <c r="U115" s="20"/>
      <c r="V115" t="s">
        <v>34</v>
      </c>
      <c r="W115" s="159" t="s">
        <v>34</v>
      </c>
      <c r="AF115" t="s">
        <v>34</v>
      </c>
      <c r="AL115" s="304">
        <f t="shared" si="72"/>
        <v>9.7975179621162649</v>
      </c>
      <c r="AM115" s="304">
        <f t="shared" si="73"/>
        <v>587.85107772697586</v>
      </c>
      <c r="AN115" s="304">
        <f t="shared" si="74"/>
        <v>0.16329196603527107</v>
      </c>
    </row>
    <row r="116" spans="1:48" x14ac:dyDescent="0.35">
      <c r="A116">
        <f t="shared" si="36"/>
        <v>108</v>
      </c>
      <c r="B116" s="123" t="s">
        <v>2235</v>
      </c>
      <c r="C116" s="455" t="s">
        <v>1183</v>
      </c>
      <c r="D116" s="667"/>
      <c r="E116" s="666" t="s">
        <v>34</v>
      </c>
      <c r="F116" s="666" t="s">
        <v>34</v>
      </c>
      <c r="G116" s="666" t="s">
        <v>34</v>
      </c>
      <c r="H116" s="666" t="s">
        <v>34</v>
      </c>
      <c r="I116" s="776" t="s">
        <v>34</v>
      </c>
      <c r="J116" s="776" t="s">
        <v>34</v>
      </c>
      <c r="K116" s="392">
        <v>1000</v>
      </c>
      <c r="L116" s="392"/>
      <c r="M116" s="175"/>
      <c r="N116" s="179"/>
      <c r="O116" s="392"/>
      <c r="P116" s="392">
        <v>0</v>
      </c>
      <c r="Q116" s="392">
        <v>0</v>
      </c>
      <c r="R116">
        <f t="shared" si="37"/>
        <v>108</v>
      </c>
      <c r="S116" s="20" t="s">
        <v>1184</v>
      </c>
      <c r="T116" s="20"/>
      <c r="U116" s="20"/>
      <c r="W116" s="159" t="s">
        <v>34</v>
      </c>
      <c r="AF116" t="s">
        <v>34</v>
      </c>
      <c r="AL116" s="304" t="e">
        <f t="shared" ref="AL116:AL117" si="75">(K116/L116)*60</f>
        <v>#DIV/0!</v>
      </c>
      <c r="AM116" s="304" t="e">
        <f t="shared" ref="AM116:AM117" si="76">60*AL116</f>
        <v>#DIV/0!</v>
      </c>
      <c r="AN116" s="304" t="e">
        <f t="shared" ref="AN116:AN117" si="77">AL116/60</f>
        <v>#DIV/0!</v>
      </c>
    </row>
    <row r="117" spans="1:48" x14ac:dyDescent="0.35">
      <c r="A117">
        <f t="shared" si="36"/>
        <v>109</v>
      </c>
      <c r="B117" s="615" t="s">
        <v>1486</v>
      </c>
      <c r="C117" s="600" t="s">
        <v>1001</v>
      </c>
      <c r="D117" s="767">
        <v>3000000</v>
      </c>
      <c r="E117" s="767">
        <f t="shared" ref="E117:E118" si="78">D117*E$7/F$3</f>
        <v>300</v>
      </c>
      <c r="F117" s="767">
        <f t="shared" ref="F117:F118" si="79">D117*F$7/F$3</f>
        <v>3000</v>
      </c>
      <c r="G117" s="762" t="s">
        <v>34</v>
      </c>
      <c r="H117" s="762" t="s">
        <v>34</v>
      </c>
      <c r="I117" s="778" t="s">
        <v>34</v>
      </c>
      <c r="J117" s="778" t="s">
        <v>34</v>
      </c>
      <c r="K117" s="619">
        <v>430</v>
      </c>
      <c r="L117" s="619">
        <v>5633</v>
      </c>
      <c r="M117" s="624" t="s">
        <v>494</v>
      </c>
      <c r="N117" s="619" t="s">
        <v>1483</v>
      </c>
      <c r="O117" s="619" t="s">
        <v>1362</v>
      </c>
      <c r="P117" s="619"/>
      <c r="Q117" s="619" t="s">
        <v>2591</v>
      </c>
      <c r="R117">
        <f t="shared" si="37"/>
        <v>109</v>
      </c>
      <c r="S117" s="20" t="s">
        <v>1476</v>
      </c>
      <c r="T117" s="20"/>
      <c r="U117" s="20" t="s">
        <v>1477</v>
      </c>
      <c r="V117" t="s">
        <v>1944</v>
      </c>
      <c r="W117" s="159">
        <v>1600</v>
      </c>
      <c r="X117" t="s">
        <v>2518</v>
      </c>
      <c r="Y117" t="s">
        <v>2540</v>
      </c>
      <c r="Z117" t="s">
        <v>1485</v>
      </c>
      <c r="AL117" s="304">
        <f t="shared" si="75"/>
        <v>4.5801526717557257</v>
      </c>
      <c r="AM117" s="304">
        <f t="shared" si="76"/>
        <v>274.80916030534354</v>
      </c>
      <c r="AN117" s="304">
        <f t="shared" si="77"/>
        <v>7.6335877862595422E-2</v>
      </c>
    </row>
    <row r="118" spans="1:48" x14ac:dyDescent="0.35">
      <c r="A118">
        <f t="shared" si="36"/>
        <v>110</v>
      </c>
      <c r="B118" s="615" t="s">
        <v>1521</v>
      </c>
      <c r="C118" s="600" t="s">
        <v>865</v>
      </c>
      <c r="D118" s="767">
        <v>15000000</v>
      </c>
      <c r="E118" s="767">
        <f t="shared" si="78"/>
        <v>1500</v>
      </c>
      <c r="F118" s="767">
        <f t="shared" si="79"/>
        <v>15000</v>
      </c>
      <c r="G118" s="762"/>
      <c r="H118" s="762"/>
      <c r="I118" s="778"/>
      <c r="J118" s="778"/>
      <c r="K118" s="619">
        <v>11500</v>
      </c>
      <c r="L118" s="619">
        <v>28200</v>
      </c>
      <c r="M118" s="624" t="s">
        <v>533</v>
      </c>
      <c r="N118" s="619">
        <v>1300</v>
      </c>
      <c r="O118" s="619" t="s">
        <v>346</v>
      </c>
      <c r="P118" s="619"/>
      <c r="Q118" s="619"/>
      <c r="R118">
        <f t="shared" si="37"/>
        <v>110</v>
      </c>
      <c r="S118" s="20" t="s">
        <v>1478</v>
      </c>
      <c r="T118" s="20"/>
      <c r="U118" s="20" t="s">
        <v>1479</v>
      </c>
      <c r="V118" t="s">
        <v>1945</v>
      </c>
      <c r="W118" s="159">
        <v>30000</v>
      </c>
      <c r="X118" t="s">
        <v>1520</v>
      </c>
      <c r="Y118" t="s">
        <v>2764</v>
      </c>
      <c r="Z118" t="s">
        <v>1518</v>
      </c>
      <c r="AD118" t="s">
        <v>2763</v>
      </c>
      <c r="AL118" s="304">
        <f t="shared" ref="AL118" si="80">(K118/L118)*60</f>
        <v>24.468085106382979</v>
      </c>
      <c r="AM118" s="304">
        <f t="shared" ref="AM118" si="81">60*AL118</f>
        <v>1468.0851063829787</v>
      </c>
      <c r="AN118" s="304">
        <f t="shared" ref="AN118" si="82">AL118/60</f>
        <v>0.40780141843971635</v>
      </c>
    </row>
    <row r="119" spans="1:48" x14ac:dyDescent="0.35">
      <c r="A119">
        <f t="shared" si="36"/>
        <v>111</v>
      </c>
      <c r="B119" s="123" t="s">
        <v>2512</v>
      </c>
      <c r="C119" s="455" t="s">
        <v>2510</v>
      </c>
      <c r="D119" s="667"/>
      <c r="E119" s="666" t="s">
        <v>34</v>
      </c>
      <c r="F119" s="666" t="s">
        <v>34</v>
      </c>
      <c r="G119" s="666" t="s">
        <v>34</v>
      </c>
      <c r="H119" s="666" t="s">
        <v>34</v>
      </c>
      <c r="I119" s="776" t="s">
        <v>34</v>
      </c>
      <c r="J119" s="777" t="s">
        <v>34</v>
      </c>
      <c r="K119" s="392">
        <v>300</v>
      </c>
      <c r="L119" s="392"/>
      <c r="M119" s="175"/>
      <c r="N119" s="392">
        <v>500</v>
      </c>
      <c r="O119" s="392"/>
      <c r="P119" s="392"/>
      <c r="Q119" s="392"/>
      <c r="R119">
        <f t="shared" si="37"/>
        <v>111</v>
      </c>
      <c r="S119" s="20" t="s">
        <v>2515</v>
      </c>
      <c r="T119" s="20"/>
      <c r="U119" s="20"/>
      <c r="V119" t="s">
        <v>2516</v>
      </c>
      <c r="X119" t="s">
        <v>2517</v>
      </c>
      <c r="AL119" s="304" t="e">
        <f t="shared" ref="AL119:AL125" si="83">(K119/L119)*60</f>
        <v>#DIV/0!</v>
      </c>
      <c r="AM119" s="304" t="e">
        <f t="shared" ref="AM119:AM125" si="84">60*AL119</f>
        <v>#DIV/0!</v>
      </c>
      <c r="AN119" s="304" t="e">
        <f t="shared" ref="AN119:AN125" si="85">AL119/60</f>
        <v>#DIV/0!</v>
      </c>
    </row>
    <row r="120" spans="1:48" x14ac:dyDescent="0.35">
      <c r="A120">
        <f t="shared" si="36"/>
        <v>112</v>
      </c>
      <c r="B120" s="123" t="s">
        <v>2513</v>
      </c>
      <c r="C120" s="455" t="s">
        <v>865</v>
      </c>
      <c r="D120" s="667">
        <v>3000000</v>
      </c>
      <c r="E120" s="667">
        <f>D120*E$7/F$3</f>
        <v>300</v>
      </c>
      <c r="F120" s="666" t="s">
        <v>34</v>
      </c>
      <c r="G120" s="666" t="s">
        <v>34</v>
      </c>
      <c r="H120" s="666" t="s">
        <v>34</v>
      </c>
      <c r="I120" s="776" t="s">
        <v>34</v>
      </c>
      <c r="J120" s="777" t="s">
        <v>34</v>
      </c>
      <c r="K120" s="392">
        <v>1600</v>
      </c>
      <c r="L120" s="392">
        <v>1041</v>
      </c>
      <c r="M120" s="175" t="s">
        <v>2514</v>
      </c>
      <c r="N120" s="392">
        <v>220</v>
      </c>
      <c r="O120" s="392" t="s">
        <v>410</v>
      </c>
      <c r="P120" s="392" t="s">
        <v>410</v>
      </c>
      <c r="Q120" s="392" t="s">
        <v>483</v>
      </c>
      <c r="R120">
        <f t="shared" si="37"/>
        <v>112</v>
      </c>
      <c r="S120" s="20" t="s">
        <v>2511</v>
      </c>
      <c r="T120" s="20"/>
      <c r="U120" s="20"/>
      <c r="W120" s="159">
        <v>1600</v>
      </c>
      <c r="AL120" s="304">
        <f t="shared" si="83"/>
        <v>92.21902017291066</v>
      </c>
      <c r="AM120" s="304">
        <f t="shared" si="84"/>
        <v>5533.1412103746397</v>
      </c>
      <c r="AN120" s="304">
        <f t="shared" si="85"/>
        <v>1.5369836695485111</v>
      </c>
    </row>
    <row r="121" spans="1:48" x14ac:dyDescent="0.35">
      <c r="A121">
        <f t="shared" si="36"/>
        <v>113</v>
      </c>
      <c r="B121" s="123" t="s">
        <v>1522</v>
      </c>
      <c r="C121" s="455" t="s">
        <v>893</v>
      </c>
      <c r="D121" s="667">
        <v>7000000</v>
      </c>
      <c r="E121" s="667">
        <f>D121*E$7/F$3</f>
        <v>700</v>
      </c>
      <c r="F121" s="667">
        <f>D121*F$7/F$3</f>
        <v>7000</v>
      </c>
      <c r="G121" s="666" t="s">
        <v>34</v>
      </c>
      <c r="H121" s="666" t="s">
        <v>34</v>
      </c>
      <c r="I121" s="776" t="s">
        <v>34</v>
      </c>
      <c r="J121" s="777" t="s">
        <v>34</v>
      </c>
      <c r="K121" s="392">
        <v>14000</v>
      </c>
      <c r="L121" s="392">
        <v>28200</v>
      </c>
      <c r="M121" s="175" t="s">
        <v>662</v>
      </c>
      <c r="N121" s="541" t="s">
        <v>1524</v>
      </c>
      <c r="O121" s="392">
        <v>1000</v>
      </c>
      <c r="P121" s="392">
        <v>400</v>
      </c>
      <c r="Q121" s="392"/>
      <c r="R121">
        <f t="shared" si="37"/>
        <v>113</v>
      </c>
      <c r="S121" s="20" t="s">
        <v>1523</v>
      </c>
      <c r="T121" s="20"/>
      <c r="U121" s="20"/>
      <c r="W121" s="159">
        <v>36000</v>
      </c>
      <c r="AL121" s="304">
        <f t="shared" si="83"/>
        <v>29.787234042553191</v>
      </c>
      <c r="AM121" s="304">
        <f t="shared" si="84"/>
        <v>1787.2340425531916</v>
      </c>
      <c r="AN121" s="304">
        <f t="shared" si="85"/>
        <v>0.49645390070921985</v>
      </c>
    </row>
    <row r="122" spans="1:48" x14ac:dyDescent="0.35">
      <c r="A122">
        <f t="shared" si="36"/>
        <v>114</v>
      </c>
      <c r="B122" s="123" t="s">
        <v>2664</v>
      </c>
      <c r="C122" s="42" t="s">
        <v>2401</v>
      </c>
      <c r="D122" s="666" t="s">
        <v>34</v>
      </c>
      <c r="E122" s="666" t="s">
        <v>34</v>
      </c>
      <c r="F122" s="666" t="s">
        <v>34</v>
      </c>
      <c r="G122" s="666" t="s">
        <v>34</v>
      </c>
      <c r="H122" s="666" t="s">
        <v>34</v>
      </c>
      <c r="I122" s="776" t="s">
        <v>34</v>
      </c>
      <c r="J122" s="777" t="s">
        <v>34</v>
      </c>
      <c r="K122" s="105" t="s">
        <v>34</v>
      </c>
      <c r="L122" s="392">
        <v>0</v>
      </c>
      <c r="M122" s="381">
        <v>0</v>
      </c>
      <c r="N122" s="554" t="s">
        <v>2665</v>
      </c>
      <c r="O122" s="392">
        <v>0</v>
      </c>
      <c r="P122" s="392">
        <v>0</v>
      </c>
      <c r="Q122" s="392"/>
      <c r="R122">
        <f t="shared" si="37"/>
        <v>114</v>
      </c>
      <c r="S122" s="4" t="s">
        <v>2403</v>
      </c>
      <c r="T122" s="4"/>
      <c r="U122" s="395" t="s">
        <v>2402</v>
      </c>
      <c r="V122" s="427"/>
      <c r="W122" s="159">
        <v>25000</v>
      </c>
      <c r="X122" s="427"/>
      <c r="Y122" s="427"/>
      <c r="AA122" s="427"/>
      <c r="AB122" s="427"/>
      <c r="AC122" s="427"/>
      <c r="AD122" s="427"/>
      <c r="AE122" s="427"/>
      <c r="AL122" s="304" t="e">
        <f t="shared" si="83"/>
        <v>#VALUE!</v>
      </c>
      <c r="AM122" s="304" t="e">
        <f t="shared" si="84"/>
        <v>#VALUE!</v>
      </c>
      <c r="AN122" s="304" t="e">
        <f t="shared" si="85"/>
        <v>#VALUE!</v>
      </c>
    </row>
    <row r="123" spans="1:48" x14ac:dyDescent="0.35">
      <c r="A123">
        <f t="shared" si="36"/>
        <v>115</v>
      </c>
      <c r="B123" s="800" t="s">
        <v>2666</v>
      </c>
      <c r="C123" s="801" t="s">
        <v>2404</v>
      </c>
      <c r="D123" s="802"/>
      <c r="E123" s="802"/>
      <c r="F123" s="802"/>
      <c r="G123" s="803"/>
      <c r="H123" s="803"/>
      <c r="I123" s="804"/>
      <c r="J123" s="805"/>
      <c r="K123" s="806"/>
      <c r="L123" s="807"/>
      <c r="M123" s="808"/>
      <c r="N123" s="809" t="s">
        <v>2405</v>
      </c>
      <c r="O123" s="807"/>
      <c r="P123" s="807"/>
      <c r="Q123" s="807"/>
      <c r="R123">
        <f t="shared" si="37"/>
        <v>115</v>
      </c>
      <c r="S123" s="395" t="s">
        <v>2403</v>
      </c>
      <c r="T123" s="395"/>
      <c r="U123" s="395"/>
      <c r="V123" t="s">
        <v>2667</v>
      </c>
      <c r="W123" s="159" t="s">
        <v>34</v>
      </c>
      <c r="AF123" t="s">
        <v>34</v>
      </c>
      <c r="AL123" s="304" t="e">
        <f t="shared" si="83"/>
        <v>#DIV/0!</v>
      </c>
      <c r="AM123" s="304" t="e">
        <f t="shared" si="84"/>
        <v>#DIV/0!</v>
      </c>
      <c r="AN123" s="304" t="e">
        <f t="shared" si="85"/>
        <v>#DIV/0!</v>
      </c>
    </row>
    <row r="124" spans="1:48" x14ac:dyDescent="0.35">
      <c r="A124">
        <f t="shared" si="36"/>
        <v>116</v>
      </c>
      <c r="B124" s="123" t="s">
        <v>2406</v>
      </c>
      <c r="C124" s="42" t="s">
        <v>2409</v>
      </c>
      <c r="D124" s="667"/>
      <c r="E124" s="667"/>
      <c r="F124" s="667"/>
      <c r="G124" s="666"/>
      <c r="H124" s="666"/>
      <c r="I124" s="776"/>
      <c r="J124" s="777"/>
      <c r="K124" s="105"/>
      <c r="L124" s="392"/>
      <c r="M124" s="381"/>
      <c r="N124" s="554" t="s">
        <v>2407</v>
      </c>
      <c r="O124" s="392"/>
      <c r="P124" s="392"/>
      <c r="Q124" s="392"/>
      <c r="R124">
        <f t="shared" si="37"/>
        <v>116</v>
      </c>
      <c r="S124" s="395" t="s">
        <v>2408</v>
      </c>
      <c r="T124" s="395"/>
      <c r="U124" s="395"/>
      <c r="W124" s="159" t="s">
        <v>34</v>
      </c>
      <c r="AF124" t="s">
        <v>34</v>
      </c>
      <c r="AL124" s="304" t="e">
        <f t="shared" si="83"/>
        <v>#DIV/0!</v>
      </c>
      <c r="AM124" s="304" t="e">
        <f t="shared" si="84"/>
        <v>#DIV/0!</v>
      </c>
      <c r="AN124" s="304" t="e">
        <f t="shared" si="85"/>
        <v>#DIV/0!</v>
      </c>
    </row>
    <row r="125" spans="1:48" x14ac:dyDescent="0.35">
      <c r="A125">
        <f t="shared" si="36"/>
        <v>117</v>
      </c>
      <c r="B125" s="123" t="s">
        <v>1185</v>
      </c>
      <c r="C125" s="42" t="s">
        <v>755</v>
      </c>
      <c r="D125" s="667">
        <v>41000000</v>
      </c>
      <c r="E125" s="667">
        <f>D125*E$7/F$3</f>
        <v>4100</v>
      </c>
      <c r="F125" s="667">
        <f>D125*F$7/F$3</f>
        <v>41000</v>
      </c>
      <c r="G125" s="666" t="s">
        <v>34</v>
      </c>
      <c r="H125" s="666" t="s">
        <v>34</v>
      </c>
      <c r="I125" s="776" t="s">
        <v>34</v>
      </c>
      <c r="J125" s="777" t="s">
        <v>34</v>
      </c>
      <c r="K125" s="392">
        <v>3000</v>
      </c>
      <c r="L125" s="392">
        <v>5960</v>
      </c>
      <c r="M125" s="175" t="s">
        <v>662</v>
      </c>
      <c r="N125" s="179" t="s">
        <v>1180</v>
      </c>
      <c r="O125" s="392"/>
      <c r="P125" s="392"/>
      <c r="Q125" s="392"/>
      <c r="R125">
        <f t="shared" si="37"/>
        <v>117</v>
      </c>
      <c r="S125" s="20" t="s">
        <v>1186</v>
      </c>
      <c r="T125" s="20"/>
      <c r="U125" s="20"/>
      <c r="W125" s="159" t="s">
        <v>34</v>
      </c>
      <c r="AF125" t="s">
        <v>34</v>
      </c>
      <c r="AL125" s="304">
        <f t="shared" si="83"/>
        <v>30.201342281879199</v>
      </c>
      <c r="AM125" s="304">
        <f t="shared" si="84"/>
        <v>1812.080536912752</v>
      </c>
      <c r="AN125" s="304">
        <f t="shared" si="85"/>
        <v>0.50335570469798663</v>
      </c>
    </row>
    <row r="126" spans="1:48" x14ac:dyDescent="0.35">
      <c r="A126">
        <f t="shared" si="36"/>
        <v>118</v>
      </c>
      <c r="B126" s="123" t="s">
        <v>523</v>
      </c>
      <c r="C126" s="42" t="s">
        <v>814</v>
      </c>
      <c r="D126" s="667">
        <v>1634250</v>
      </c>
      <c r="E126" s="667">
        <f>D126*E$7/F$3</f>
        <v>163.42500000000001</v>
      </c>
      <c r="F126" s="667">
        <f>D126*F$7/F$3</f>
        <v>1634.25</v>
      </c>
      <c r="G126" s="666" t="s">
        <v>34</v>
      </c>
      <c r="H126" s="666" t="s">
        <v>34</v>
      </c>
      <c r="I126" s="776" t="s">
        <v>34</v>
      </c>
      <c r="J126" s="777" t="s">
        <v>34</v>
      </c>
      <c r="K126" s="105">
        <v>500</v>
      </c>
      <c r="L126" s="392">
        <v>1073</v>
      </c>
      <c r="M126" s="381" t="s">
        <v>490</v>
      </c>
      <c r="N126" s="179" t="s">
        <v>489</v>
      </c>
      <c r="O126" s="392">
        <v>800</v>
      </c>
      <c r="P126" s="392"/>
      <c r="Q126" s="392">
        <v>0</v>
      </c>
      <c r="R126">
        <f t="shared" si="37"/>
        <v>118</v>
      </c>
      <c r="S126" s="20" t="s">
        <v>484</v>
      </c>
      <c r="T126" s="20"/>
      <c r="U126" s="20"/>
      <c r="V126" t="s">
        <v>34</v>
      </c>
      <c r="W126" s="159">
        <v>1400</v>
      </c>
      <c r="X126" t="s">
        <v>2571</v>
      </c>
      <c r="Y126" t="s">
        <v>2668</v>
      </c>
      <c r="AF126" t="s">
        <v>34</v>
      </c>
      <c r="AL126" s="304">
        <f t="shared" si="72"/>
        <v>27.958993476234856</v>
      </c>
      <c r="AM126" s="304">
        <f t="shared" si="73"/>
        <v>1677.5396085740913</v>
      </c>
      <c r="AN126" s="304">
        <f t="shared" si="74"/>
        <v>0.46598322460391428</v>
      </c>
    </row>
    <row r="127" spans="1:48" x14ac:dyDescent="0.35">
      <c r="A127">
        <f t="shared" si="36"/>
        <v>119</v>
      </c>
      <c r="B127" s="477" t="str">
        <f>B11</f>
        <v>R-360 UKR Neptune anti-ship cruise missile</v>
      </c>
      <c r="C127" s="478" t="str">
        <f>C11</f>
        <v>2021-</v>
      </c>
      <c r="D127" s="766" t="s">
        <v>34</v>
      </c>
      <c r="E127" s="766" t="str">
        <f t="shared" ref="E127:J127" si="86">E11</f>
        <v>-</v>
      </c>
      <c r="F127" s="766" t="str">
        <f t="shared" si="86"/>
        <v>-</v>
      </c>
      <c r="G127" s="766" t="str">
        <f t="shared" si="86"/>
        <v>-</v>
      </c>
      <c r="H127" s="766" t="str">
        <f t="shared" si="86"/>
        <v>-</v>
      </c>
      <c r="I127" s="772" t="str">
        <f t="shared" si="86"/>
        <v>-</v>
      </c>
      <c r="J127" s="773" t="str">
        <f t="shared" si="86"/>
        <v>-</v>
      </c>
      <c r="K127" s="481">
        <v>500</v>
      </c>
      <c r="L127" s="481">
        <v>1182</v>
      </c>
      <c r="M127" s="482" t="s">
        <v>533</v>
      </c>
      <c r="N127" s="483">
        <v>300</v>
      </c>
      <c r="O127" s="484" t="str">
        <f>O11</f>
        <v>&lt;100</v>
      </c>
      <c r="P127" s="484"/>
      <c r="Q127" s="484"/>
      <c r="R127">
        <f t="shared" si="37"/>
        <v>119</v>
      </c>
      <c r="S127" s="20" t="str">
        <f>S11</f>
        <v>https://en.wikipedia.org/wiki/R-360_Neptune</v>
      </c>
      <c r="T127" s="20"/>
      <c r="U127" s="20"/>
      <c r="V127" t="s">
        <v>34</v>
      </c>
      <c r="W127" s="159" t="s">
        <v>34</v>
      </c>
      <c r="AF127" t="s">
        <v>34</v>
      </c>
      <c r="AG127" t="s">
        <v>1031</v>
      </c>
      <c r="AH127" s="4" t="s">
        <v>1022</v>
      </c>
      <c r="AI127" t="s">
        <v>1023</v>
      </c>
      <c r="AJ127" s="543">
        <f>0.78*404</f>
        <v>315.12</v>
      </c>
      <c r="AK127" t="s">
        <v>1021</v>
      </c>
      <c r="AL127" s="304">
        <f>(K127/L127)*60</f>
        <v>25.380710659898476</v>
      </c>
      <c r="AM127" s="304">
        <f t="shared" ref="AM127:AM128" si="87">60*AL127</f>
        <v>1522.8426395939086</v>
      </c>
      <c r="AN127" s="304">
        <f t="shared" ref="AN127:AN128" si="88">AL127/60</f>
        <v>0.42301184433164124</v>
      </c>
      <c r="AO127" t="s">
        <v>1947</v>
      </c>
      <c r="AP127" s="159">
        <f>870-(86+AS127+300)</f>
        <v>350.70050761421317</v>
      </c>
      <c r="AQ127" t="s">
        <v>1024</v>
      </c>
      <c r="AR127" t="s">
        <v>1041</v>
      </c>
      <c r="AS127" s="8">
        <f>AJ127*(AL127/60)</f>
        <v>133.29949238578678</v>
      </c>
      <c r="AT127" t="s">
        <v>1036</v>
      </c>
      <c r="AU127" s="448" t="s">
        <v>1948</v>
      </c>
      <c r="AV127" s="545" t="s">
        <v>190</v>
      </c>
    </row>
    <row r="128" spans="1:48" x14ac:dyDescent="0.35">
      <c r="A128">
        <f t="shared" si="36"/>
        <v>120</v>
      </c>
      <c r="B128" s="51" t="s">
        <v>1038</v>
      </c>
      <c r="C128" s="417" t="s">
        <v>1054</v>
      </c>
      <c r="D128" s="667">
        <v>950000</v>
      </c>
      <c r="E128" s="667">
        <f t="shared" ref="E128:E137" si="89">D128*E$7/F$3</f>
        <v>95</v>
      </c>
      <c r="F128" s="667">
        <f t="shared" ref="F128:F136" si="90">D128*F$7/F$3</f>
        <v>950</v>
      </c>
      <c r="G128" s="666" t="s">
        <v>34</v>
      </c>
      <c r="H128" s="666" t="s">
        <v>34</v>
      </c>
      <c r="I128" s="776" t="s">
        <v>34</v>
      </c>
      <c r="J128" s="777" t="s">
        <v>34</v>
      </c>
      <c r="K128" s="105">
        <v>600</v>
      </c>
      <c r="L128" s="105">
        <v>908</v>
      </c>
      <c r="M128" s="175" t="s">
        <v>1037</v>
      </c>
      <c r="N128" s="123" t="s">
        <v>1267</v>
      </c>
      <c r="O128" s="392" t="s">
        <v>483</v>
      </c>
      <c r="P128" s="541" t="s">
        <v>1272</v>
      </c>
      <c r="Q128" s="541" t="s">
        <v>1271</v>
      </c>
      <c r="R128">
        <f t="shared" si="37"/>
        <v>120</v>
      </c>
      <c r="S128" s="20" t="str">
        <f>S13</f>
        <v>https://en.wikipedia.org/wiki/Harpoon_(missile)</v>
      </c>
      <c r="T128" s="20"/>
      <c r="U128" s="20"/>
      <c r="W128" s="159" t="s">
        <v>34</v>
      </c>
      <c r="AF128" t="s">
        <v>34</v>
      </c>
      <c r="AG128" t="s">
        <v>1031</v>
      </c>
      <c r="AH128" s="4" t="s">
        <v>1022</v>
      </c>
      <c r="AI128" t="s">
        <v>1023</v>
      </c>
      <c r="AJ128" s="543">
        <f>0.78*404</f>
        <v>315.12</v>
      </c>
      <c r="AK128" t="s">
        <v>1021</v>
      </c>
      <c r="AL128" s="304">
        <f>(K128/L128)*60</f>
        <v>39.647577092511014</v>
      </c>
      <c r="AM128" s="304">
        <f t="shared" si="87"/>
        <v>2378.8546255506608</v>
      </c>
      <c r="AN128" s="304">
        <f t="shared" si="88"/>
        <v>0.66079295154185025</v>
      </c>
      <c r="AO128" t="s">
        <v>1949</v>
      </c>
      <c r="AP128" s="159">
        <f>980-(86+AS128+300)</f>
        <v>385.77092511013211</v>
      </c>
      <c r="AQ128" t="s">
        <v>1024</v>
      </c>
      <c r="AR128" t="s">
        <v>1042</v>
      </c>
      <c r="AS128" s="8">
        <f>AJ128*(AL128/60)</f>
        <v>208.22907488986786</v>
      </c>
      <c r="AT128" t="s">
        <v>1036</v>
      </c>
      <c r="AU128" s="448" t="s">
        <v>1049</v>
      </c>
      <c r="AV128" s="545"/>
    </row>
    <row r="129" spans="1:48" x14ac:dyDescent="0.35">
      <c r="A129">
        <f t="shared" si="36"/>
        <v>121</v>
      </c>
      <c r="B129" s="51" t="s">
        <v>1266</v>
      </c>
      <c r="C129" s="417" t="s">
        <v>1054</v>
      </c>
      <c r="D129" s="667">
        <v>950000</v>
      </c>
      <c r="E129" s="667">
        <f t="shared" ref="E129" si="91">D129*E$7/F$3</f>
        <v>95</v>
      </c>
      <c r="F129" s="667">
        <f t="shared" ref="F129" si="92">D129*F$7/F$3</f>
        <v>950</v>
      </c>
      <c r="G129" s="666" t="s">
        <v>34</v>
      </c>
      <c r="H129" s="666" t="s">
        <v>34</v>
      </c>
      <c r="I129" s="776" t="s">
        <v>34</v>
      </c>
      <c r="J129" s="777" t="s">
        <v>34</v>
      </c>
      <c r="K129" s="105">
        <v>1035</v>
      </c>
      <c r="L129" s="105">
        <v>908</v>
      </c>
      <c r="M129" s="175" t="s">
        <v>1268</v>
      </c>
      <c r="N129" s="123" t="s">
        <v>1950</v>
      </c>
      <c r="O129" s="392" t="s">
        <v>483</v>
      </c>
      <c r="P129" s="392"/>
      <c r="Q129" s="392"/>
      <c r="R129">
        <f t="shared" si="37"/>
        <v>121</v>
      </c>
      <c r="S129" s="20" t="str">
        <f>S14</f>
        <v>https://en.wikipedia.org/wiki/AGM-158C_LRASM</v>
      </c>
      <c r="T129" s="20"/>
      <c r="U129" s="20"/>
      <c r="W129" s="159" t="s">
        <v>34</v>
      </c>
      <c r="AF129" t="s">
        <v>34</v>
      </c>
      <c r="AG129" t="s">
        <v>1031</v>
      </c>
      <c r="AH129" s="4" t="s">
        <v>1022</v>
      </c>
      <c r="AI129" t="s">
        <v>1023</v>
      </c>
      <c r="AJ129" s="543">
        <f>0.78*404</f>
        <v>315.12</v>
      </c>
      <c r="AK129" t="s">
        <v>1021</v>
      </c>
      <c r="AL129" s="304">
        <f>(K129/L129)*60</f>
        <v>68.392070484581495</v>
      </c>
      <c r="AM129" s="304">
        <f t="shared" ref="AM129" si="93">60*AL129</f>
        <v>4103.5242290748902</v>
      </c>
      <c r="AN129" s="304">
        <f t="shared" ref="AN129" si="94">AL129/60</f>
        <v>1.1398678414096917</v>
      </c>
      <c r="AO129" t="s">
        <v>1951</v>
      </c>
      <c r="AP129" s="159">
        <f>980-(86+AS129+150)</f>
        <v>384.80484581497797</v>
      </c>
      <c r="AQ129" t="s">
        <v>1024</v>
      </c>
      <c r="AR129" t="s">
        <v>1042</v>
      </c>
      <c r="AS129" s="8">
        <f>AJ129*(AL129/60)</f>
        <v>359.19515418502203</v>
      </c>
      <c r="AT129" t="s">
        <v>1036</v>
      </c>
      <c r="AU129" s="448" t="s">
        <v>1049</v>
      </c>
      <c r="AV129" s="545"/>
    </row>
    <row r="130" spans="1:48" x14ac:dyDescent="0.35">
      <c r="A130">
        <f t="shared" si="36"/>
        <v>122</v>
      </c>
      <c r="B130" s="477" t="s">
        <v>1035</v>
      </c>
      <c r="C130" s="546" t="s">
        <v>1034</v>
      </c>
      <c r="D130" s="765">
        <v>950000</v>
      </c>
      <c r="E130" s="765">
        <f t="shared" si="89"/>
        <v>95</v>
      </c>
      <c r="F130" s="765">
        <f t="shared" si="90"/>
        <v>950</v>
      </c>
      <c r="G130" s="766" t="s">
        <v>34</v>
      </c>
      <c r="H130" s="766" t="s">
        <v>34</v>
      </c>
      <c r="I130" s="772" t="s">
        <v>34</v>
      </c>
      <c r="J130" s="773" t="s">
        <v>34</v>
      </c>
      <c r="K130" s="481">
        <v>900</v>
      </c>
      <c r="L130" s="481">
        <v>1210</v>
      </c>
      <c r="M130" s="510" t="s">
        <v>1050</v>
      </c>
      <c r="N130" s="516" t="str">
        <f>N105</f>
        <v>450/120</v>
      </c>
      <c r="O130" s="484">
        <v>0</v>
      </c>
      <c r="P130" s="484"/>
      <c r="Q130" s="484" t="s">
        <v>843</v>
      </c>
      <c r="R130">
        <f t="shared" si="37"/>
        <v>122</v>
      </c>
      <c r="S130" s="20" t="s">
        <v>169</v>
      </c>
      <c r="T130" s="20"/>
      <c r="U130" s="20"/>
      <c r="V130" s="427" t="s">
        <v>1952</v>
      </c>
      <c r="W130" s="159" t="s">
        <v>34</v>
      </c>
      <c r="X130" s="427"/>
      <c r="Y130" s="427"/>
      <c r="Z130" s="427"/>
      <c r="AA130" s="427"/>
      <c r="AB130" s="427"/>
      <c r="AC130" s="427"/>
      <c r="AD130" s="427"/>
      <c r="AE130" s="427"/>
      <c r="AF130" t="s">
        <v>34</v>
      </c>
      <c r="AG130" s="427" t="s">
        <v>1020</v>
      </c>
      <c r="AH130" s="4" t="s">
        <v>1019</v>
      </c>
      <c r="AI130" t="s">
        <v>1051</v>
      </c>
      <c r="AJ130" s="543">
        <f>0.683*635</f>
        <v>433.70500000000004</v>
      </c>
      <c r="AK130" t="s">
        <v>1021</v>
      </c>
      <c r="AL130" s="304">
        <f>(K130/L130)*60</f>
        <v>44.628099173553714</v>
      </c>
      <c r="AM130" s="304">
        <f t="shared" ref="AM130:AM136" si="95">60*AL130</f>
        <v>2677.6859504132231</v>
      </c>
      <c r="AN130" s="304">
        <f t="shared" ref="AN130:AN136" si="96">AL130/60</f>
        <v>0.74380165289256195</v>
      </c>
      <c r="AO130" t="s">
        <v>1052</v>
      </c>
      <c r="AP130" s="159">
        <f>1200-(30+AS130+450)</f>
        <v>397.4095041322314</v>
      </c>
      <c r="AQ130" t="s">
        <v>1024</v>
      </c>
      <c r="AR130" t="s">
        <v>1953</v>
      </c>
      <c r="AS130" s="8">
        <f>AJ130*(AL130/60)</f>
        <v>322.5904958677686</v>
      </c>
      <c r="AT130" t="s">
        <v>1036</v>
      </c>
      <c r="AU130" s="448" t="s">
        <v>1954</v>
      </c>
      <c r="AV130" s="545" t="s">
        <v>1955</v>
      </c>
    </row>
    <row r="131" spans="1:48" x14ac:dyDescent="0.35">
      <c r="A131">
        <f t="shared" si="36"/>
        <v>123</v>
      </c>
      <c r="B131" s="477" t="s">
        <v>1956</v>
      </c>
      <c r="C131" s="514" t="s">
        <v>1957</v>
      </c>
      <c r="D131" s="766">
        <v>3000000</v>
      </c>
      <c r="E131" s="765">
        <f t="shared" si="89"/>
        <v>300</v>
      </c>
      <c r="F131" s="765">
        <f t="shared" si="90"/>
        <v>3000</v>
      </c>
      <c r="G131" s="766" t="s">
        <v>34</v>
      </c>
      <c r="H131" s="766" t="s">
        <v>34</v>
      </c>
      <c r="I131" s="772" t="s">
        <v>34</v>
      </c>
      <c r="J131" s="773" t="s">
        <v>34</v>
      </c>
      <c r="K131" s="481">
        <v>500</v>
      </c>
      <c r="L131" s="481">
        <v>7200</v>
      </c>
      <c r="M131" s="510" t="s">
        <v>1018</v>
      </c>
      <c r="N131" s="483">
        <v>500</v>
      </c>
      <c r="O131" s="484" t="s">
        <v>848</v>
      </c>
      <c r="P131" s="484" t="s">
        <v>848</v>
      </c>
      <c r="Q131" s="484" t="s">
        <v>34</v>
      </c>
      <c r="R131">
        <f t="shared" si="37"/>
        <v>123</v>
      </c>
      <c r="S131" s="20" t="s">
        <v>849</v>
      </c>
      <c r="T131" s="20"/>
      <c r="U131" s="20"/>
      <c r="V131" s="4"/>
      <c r="W131" s="159" t="s">
        <v>34</v>
      </c>
      <c r="X131" s="395"/>
      <c r="Y131" s="395"/>
      <c r="Z131" s="395"/>
      <c r="AA131" s="395"/>
      <c r="AB131" s="395"/>
      <c r="AC131" s="395"/>
      <c r="AD131" s="395"/>
      <c r="AE131" s="395"/>
      <c r="AF131" t="s">
        <v>34</v>
      </c>
      <c r="AG131" s="468"/>
      <c r="AL131" s="304">
        <f>(K131/L131)*60</f>
        <v>4.166666666666667</v>
      </c>
      <c r="AM131" s="304">
        <f t="shared" ref="AM131" si="97">60*AL131</f>
        <v>250.00000000000003</v>
      </c>
      <c r="AN131" s="304">
        <f t="shared" ref="AN131" si="98">AL131/60</f>
        <v>6.9444444444444448E-2</v>
      </c>
    </row>
    <row r="132" spans="1:48" x14ac:dyDescent="0.35">
      <c r="A132">
        <f t="shared" si="36"/>
        <v>124</v>
      </c>
      <c r="B132" s="487" t="s">
        <v>1016</v>
      </c>
      <c r="C132" s="488" t="s">
        <v>816</v>
      </c>
      <c r="D132" s="769">
        <v>3000000</v>
      </c>
      <c r="E132" s="769">
        <f t="shared" si="89"/>
        <v>300</v>
      </c>
      <c r="F132" s="769">
        <f t="shared" si="90"/>
        <v>3000</v>
      </c>
      <c r="G132" s="763" t="s">
        <v>34</v>
      </c>
      <c r="H132" s="763" t="s">
        <v>34</v>
      </c>
      <c r="I132" s="774" t="s">
        <v>34</v>
      </c>
      <c r="J132" s="775" t="s">
        <v>34</v>
      </c>
      <c r="K132" s="491">
        <v>500</v>
      </c>
      <c r="L132" s="494">
        <v>7200</v>
      </c>
      <c r="M132" s="509" t="s">
        <v>1018</v>
      </c>
      <c r="N132" s="497" t="s">
        <v>521</v>
      </c>
      <c r="O132" s="494" t="s">
        <v>548</v>
      </c>
      <c r="P132" s="494"/>
      <c r="Q132" s="466">
        <v>1000</v>
      </c>
      <c r="R132">
        <f t="shared" si="37"/>
        <v>124</v>
      </c>
      <c r="S132" s="20" t="s">
        <v>519</v>
      </c>
      <c r="T132" s="20"/>
      <c r="U132" s="20"/>
      <c r="V132" t="s">
        <v>1958</v>
      </c>
      <c r="W132" s="159" t="s">
        <v>34</v>
      </c>
      <c r="AF132" t="s">
        <v>34</v>
      </c>
      <c r="AL132" s="304">
        <f t="shared" ref="AL132:AL136" si="99">(K132/L132)*60</f>
        <v>4.166666666666667</v>
      </c>
      <c r="AM132" s="304">
        <f t="shared" si="95"/>
        <v>250.00000000000003</v>
      </c>
      <c r="AN132" s="304">
        <f t="shared" si="96"/>
        <v>6.9444444444444448E-2</v>
      </c>
    </row>
    <row r="133" spans="1:48" x14ac:dyDescent="0.35">
      <c r="A133">
        <f t="shared" si="36"/>
        <v>125</v>
      </c>
      <c r="B133" s="487" t="s">
        <v>551</v>
      </c>
      <c r="C133" s="488" t="s">
        <v>817</v>
      </c>
      <c r="D133" s="769">
        <v>1250000</v>
      </c>
      <c r="E133" s="769">
        <f t="shared" si="89"/>
        <v>125</v>
      </c>
      <c r="F133" s="769">
        <f t="shared" si="90"/>
        <v>1250</v>
      </c>
      <c r="G133" s="763" t="s">
        <v>34</v>
      </c>
      <c r="H133" s="763" t="s">
        <v>34</v>
      </c>
      <c r="I133" s="774" t="s">
        <v>34</v>
      </c>
      <c r="J133" s="775" t="s">
        <v>34</v>
      </c>
      <c r="K133" s="491">
        <v>600</v>
      </c>
      <c r="L133" s="494">
        <v>3180</v>
      </c>
      <c r="M133" s="509" t="s">
        <v>553</v>
      </c>
      <c r="N133" s="497" t="s">
        <v>552</v>
      </c>
      <c r="O133" s="494">
        <v>470</v>
      </c>
      <c r="P133" s="494"/>
      <c r="Q133" s="466"/>
      <c r="R133">
        <f t="shared" si="37"/>
        <v>125</v>
      </c>
      <c r="S133" s="20" t="s">
        <v>554</v>
      </c>
      <c r="T133" s="20"/>
      <c r="U133" s="20"/>
      <c r="V133" t="s">
        <v>34</v>
      </c>
      <c r="W133" s="159" t="s">
        <v>34</v>
      </c>
      <c r="AF133" t="s">
        <v>34</v>
      </c>
      <c r="AL133" s="304">
        <f t="shared" si="99"/>
        <v>11.320754716981133</v>
      </c>
      <c r="AM133" s="304">
        <f t="shared" si="95"/>
        <v>679.24528301886801</v>
      </c>
      <c r="AN133" s="304">
        <f t="shared" si="96"/>
        <v>0.18867924528301888</v>
      </c>
    </row>
    <row r="134" spans="1:48" x14ac:dyDescent="0.35">
      <c r="A134">
        <f t="shared" si="36"/>
        <v>126</v>
      </c>
      <c r="B134" s="487" t="s">
        <v>995</v>
      </c>
      <c r="C134" s="488" t="s">
        <v>818</v>
      </c>
      <c r="D134" s="769">
        <v>13000000</v>
      </c>
      <c r="E134" s="769">
        <f t="shared" si="89"/>
        <v>1300</v>
      </c>
      <c r="F134" s="769">
        <f t="shared" si="90"/>
        <v>13000</v>
      </c>
      <c r="G134" s="763" t="s">
        <v>34</v>
      </c>
      <c r="H134" s="763" t="s">
        <v>34</v>
      </c>
      <c r="I134" s="774" t="s">
        <v>34</v>
      </c>
      <c r="J134" s="775" t="s">
        <v>34</v>
      </c>
      <c r="K134" s="491">
        <v>3000</v>
      </c>
      <c r="L134" s="494">
        <v>970</v>
      </c>
      <c r="M134" s="509" t="s">
        <v>531</v>
      </c>
      <c r="N134" s="497" t="s">
        <v>524</v>
      </c>
      <c r="O134" s="494" t="s">
        <v>358</v>
      </c>
      <c r="P134" s="494"/>
      <c r="Q134" s="466"/>
      <c r="R134">
        <f t="shared" si="37"/>
        <v>126</v>
      </c>
      <c r="S134" s="20" t="s">
        <v>527</v>
      </c>
      <c r="T134" s="20"/>
      <c r="U134" s="20"/>
      <c r="V134" t="s">
        <v>34</v>
      </c>
      <c r="W134" s="159" t="s">
        <v>34</v>
      </c>
      <c r="AF134" t="s">
        <v>34</v>
      </c>
      <c r="AL134" s="304">
        <f t="shared" si="99"/>
        <v>185.56701030927834</v>
      </c>
      <c r="AM134" s="304">
        <f t="shared" si="95"/>
        <v>11134.0206185567</v>
      </c>
      <c r="AN134" s="304">
        <f t="shared" si="96"/>
        <v>3.0927835051546393</v>
      </c>
    </row>
    <row r="135" spans="1:48" x14ac:dyDescent="0.35">
      <c r="A135">
        <f t="shared" si="36"/>
        <v>127</v>
      </c>
      <c r="B135" s="487" t="s">
        <v>728</v>
      </c>
      <c r="C135" s="488" t="s">
        <v>739</v>
      </c>
      <c r="D135" s="769">
        <v>980000</v>
      </c>
      <c r="E135" s="769">
        <f t="shared" si="89"/>
        <v>98</v>
      </c>
      <c r="F135" s="769">
        <f t="shared" si="90"/>
        <v>980</v>
      </c>
      <c r="G135" s="763"/>
      <c r="H135" s="763"/>
      <c r="I135" s="774"/>
      <c r="J135" s="775"/>
      <c r="K135" s="491">
        <v>2000</v>
      </c>
      <c r="L135" s="494">
        <v>3704</v>
      </c>
      <c r="M135" s="509" t="s">
        <v>557</v>
      </c>
      <c r="N135" s="497" t="s">
        <v>513</v>
      </c>
      <c r="O135" s="494" t="s">
        <v>556</v>
      </c>
      <c r="P135" s="494"/>
      <c r="Q135" s="466"/>
      <c r="R135">
        <f t="shared" si="37"/>
        <v>127</v>
      </c>
      <c r="S135" s="20" t="s">
        <v>555</v>
      </c>
      <c r="T135" s="20"/>
      <c r="U135" s="20"/>
      <c r="V135" t="s">
        <v>34</v>
      </c>
      <c r="W135" s="159" t="s">
        <v>34</v>
      </c>
      <c r="AF135" t="s">
        <v>34</v>
      </c>
      <c r="AL135" s="304">
        <f t="shared" si="99"/>
        <v>32.39740820734341</v>
      </c>
      <c r="AM135" s="304">
        <f t="shared" si="95"/>
        <v>1943.8444924406047</v>
      </c>
      <c r="AN135" s="304">
        <f t="shared" si="96"/>
        <v>0.5399568034557235</v>
      </c>
    </row>
    <row r="136" spans="1:48" x14ac:dyDescent="0.35">
      <c r="A136">
        <f t="shared" si="36"/>
        <v>128</v>
      </c>
      <c r="B136" s="487" t="s">
        <v>729</v>
      </c>
      <c r="C136" s="488" t="s">
        <v>819</v>
      </c>
      <c r="D136" s="769">
        <v>10000000</v>
      </c>
      <c r="E136" s="769">
        <f t="shared" si="89"/>
        <v>1000</v>
      </c>
      <c r="F136" s="769">
        <f t="shared" si="90"/>
        <v>10000</v>
      </c>
      <c r="G136" s="763" t="s">
        <v>34</v>
      </c>
      <c r="H136" s="763" t="s">
        <v>34</v>
      </c>
      <c r="I136" s="774" t="s">
        <v>34</v>
      </c>
      <c r="J136" s="775" t="s">
        <v>34</v>
      </c>
      <c r="K136" s="491">
        <v>2000</v>
      </c>
      <c r="L136" s="494">
        <v>12240</v>
      </c>
      <c r="M136" s="509" t="s">
        <v>350</v>
      </c>
      <c r="N136" s="497" t="s">
        <v>513</v>
      </c>
      <c r="O136" s="494" t="s">
        <v>410</v>
      </c>
      <c r="P136" s="494"/>
      <c r="Q136" s="466"/>
      <c r="R136">
        <f t="shared" si="37"/>
        <v>128</v>
      </c>
      <c r="S136" s="20" t="s">
        <v>545</v>
      </c>
      <c r="T136" s="20"/>
      <c r="U136" s="20"/>
      <c r="V136" t="s">
        <v>34</v>
      </c>
      <c r="W136" s="159" t="s">
        <v>34</v>
      </c>
      <c r="AF136" t="s">
        <v>34</v>
      </c>
      <c r="AL136" s="304">
        <f t="shared" si="99"/>
        <v>9.8039215686274517</v>
      </c>
      <c r="AM136" s="304">
        <f t="shared" si="95"/>
        <v>588.23529411764707</v>
      </c>
      <c r="AN136" s="304">
        <f t="shared" si="96"/>
        <v>0.16339869281045752</v>
      </c>
    </row>
    <row r="137" spans="1:48" x14ac:dyDescent="0.35">
      <c r="A137">
        <f t="shared" si="36"/>
        <v>129</v>
      </c>
      <c r="B137" s="487" t="s">
        <v>2814</v>
      </c>
      <c r="C137" s="488" t="s">
        <v>865</v>
      </c>
      <c r="D137" s="769">
        <v>15000000</v>
      </c>
      <c r="E137" s="769">
        <f t="shared" si="89"/>
        <v>1500</v>
      </c>
      <c r="F137" s="763" t="s">
        <v>34</v>
      </c>
      <c r="G137" s="763" t="s">
        <v>34</v>
      </c>
      <c r="H137" s="763" t="s">
        <v>34</v>
      </c>
      <c r="I137" s="774" t="s">
        <v>34</v>
      </c>
      <c r="J137" s="775" t="s">
        <v>34</v>
      </c>
      <c r="K137" s="491">
        <v>5800</v>
      </c>
      <c r="L137" s="494">
        <v>24500</v>
      </c>
      <c r="M137" s="509" t="s">
        <v>669</v>
      </c>
      <c r="N137" s="497" t="s">
        <v>2813</v>
      </c>
      <c r="O137" s="494"/>
      <c r="P137" s="494"/>
      <c r="Q137" s="466"/>
      <c r="R137">
        <f t="shared" si="37"/>
        <v>129</v>
      </c>
      <c r="S137" s="20"/>
      <c r="T137" s="20"/>
      <c r="U137" s="20"/>
      <c r="V137" t="s">
        <v>2812</v>
      </c>
      <c r="W137" s="159">
        <v>36000</v>
      </c>
      <c r="AE137" t="s">
        <v>2811</v>
      </c>
      <c r="AL137" s="304">
        <f t="shared" ref="AL137" si="100">(K137/L137)*60</f>
        <v>14.204081632653061</v>
      </c>
      <c r="AM137" s="304">
        <f t="shared" ref="AM137" si="101">60*AL137</f>
        <v>852.24489795918362</v>
      </c>
      <c r="AN137" s="304">
        <f t="shared" ref="AN137" si="102">AL137/60</f>
        <v>0.23673469387755103</v>
      </c>
    </row>
    <row r="138" spans="1:48" x14ac:dyDescent="0.35">
      <c r="A138">
        <f t="shared" si="36"/>
        <v>130</v>
      </c>
      <c r="B138" s="123"/>
      <c r="C138" s="42"/>
      <c r="D138" s="667"/>
      <c r="E138" s="667"/>
      <c r="F138" s="667"/>
      <c r="G138" s="666"/>
      <c r="H138" s="666"/>
      <c r="I138" s="776"/>
      <c r="J138" s="777"/>
      <c r="K138" s="105"/>
      <c r="L138" s="392"/>
      <c r="M138" s="381"/>
      <c r="N138" s="179"/>
      <c r="O138" s="392"/>
      <c r="P138" s="392"/>
      <c r="Q138" s="392"/>
      <c r="R138">
        <f t="shared" si="37"/>
        <v>130</v>
      </c>
      <c r="V138" t="s">
        <v>34</v>
      </c>
      <c r="W138" s="159" t="s">
        <v>34</v>
      </c>
      <c r="AF138" t="s">
        <v>34</v>
      </c>
      <c r="AL138" s="304"/>
      <c r="AM138" s="304"/>
      <c r="AN138" s="304"/>
    </row>
    <row r="139" spans="1:48" x14ac:dyDescent="0.35">
      <c r="A139">
        <f t="shared" si="36"/>
        <v>131</v>
      </c>
      <c r="B139" s="123"/>
      <c r="C139" s="42"/>
      <c r="D139" s="667"/>
      <c r="E139" s="667"/>
      <c r="F139" s="667"/>
      <c r="G139" s="666"/>
      <c r="H139" s="666"/>
      <c r="I139" s="776"/>
      <c r="J139" s="777"/>
      <c r="K139" s="105"/>
      <c r="L139" s="392"/>
      <c r="M139" s="381"/>
      <c r="N139" s="179"/>
      <c r="O139" s="392"/>
      <c r="P139" s="392"/>
      <c r="Q139" s="392"/>
      <c r="R139">
        <f t="shared" si="37"/>
        <v>131</v>
      </c>
      <c r="V139" t="s">
        <v>34</v>
      </c>
      <c r="W139" s="159" t="s">
        <v>34</v>
      </c>
      <c r="AF139" t="s">
        <v>34</v>
      </c>
    </row>
    <row r="140" spans="1:48" x14ac:dyDescent="0.35">
      <c r="A140">
        <f t="shared" ref="A140:A206" si="103">A139+1</f>
        <v>132</v>
      </c>
      <c r="B140" s="189" t="s">
        <v>2116</v>
      </c>
      <c r="C140" s="464"/>
      <c r="D140" s="768"/>
      <c r="E140" s="768"/>
      <c r="F140" s="768"/>
      <c r="G140" s="771"/>
      <c r="H140" s="771"/>
      <c r="I140" s="788"/>
      <c r="J140" s="789"/>
      <c r="K140" s="391"/>
      <c r="L140" s="393"/>
      <c r="M140" s="388"/>
      <c r="N140" s="190"/>
      <c r="O140" s="393"/>
      <c r="P140" s="393"/>
      <c r="Q140" s="393"/>
      <c r="R140">
        <f t="shared" ref="R140:R206" si="104">R139+1</f>
        <v>132</v>
      </c>
      <c r="S140" s="159"/>
      <c r="T140" s="159"/>
      <c r="U140" s="159"/>
      <c r="V140" t="s">
        <v>34</v>
      </c>
      <c r="W140" s="159" t="s">
        <v>34</v>
      </c>
      <c r="AF140" t="s">
        <v>34</v>
      </c>
    </row>
    <row r="141" spans="1:48" x14ac:dyDescent="0.35">
      <c r="A141">
        <f t="shared" si="103"/>
        <v>133</v>
      </c>
      <c r="B141" s="123" t="s">
        <v>419</v>
      </c>
      <c r="C141" s="42" t="s">
        <v>818</v>
      </c>
      <c r="D141" s="667">
        <v>1090000000</v>
      </c>
      <c r="E141" s="667">
        <f t="shared" ref="E141:E154" si="105">D141*E$7/F$3</f>
        <v>109000</v>
      </c>
      <c r="F141" s="666" t="s">
        <v>34</v>
      </c>
      <c r="G141" s="666" t="s">
        <v>34</v>
      </c>
      <c r="H141" s="666" t="s">
        <v>34</v>
      </c>
      <c r="I141" s="776" t="s">
        <v>34</v>
      </c>
      <c r="J141" s="777" t="s">
        <v>34</v>
      </c>
      <c r="K141" s="175" t="s">
        <v>34</v>
      </c>
      <c r="L141" s="175" t="s">
        <v>34</v>
      </c>
      <c r="M141" s="175" t="s">
        <v>34</v>
      </c>
      <c r="N141" s="175" t="s">
        <v>34</v>
      </c>
      <c r="O141" s="392" t="s">
        <v>2599</v>
      </c>
      <c r="P141" s="392" t="s">
        <v>2599</v>
      </c>
      <c r="Q141" s="392" t="s">
        <v>1387</v>
      </c>
      <c r="R141">
        <f t="shared" si="104"/>
        <v>133</v>
      </c>
      <c r="S141" s="612" t="s">
        <v>880</v>
      </c>
      <c r="T141" s="612"/>
      <c r="U141" s="42"/>
      <c r="V141" t="s">
        <v>34</v>
      </c>
      <c r="W141" s="159" t="s">
        <v>34</v>
      </c>
      <c r="X141" t="s">
        <v>1493</v>
      </c>
      <c r="AF141" t="s">
        <v>34</v>
      </c>
    </row>
    <row r="142" spans="1:48" x14ac:dyDescent="0.35">
      <c r="A142">
        <f t="shared" si="103"/>
        <v>134</v>
      </c>
      <c r="B142" s="123" t="s">
        <v>1382</v>
      </c>
      <c r="C142" s="42" t="s">
        <v>881</v>
      </c>
      <c r="D142" s="667">
        <v>4000000</v>
      </c>
      <c r="E142" s="667">
        <f t="shared" si="105"/>
        <v>400</v>
      </c>
      <c r="F142" s="667">
        <f t="shared" ref="F142:F150" si="106">D142*F$7/F$3</f>
        <v>4000</v>
      </c>
      <c r="G142" s="667">
        <f>D142*G$7/F$3</f>
        <v>40000</v>
      </c>
      <c r="H142" s="666" t="s">
        <v>34</v>
      </c>
      <c r="I142" s="776" t="s">
        <v>34</v>
      </c>
      <c r="J142" s="777" t="s">
        <v>34</v>
      </c>
      <c r="K142" s="105">
        <v>120</v>
      </c>
      <c r="L142" s="392">
        <v>4000</v>
      </c>
      <c r="M142" s="381" t="s">
        <v>926</v>
      </c>
      <c r="N142" s="179" t="s">
        <v>999</v>
      </c>
      <c r="O142" s="542" t="s">
        <v>364</v>
      </c>
      <c r="P142" s="392"/>
      <c r="Q142" s="392"/>
      <c r="R142">
        <f t="shared" si="104"/>
        <v>134</v>
      </c>
      <c r="S142" s="97" t="s">
        <v>421</v>
      </c>
      <c r="T142" s="97"/>
      <c r="U142" s="97"/>
      <c r="V142" t="s">
        <v>34</v>
      </c>
      <c r="W142" s="159" t="s">
        <v>34</v>
      </c>
      <c r="AF142" t="s">
        <v>34</v>
      </c>
      <c r="AL142" s="304">
        <f t="shared" ref="AL142:AL170" si="107">(K142/L142)*60</f>
        <v>1.7999999999999998</v>
      </c>
      <c r="AM142" s="304">
        <f t="shared" ref="AM142:AM170" si="108">60*AL142</f>
        <v>107.99999999999999</v>
      </c>
      <c r="AN142" s="304">
        <f t="shared" ref="AN142:AN170" si="109">AL142/60</f>
        <v>2.9999999999999995E-2</v>
      </c>
    </row>
    <row r="143" spans="1:48" x14ac:dyDescent="0.35">
      <c r="A143">
        <f t="shared" si="103"/>
        <v>135</v>
      </c>
      <c r="B143" s="123" t="s">
        <v>1959</v>
      </c>
      <c r="C143" s="42" t="s">
        <v>1001</v>
      </c>
      <c r="D143" s="667">
        <v>3000000</v>
      </c>
      <c r="E143" s="667">
        <f t="shared" si="105"/>
        <v>300</v>
      </c>
      <c r="F143" s="667">
        <f t="shared" si="106"/>
        <v>3000</v>
      </c>
      <c r="G143" s="667">
        <f>D143*G$7/F$3</f>
        <v>30000</v>
      </c>
      <c r="H143" s="666" t="s">
        <v>34</v>
      </c>
      <c r="I143" s="776" t="s">
        <v>34</v>
      </c>
      <c r="J143" s="777" t="s">
        <v>34</v>
      </c>
      <c r="K143" s="105">
        <v>160</v>
      </c>
      <c r="L143" s="392">
        <v>4284</v>
      </c>
      <c r="M143" s="381" t="s">
        <v>998</v>
      </c>
      <c r="N143" s="179" t="s">
        <v>1000</v>
      </c>
      <c r="O143" s="542"/>
      <c r="P143" s="392"/>
      <c r="Q143" s="392"/>
      <c r="R143">
        <f t="shared" si="104"/>
        <v>135</v>
      </c>
      <c r="S143" s="97" t="s">
        <v>421</v>
      </c>
      <c r="T143" s="97"/>
      <c r="U143" s="97"/>
      <c r="W143" s="159" t="s">
        <v>34</v>
      </c>
      <c r="AF143" t="s">
        <v>34</v>
      </c>
      <c r="AL143" s="304">
        <f t="shared" si="107"/>
        <v>2.2408963585434174</v>
      </c>
      <c r="AM143" s="304">
        <f t="shared" si="108"/>
        <v>134.45378151260505</v>
      </c>
      <c r="AN143" s="304">
        <f t="shared" si="109"/>
        <v>3.7348272642390289E-2</v>
      </c>
    </row>
    <row r="144" spans="1:48" x14ac:dyDescent="0.35">
      <c r="A144">
        <f t="shared" si="103"/>
        <v>136</v>
      </c>
      <c r="B144" s="123" t="s">
        <v>1383</v>
      </c>
      <c r="C144" s="42" t="s">
        <v>756</v>
      </c>
      <c r="D144" s="667">
        <v>2000000</v>
      </c>
      <c r="E144" s="667">
        <f t="shared" ref="E144:E147" si="110">D144*E$7/F$3</f>
        <v>200</v>
      </c>
      <c r="F144" s="667">
        <f t="shared" si="106"/>
        <v>2000</v>
      </c>
      <c r="G144" s="667">
        <f>D144*G$7/F$3</f>
        <v>20000</v>
      </c>
      <c r="H144" s="666" t="s">
        <v>34</v>
      </c>
      <c r="I144" s="776" t="s">
        <v>34</v>
      </c>
      <c r="J144" s="777" t="s">
        <v>34</v>
      </c>
      <c r="K144" s="105">
        <v>180</v>
      </c>
      <c r="L144" s="392">
        <v>6793</v>
      </c>
      <c r="M144" s="381" t="s">
        <v>1181</v>
      </c>
      <c r="N144" s="179" t="s">
        <v>1180</v>
      </c>
      <c r="O144" s="542" t="s">
        <v>401</v>
      </c>
      <c r="P144" s="392"/>
      <c r="Q144" s="392" t="s">
        <v>409</v>
      </c>
      <c r="R144">
        <f t="shared" si="104"/>
        <v>136</v>
      </c>
      <c r="S144" s="97" t="s">
        <v>1179</v>
      </c>
      <c r="T144" s="97"/>
      <c r="U144" s="97"/>
      <c r="W144" s="159" t="s">
        <v>34</v>
      </c>
      <c r="AF144" t="s">
        <v>34</v>
      </c>
      <c r="AL144" s="304">
        <f t="shared" ref="AL144" si="111">(K144/L144)*60</f>
        <v>1.5898719269836596</v>
      </c>
      <c r="AM144" s="304">
        <f t="shared" ref="AM144" si="112">60*AL144</f>
        <v>95.392315619019584</v>
      </c>
      <c r="AN144" s="304">
        <f t="shared" ref="AN144" si="113">AL144/60</f>
        <v>2.649786544972766E-2</v>
      </c>
    </row>
    <row r="145" spans="1:40" x14ac:dyDescent="0.35">
      <c r="A145">
        <f t="shared" si="103"/>
        <v>137</v>
      </c>
      <c r="B145" s="123" t="s">
        <v>1960</v>
      </c>
      <c r="C145" s="42" t="s">
        <v>915</v>
      </c>
      <c r="D145" s="667">
        <v>1250000000</v>
      </c>
      <c r="E145" s="667">
        <f t="shared" si="110"/>
        <v>125000</v>
      </c>
      <c r="F145" s="666" t="s">
        <v>34</v>
      </c>
      <c r="G145" s="666" t="s">
        <v>34</v>
      </c>
      <c r="H145" s="666" t="s">
        <v>34</v>
      </c>
      <c r="I145" s="776" t="s">
        <v>34</v>
      </c>
      <c r="J145" s="777" t="s">
        <v>34</v>
      </c>
      <c r="K145" s="175" t="s">
        <v>34</v>
      </c>
      <c r="L145" s="175" t="s">
        <v>34</v>
      </c>
      <c r="M145" s="175" t="s">
        <v>34</v>
      </c>
      <c r="N145" s="175" t="s">
        <v>34</v>
      </c>
      <c r="O145" s="392" t="s">
        <v>483</v>
      </c>
      <c r="P145" s="392"/>
      <c r="Q145" s="392"/>
      <c r="R145">
        <f t="shared" si="104"/>
        <v>137</v>
      </c>
      <c r="S145" s="97" t="s">
        <v>1488</v>
      </c>
      <c r="T145" s="97"/>
      <c r="U145" s="97"/>
      <c r="V145" t="s">
        <v>1492</v>
      </c>
      <c r="X145" t="s">
        <v>1493</v>
      </c>
      <c r="AL145" s="304" t="e">
        <f t="shared" ref="AL145:AL146" si="114">(K145/L145)*60</f>
        <v>#VALUE!</v>
      </c>
      <c r="AM145" s="304" t="e">
        <f t="shared" ref="AM145:AM146" si="115">60*AL145</f>
        <v>#VALUE!</v>
      </c>
      <c r="AN145" s="304" t="e">
        <f t="shared" ref="AN145:AN146" si="116">AL145/60</f>
        <v>#VALUE!</v>
      </c>
    </row>
    <row r="146" spans="1:40" x14ac:dyDescent="0.35">
      <c r="A146">
        <f t="shared" si="103"/>
        <v>138</v>
      </c>
      <c r="B146" s="123" t="s">
        <v>1487</v>
      </c>
      <c r="C146" s="42" t="s">
        <v>915</v>
      </c>
      <c r="D146" s="667">
        <v>12600000</v>
      </c>
      <c r="E146" s="667">
        <f t="shared" si="110"/>
        <v>1260</v>
      </c>
      <c r="F146" s="667">
        <f t="shared" ref="F146" si="117">D146*F$7/F$3</f>
        <v>12600</v>
      </c>
      <c r="G146" s="667">
        <f>D146*G$7/F$3</f>
        <v>126000</v>
      </c>
      <c r="H146" s="666" t="s">
        <v>34</v>
      </c>
      <c r="I146" s="776" t="s">
        <v>34</v>
      </c>
      <c r="J146" s="777" t="s">
        <v>34</v>
      </c>
      <c r="K146" s="105">
        <v>200</v>
      </c>
      <c r="L146" s="392">
        <v>10000</v>
      </c>
      <c r="M146" s="381" t="s">
        <v>429</v>
      </c>
      <c r="N146" s="179" t="s">
        <v>1180</v>
      </c>
      <c r="O146" s="392" t="s">
        <v>1489</v>
      </c>
      <c r="P146" s="392"/>
      <c r="Q146" s="392"/>
      <c r="R146">
        <f t="shared" si="104"/>
        <v>138</v>
      </c>
      <c r="S146" s="97" t="s">
        <v>1488</v>
      </c>
      <c r="T146" s="97"/>
      <c r="U146" s="97"/>
      <c r="W146" s="159">
        <v>900</v>
      </c>
      <c r="Z146" t="s">
        <v>1961</v>
      </c>
      <c r="AB146" t="s">
        <v>1882</v>
      </c>
      <c r="AL146" s="304">
        <f t="shared" si="114"/>
        <v>1.2</v>
      </c>
      <c r="AM146" s="304">
        <f t="shared" si="115"/>
        <v>72</v>
      </c>
      <c r="AN146" s="304">
        <f t="shared" si="116"/>
        <v>0.02</v>
      </c>
    </row>
    <row r="147" spans="1:40" x14ac:dyDescent="0.35">
      <c r="A147">
        <f t="shared" si="103"/>
        <v>139</v>
      </c>
      <c r="B147" s="123" t="s">
        <v>2017</v>
      </c>
      <c r="C147" s="42" t="s">
        <v>866</v>
      </c>
      <c r="D147" s="667">
        <v>12000000</v>
      </c>
      <c r="E147" s="667">
        <f t="shared" si="110"/>
        <v>1200</v>
      </c>
      <c r="F147" s="667">
        <f t="shared" si="106"/>
        <v>12000</v>
      </c>
      <c r="G147" s="667">
        <f>D147*G$7/F$3</f>
        <v>120000</v>
      </c>
      <c r="H147" s="666" t="s">
        <v>34</v>
      </c>
      <c r="I147" s="776" t="s">
        <v>34</v>
      </c>
      <c r="J147" s="777" t="s">
        <v>34</v>
      </c>
      <c r="K147" s="105">
        <v>2500</v>
      </c>
      <c r="L147" s="392">
        <v>16200</v>
      </c>
      <c r="M147" s="381" t="s">
        <v>2607</v>
      </c>
      <c r="N147" s="179" t="s">
        <v>1180</v>
      </c>
      <c r="O147" s="392" t="s">
        <v>1362</v>
      </c>
      <c r="P147" s="392"/>
      <c r="Q147" s="392"/>
      <c r="R147">
        <f t="shared" si="104"/>
        <v>139</v>
      </c>
      <c r="S147" s="97" t="s">
        <v>1480</v>
      </c>
      <c r="T147" s="97"/>
      <c r="U147" s="97" t="s">
        <v>1884</v>
      </c>
      <c r="V147" t="s">
        <v>1856</v>
      </c>
      <c r="W147" s="159">
        <v>1500</v>
      </c>
      <c r="X147" t="s">
        <v>1482</v>
      </c>
      <c r="Y147" t="s">
        <v>1180</v>
      </c>
      <c r="Z147" t="s">
        <v>1962</v>
      </c>
      <c r="AA147" t="s">
        <v>1963</v>
      </c>
      <c r="AB147" t="s">
        <v>1855</v>
      </c>
      <c r="AL147" s="304">
        <f t="shared" ref="AL147" si="118">(K147/L147)*60</f>
        <v>9.2592592592592595</v>
      </c>
      <c r="AM147" s="304">
        <f t="shared" ref="AM147" si="119">60*AL147</f>
        <v>555.55555555555554</v>
      </c>
      <c r="AN147" s="304">
        <f t="shared" ref="AN147" si="120">AL147/60</f>
        <v>0.15432098765432098</v>
      </c>
    </row>
    <row r="148" spans="1:40" x14ac:dyDescent="0.35">
      <c r="A148">
        <f t="shared" si="103"/>
        <v>140</v>
      </c>
      <c r="B148" s="615" t="s">
        <v>2669</v>
      </c>
      <c r="C148" s="616" t="s">
        <v>1137</v>
      </c>
      <c r="D148" s="767">
        <v>6000000</v>
      </c>
      <c r="E148" s="767">
        <f>D148*E$7/F$3</f>
        <v>600</v>
      </c>
      <c r="F148" s="767">
        <f t="shared" si="106"/>
        <v>6000</v>
      </c>
      <c r="G148" s="762" t="s">
        <v>34</v>
      </c>
      <c r="H148" s="762" t="s">
        <v>34</v>
      </c>
      <c r="I148" s="778" t="s">
        <v>34</v>
      </c>
      <c r="J148" s="779" t="s">
        <v>34</v>
      </c>
      <c r="K148" s="619">
        <v>2400</v>
      </c>
      <c r="L148" s="619">
        <v>9000</v>
      </c>
      <c r="M148" s="619" t="s">
        <v>670</v>
      </c>
      <c r="N148" s="619">
        <v>150</v>
      </c>
      <c r="O148" s="619" t="s">
        <v>2019</v>
      </c>
      <c r="P148" s="619" t="s">
        <v>2019</v>
      </c>
      <c r="Q148" s="619" t="s">
        <v>2018</v>
      </c>
      <c r="R148">
        <f t="shared" si="104"/>
        <v>140</v>
      </c>
      <c r="S148" s="395" t="s">
        <v>1407</v>
      </c>
      <c r="T148" s="395" t="s">
        <v>1885</v>
      </c>
      <c r="U148" s="395" t="s">
        <v>1881</v>
      </c>
      <c r="V148" t="s">
        <v>2670</v>
      </c>
      <c r="W148" s="159">
        <v>2800</v>
      </c>
      <c r="X148" t="s">
        <v>2035</v>
      </c>
      <c r="Y148" t="s">
        <v>2022</v>
      </c>
      <c r="Z148" t="s">
        <v>1964</v>
      </c>
      <c r="AA148" t="s">
        <v>2671</v>
      </c>
      <c r="AB148" t="s">
        <v>2672</v>
      </c>
      <c r="AC148" t="s">
        <v>2673</v>
      </c>
      <c r="AD148" t="s">
        <v>2023</v>
      </c>
      <c r="AL148" s="304">
        <f>(K148/L148)*60</f>
        <v>16</v>
      </c>
      <c r="AM148" s="304">
        <f>60*AL148</f>
        <v>960</v>
      </c>
      <c r="AN148" s="304">
        <f>AL148/60</f>
        <v>0.26666666666666666</v>
      </c>
    </row>
    <row r="149" spans="1:40" x14ac:dyDescent="0.35">
      <c r="A149">
        <f t="shared" si="103"/>
        <v>141</v>
      </c>
      <c r="B149" s="123" t="s">
        <v>1230</v>
      </c>
      <c r="C149" s="42" t="s">
        <v>1103</v>
      </c>
      <c r="D149" s="667">
        <v>4870000</v>
      </c>
      <c r="E149" s="667">
        <f>D149*E$7/F$3</f>
        <v>487</v>
      </c>
      <c r="F149" s="667">
        <f t="shared" si="106"/>
        <v>4870</v>
      </c>
      <c r="G149" s="667">
        <f t="shared" ref="G149" si="121">D149*G$7/F$3</f>
        <v>48700</v>
      </c>
      <c r="H149" s="666" t="s">
        <v>34</v>
      </c>
      <c r="I149" s="776" t="s">
        <v>34</v>
      </c>
      <c r="J149" s="777" t="s">
        <v>34</v>
      </c>
      <c r="K149" s="105">
        <v>370</v>
      </c>
      <c r="L149" s="392">
        <v>4287</v>
      </c>
      <c r="M149" s="381" t="s">
        <v>1247</v>
      </c>
      <c r="N149" s="179" t="s">
        <v>1105</v>
      </c>
      <c r="O149" s="392" t="s">
        <v>358</v>
      </c>
      <c r="P149" s="392"/>
      <c r="Q149" s="392">
        <v>180</v>
      </c>
      <c r="R149">
        <f t="shared" si="104"/>
        <v>141</v>
      </c>
      <c r="S149" s="20" t="s">
        <v>1104</v>
      </c>
      <c r="T149" s="20"/>
      <c r="U149" s="20"/>
      <c r="V149" t="s">
        <v>1106</v>
      </c>
      <c r="W149" s="159">
        <f>860+640</f>
        <v>1500</v>
      </c>
      <c r="X149" t="s">
        <v>1233</v>
      </c>
      <c r="Z149" t="s">
        <v>1232</v>
      </c>
      <c r="AA149" t="s">
        <v>1931</v>
      </c>
      <c r="AB149" t="s">
        <v>1231</v>
      </c>
      <c r="AC149" t="s">
        <v>1932</v>
      </c>
      <c r="AF149" t="s">
        <v>34</v>
      </c>
      <c r="AG149" t="s">
        <v>1127</v>
      </c>
      <c r="AL149" s="304">
        <f>(K149/L149)*60</f>
        <v>5.1784464660601826</v>
      </c>
      <c r="AM149" s="304">
        <f>60*AL149</f>
        <v>310.70678796361096</v>
      </c>
      <c r="AN149" s="304">
        <f>AL149/60</f>
        <v>8.6307441101003038E-2</v>
      </c>
    </row>
    <row r="150" spans="1:40" x14ac:dyDescent="0.35">
      <c r="A150">
        <f t="shared" si="103"/>
        <v>142</v>
      </c>
      <c r="B150" s="123" t="s">
        <v>2754</v>
      </c>
      <c r="C150" s="42" t="s">
        <v>809</v>
      </c>
      <c r="D150" s="667">
        <v>1800000</v>
      </c>
      <c r="E150" s="667">
        <f>D150*E$7/F$3</f>
        <v>180</v>
      </c>
      <c r="F150" s="667">
        <f t="shared" si="106"/>
        <v>1800</v>
      </c>
      <c r="G150" s="666" t="s">
        <v>34</v>
      </c>
      <c r="H150" s="666" t="s">
        <v>34</v>
      </c>
      <c r="I150" s="776" t="s">
        <v>34</v>
      </c>
      <c r="J150" s="777" t="s">
        <v>34</v>
      </c>
      <c r="K150" s="105">
        <v>50</v>
      </c>
      <c r="L150" s="105">
        <v>4770</v>
      </c>
      <c r="M150" s="381" t="s">
        <v>2759</v>
      </c>
      <c r="N150" s="179" t="s">
        <v>2758</v>
      </c>
      <c r="O150" s="392" t="s">
        <v>2755</v>
      </c>
      <c r="P150" s="392"/>
      <c r="Q150" s="392"/>
      <c r="R150">
        <f t="shared" si="104"/>
        <v>142</v>
      </c>
      <c r="S150" s="20" t="s">
        <v>2753</v>
      </c>
      <c r="T150" s="20"/>
      <c r="U150" s="20"/>
      <c r="W150" s="159">
        <v>280</v>
      </c>
      <c r="X150" t="s">
        <v>2756</v>
      </c>
      <c r="AL150" s="304">
        <f>(K150/L150)*60</f>
        <v>0.62893081761006298</v>
      </c>
      <c r="AM150" s="304">
        <f>60*AL150</f>
        <v>37.735849056603776</v>
      </c>
      <c r="AN150" s="304">
        <f>AL150/60</f>
        <v>1.0482180293501049E-2</v>
      </c>
    </row>
    <row r="151" spans="1:40" x14ac:dyDescent="0.35">
      <c r="A151">
        <f t="shared" si="103"/>
        <v>143</v>
      </c>
      <c r="B151" s="123" t="s">
        <v>1965</v>
      </c>
      <c r="C151" s="42" t="s">
        <v>882</v>
      </c>
      <c r="D151" s="667">
        <v>285000000</v>
      </c>
      <c r="E151" s="667">
        <f t="shared" si="105"/>
        <v>28500</v>
      </c>
      <c r="F151" s="666" t="s">
        <v>34</v>
      </c>
      <c r="G151" s="666" t="s">
        <v>34</v>
      </c>
      <c r="H151" s="666" t="s">
        <v>34</v>
      </c>
      <c r="I151" s="776" t="s">
        <v>34</v>
      </c>
      <c r="J151" s="777" t="s">
        <v>34</v>
      </c>
      <c r="K151" s="175" t="s">
        <v>34</v>
      </c>
      <c r="L151" s="175" t="s">
        <v>34</v>
      </c>
      <c r="M151" s="175" t="s">
        <v>34</v>
      </c>
      <c r="N151" s="175" t="s">
        <v>34</v>
      </c>
      <c r="O151" s="392" t="s">
        <v>410</v>
      </c>
      <c r="P151" s="392"/>
      <c r="Q151" s="392"/>
      <c r="R151">
        <f t="shared" si="104"/>
        <v>143</v>
      </c>
      <c r="S151" s="556" t="s">
        <v>423</v>
      </c>
      <c r="T151" s="556"/>
      <c r="U151" s="556"/>
      <c r="V151" t="s">
        <v>34</v>
      </c>
      <c r="W151" s="159" t="s">
        <v>34</v>
      </c>
      <c r="AF151" t="s">
        <v>34</v>
      </c>
      <c r="AL151" s="304"/>
      <c r="AM151" s="304"/>
      <c r="AN151" s="304"/>
    </row>
    <row r="152" spans="1:40" x14ac:dyDescent="0.35">
      <c r="A152">
        <f t="shared" si="103"/>
        <v>144</v>
      </c>
      <c r="B152" s="123" t="s">
        <v>1384</v>
      </c>
      <c r="C152" s="42" t="s">
        <v>882</v>
      </c>
      <c r="D152" s="667">
        <v>1200000</v>
      </c>
      <c r="E152" s="667">
        <f t="shared" si="105"/>
        <v>120</v>
      </c>
      <c r="F152" s="667">
        <f>D152*F$7/F$3</f>
        <v>1200</v>
      </c>
      <c r="G152" s="667">
        <f>D152*G$7/F$3</f>
        <v>12000</v>
      </c>
      <c r="H152" s="666" t="s">
        <v>34</v>
      </c>
      <c r="I152" s="776" t="s">
        <v>34</v>
      </c>
      <c r="J152" s="777" t="s">
        <v>34</v>
      </c>
      <c r="K152" s="392" t="s">
        <v>424</v>
      </c>
      <c r="L152" s="392"/>
      <c r="M152" s="381"/>
      <c r="N152" s="179"/>
      <c r="O152" s="392" t="s">
        <v>427</v>
      </c>
      <c r="P152" s="392"/>
      <c r="Q152" s="392"/>
      <c r="R152">
        <f t="shared" si="104"/>
        <v>144</v>
      </c>
      <c r="S152" s="556" t="s">
        <v>423</v>
      </c>
      <c r="T152" s="556"/>
      <c r="U152" s="556"/>
      <c r="V152" t="s">
        <v>34</v>
      </c>
      <c r="W152" s="159" t="s">
        <v>34</v>
      </c>
      <c r="AF152" t="s">
        <v>34</v>
      </c>
      <c r="AL152" s="304"/>
      <c r="AM152" s="304"/>
      <c r="AN152" s="304"/>
    </row>
    <row r="153" spans="1:40" x14ac:dyDescent="0.35">
      <c r="A153">
        <f t="shared" si="103"/>
        <v>145</v>
      </c>
      <c r="B153" s="123" t="s">
        <v>883</v>
      </c>
      <c r="C153" s="42" t="s">
        <v>761</v>
      </c>
      <c r="D153" s="667">
        <v>136000000</v>
      </c>
      <c r="E153" s="667">
        <f t="shared" si="105"/>
        <v>13600</v>
      </c>
      <c r="F153" s="666" t="s">
        <v>34</v>
      </c>
      <c r="G153" s="666" t="s">
        <v>34</v>
      </c>
      <c r="H153" s="666" t="s">
        <v>34</v>
      </c>
      <c r="I153" s="776" t="s">
        <v>34</v>
      </c>
      <c r="J153" s="777" t="s">
        <v>34</v>
      </c>
      <c r="K153" s="175" t="s">
        <v>34</v>
      </c>
      <c r="L153" s="175" t="s">
        <v>34</v>
      </c>
      <c r="M153" s="175" t="s">
        <v>34</v>
      </c>
      <c r="N153" s="175" t="s">
        <v>34</v>
      </c>
      <c r="O153" s="392" t="s">
        <v>346</v>
      </c>
      <c r="P153" s="392"/>
      <c r="Q153" s="392"/>
      <c r="R153">
        <f t="shared" si="104"/>
        <v>145</v>
      </c>
      <c r="S153" s="395" t="s">
        <v>884</v>
      </c>
      <c r="T153" s="395"/>
      <c r="U153" s="395"/>
      <c r="V153" t="s">
        <v>34</v>
      </c>
      <c r="W153" s="159" t="s">
        <v>34</v>
      </c>
      <c r="AF153" t="s">
        <v>34</v>
      </c>
      <c r="AL153" s="304"/>
      <c r="AM153" s="304"/>
      <c r="AN153" s="304"/>
    </row>
    <row r="154" spans="1:40" x14ac:dyDescent="0.35">
      <c r="A154">
        <f t="shared" si="103"/>
        <v>146</v>
      </c>
      <c r="B154" s="123" t="s">
        <v>1385</v>
      </c>
      <c r="C154" s="42" t="s">
        <v>761</v>
      </c>
      <c r="D154" s="667">
        <v>600000</v>
      </c>
      <c r="E154" s="667">
        <f t="shared" si="105"/>
        <v>60</v>
      </c>
      <c r="F154" s="667">
        <f>D154*F$7/F$3</f>
        <v>600</v>
      </c>
      <c r="G154" s="667">
        <f>D154*G$7/F$3</f>
        <v>6000</v>
      </c>
      <c r="H154" s="666" t="s">
        <v>34</v>
      </c>
      <c r="I154" s="776" t="s">
        <v>34</v>
      </c>
      <c r="J154" s="777" t="s">
        <v>34</v>
      </c>
      <c r="K154" s="175">
        <v>80</v>
      </c>
      <c r="L154" s="175">
        <v>2000</v>
      </c>
      <c r="M154" s="175" t="s">
        <v>885</v>
      </c>
      <c r="N154" s="175">
        <v>11.4</v>
      </c>
      <c r="O154" s="392" t="s">
        <v>363</v>
      </c>
      <c r="P154" s="392"/>
      <c r="Q154" s="392"/>
      <c r="R154">
        <f t="shared" si="104"/>
        <v>146</v>
      </c>
      <c r="S154" s="395" t="s">
        <v>884</v>
      </c>
      <c r="T154" s="395"/>
      <c r="U154" s="395"/>
      <c r="V154" t="s">
        <v>34</v>
      </c>
      <c r="W154" s="159" t="s">
        <v>34</v>
      </c>
      <c r="AF154" t="s">
        <v>34</v>
      </c>
      <c r="AL154" s="304">
        <f t="shared" si="107"/>
        <v>2.4</v>
      </c>
      <c r="AM154" s="304">
        <f t="shared" si="108"/>
        <v>144</v>
      </c>
      <c r="AN154" s="304">
        <f t="shared" si="109"/>
        <v>0.04</v>
      </c>
    </row>
    <row r="155" spans="1:40" x14ac:dyDescent="0.35">
      <c r="A155">
        <f t="shared" si="103"/>
        <v>147</v>
      </c>
      <c r="B155" s="615" t="s">
        <v>1381</v>
      </c>
      <c r="C155" s="616" t="s">
        <v>865</v>
      </c>
      <c r="D155" s="767">
        <v>50000000</v>
      </c>
      <c r="E155" s="767">
        <f t="shared" ref="E155:E159" si="122">D155*E$7/F$3</f>
        <v>5000</v>
      </c>
      <c r="F155" s="762" t="s">
        <v>34</v>
      </c>
      <c r="G155" s="762" t="s">
        <v>34</v>
      </c>
      <c r="H155" s="762" t="s">
        <v>34</v>
      </c>
      <c r="I155" s="778" t="s">
        <v>34</v>
      </c>
      <c r="J155" s="779" t="s">
        <v>34</v>
      </c>
      <c r="K155" s="624" t="s">
        <v>34</v>
      </c>
      <c r="L155" s="624" t="s">
        <v>34</v>
      </c>
      <c r="M155" s="624" t="s">
        <v>34</v>
      </c>
      <c r="N155" s="619" t="s">
        <v>34</v>
      </c>
      <c r="O155" s="619" t="s">
        <v>1387</v>
      </c>
      <c r="P155" s="619" t="s">
        <v>1387</v>
      </c>
      <c r="Q155" s="619" t="s">
        <v>848</v>
      </c>
      <c r="R155">
        <f t="shared" si="104"/>
        <v>147</v>
      </c>
      <c r="S155" s="395" t="s">
        <v>1386</v>
      </c>
      <c r="T155" s="395"/>
      <c r="U155" s="395"/>
      <c r="V155" t="s">
        <v>1966</v>
      </c>
      <c r="AL155" s="304" t="e">
        <f t="shared" ref="AL155:AL156" si="123">(K155/L155)*60</f>
        <v>#VALUE!</v>
      </c>
      <c r="AM155" s="304" t="e">
        <f t="shared" ref="AM155:AM156" si="124">60*AL155</f>
        <v>#VALUE!</v>
      </c>
      <c r="AN155" s="304" t="e">
        <f t="shared" ref="AN155:AN156" si="125">AL155/60</f>
        <v>#VALUE!</v>
      </c>
    </row>
    <row r="156" spans="1:40" x14ac:dyDescent="0.35">
      <c r="A156">
        <f t="shared" si="103"/>
        <v>148</v>
      </c>
      <c r="B156" s="615" t="s">
        <v>1967</v>
      </c>
      <c r="C156" s="616" t="s">
        <v>865</v>
      </c>
      <c r="D156" s="767">
        <v>60000</v>
      </c>
      <c r="E156" s="767">
        <f t="shared" si="122"/>
        <v>6</v>
      </c>
      <c r="F156" s="767">
        <f t="shared" ref="F156:F159" si="126">D156*F$7/F$3</f>
        <v>60</v>
      </c>
      <c r="G156" s="767">
        <f>D156*G$7/F$3</f>
        <v>600</v>
      </c>
      <c r="H156" s="767">
        <f>D156*H$7/F$3</f>
        <v>6000</v>
      </c>
      <c r="I156" s="778" t="s">
        <v>34</v>
      </c>
      <c r="J156" s="779" t="s">
        <v>34</v>
      </c>
      <c r="K156" s="619">
        <v>10</v>
      </c>
      <c r="L156" s="619">
        <v>2695</v>
      </c>
      <c r="M156" s="619" t="s">
        <v>1393</v>
      </c>
      <c r="N156" s="619" t="s">
        <v>1387</v>
      </c>
      <c r="O156" s="619" t="s">
        <v>364</v>
      </c>
      <c r="P156" s="619" t="s">
        <v>2627</v>
      </c>
      <c r="Q156" s="619" t="s">
        <v>358</v>
      </c>
      <c r="R156">
        <f t="shared" si="104"/>
        <v>148</v>
      </c>
      <c r="S156" s="395" t="s">
        <v>1386</v>
      </c>
      <c r="T156" s="395"/>
      <c r="U156" s="395"/>
      <c r="W156" s="159">
        <v>90</v>
      </c>
      <c r="X156" t="s">
        <v>1388</v>
      </c>
      <c r="AD156" t="s">
        <v>1391</v>
      </c>
      <c r="AL156" s="304">
        <f t="shared" si="123"/>
        <v>0.22263450834879406</v>
      </c>
      <c r="AM156" s="304">
        <f t="shared" si="124"/>
        <v>13.358070500927644</v>
      </c>
      <c r="AN156" s="304">
        <f t="shared" si="125"/>
        <v>3.7105751391465678E-3</v>
      </c>
    </row>
    <row r="157" spans="1:40" x14ac:dyDescent="0.35">
      <c r="A157">
        <f t="shared" si="103"/>
        <v>149</v>
      </c>
      <c r="B157" s="615" t="s">
        <v>2074</v>
      </c>
      <c r="C157" s="616" t="s">
        <v>1137</v>
      </c>
      <c r="D157" s="767">
        <v>300000000</v>
      </c>
      <c r="E157" s="767">
        <f t="shared" si="122"/>
        <v>30000</v>
      </c>
      <c r="F157" s="762" t="s">
        <v>34</v>
      </c>
      <c r="G157" s="762" t="s">
        <v>34</v>
      </c>
      <c r="H157" s="762" t="s">
        <v>34</v>
      </c>
      <c r="I157" s="778" t="s">
        <v>34</v>
      </c>
      <c r="J157" s="779" t="s">
        <v>34</v>
      </c>
      <c r="K157" s="619" t="s">
        <v>34</v>
      </c>
      <c r="L157" s="619" t="s">
        <v>34</v>
      </c>
      <c r="M157" s="619" t="s">
        <v>34</v>
      </c>
      <c r="N157" s="619" t="s">
        <v>34</v>
      </c>
      <c r="O157" s="619" t="s">
        <v>2580</v>
      </c>
      <c r="P157" s="619" t="s">
        <v>2580</v>
      </c>
      <c r="Q157" s="619" t="s">
        <v>848</v>
      </c>
      <c r="R157">
        <f t="shared" si="104"/>
        <v>149</v>
      </c>
      <c r="S157" s="395" t="s">
        <v>2594</v>
      </c>
      <c r="T157" s="395"/>
      <c r="U157" s="395"/>
      <c r="V157" t="s">
        <v>2674</v>
      </c>
      <c r="AL157" s="304"/>
      <c r="AM157" s="304"/>
      <c r="AN157" s="304"/>
    </row>
    <row r="158" spans="1:40" x14ac:dyDescent="0.35">
      <c r="A158">
        <f t="shared" si="103"/>
        <v>150</v>
      </c>
      <c r="B158" s="615" t="s">
        <v>2073</v>
      </c>
      <c r="C158" s="616" t="s">
        <v>1137</v>
      </c>
      <c r="D158" s="767">
        <v>700000</v>
      </c>
      <c r="E158" s="767">
        <f t="shared" si="122"/>
        <v>70</v>
      </c>
      <c r="F158" s="767">
        <f t="shared" si="126"/>
        <v>700</v>
      </c>
      <c r="G158" s="767">
        <f>D158*G$7/F$3</f>
        <v>7000</v>
      </c>
      <c r="H158" s="762" t="s">
        <v>34</v>
      </c>
      <c r="I158" s="778" t="s">
        <v>34</v>
      </c>
      <c r="J158" s="779" t="s">
        <v>34</v>
      </c>
      <c r="K158" s="619">
        <v>300</v>
      </c>
      <c r="L158" s="619">
        <v>9187</v>
      </c>
      <c r="M158" s="619" t="s">
        <v>394</v>
      </c>
      <c r="N158" s="630" t="s">
        <v>1397</v>
      </c>
      <c r="O158" s="619" t="s">
        <v>401</v>
      </c>
      <c r="P158" s="619" t="s">
        <v>358</v>
      </c>
      <c r="Q158" s="619" t="s">
        <v>440</v>
      </c>
      <c r="R158">
        <f t="shared" si="104"/>
        <v>150</v>
      </c>
      <c r="S158" s="395" t="s">
        <v>1394</v>
      </c>
      <c r="T158" s="395"/>
      <c r="U158" s="395"/>
      <c r="X158" t="s">
        <v>1403</v>
      </c>
      <c r="Z158" t="s">
        <v>1396</v>
      </c>
      <c r="AL158" s="304">
        <f t="shared" ref="AL158:AL159" si="127">(K158/L158)*60</f>
        <v>1.9592903015130076</v>
      </c>
      <c r="AM158" s="304">
        <f t="shared" ref="AM158:AM159" si="128">60*AL158</f>
        <v>117.55741809078046</v>
      </c>
      <c r="AN158" s="304">
        <f t="shared" ref="AN158:AN159" si="129">AL158/60</f>
        <v>3.2654838358550126E-2</v>
      </c>
    </row>
    <row r="159" spans="1:40" x14ac:dyDescent="0.35">
      <c r="A159">
        <f t="shared" si="103"/>
        <v>151</v>
      </c>
      <c r="B159" s="615" t="s">
        <v>1406</v>
      </c>
      <c r="C159" s="616" t="s">
        <v>881</v>
      </c>
      <c r="D159" s="767">
        <v>3000000</v>
      </c>
      <c r="E159" s="767">
        <f t="shared" si="122"/>
        <v>300</v>
      </c>
      <c r="F159" s="767">
        <f t="shared" si="126"/>
        <v>3000</v>
      </c>
      <c r="G159" s="762" t="s">
        <v>34</v>
      </c>
      <c r="H159" s="762" t="s">
        <v>34</v>
      </c>
      <c r="I159" s="778" t="s">
        <v>34</v>
      </c>
      <c r="J159" s="779" t="s">
        <v>34</v>
      </c>
      <c r="K159" s="619">
        <v>150</v>
      </c>
      <c r="L159" s="619">
        <v>10734</v>
      </c>
      <c r="M159" s="619" t="s">
        <v>1405</v>
      </c>
      <c r="N159" s="619">
        <v>150</v>
      </c>
      <c r="O159" s="619"/>
      <c r="P159" s="619"/>
      <c r="Q159" s="619"/>
      <c r="R159">
        <f t="shared" si="104"/>
        <v>151</v>
      </c>
      <c r="S159" s="395" t="s">
        <v>1395</v>
      </c>
      <c r="T159" s="395"/>
      <c r="U159" s="395"/>
      <c r="W159" s="159">
        <v>1300</v>
      </c>
      <c r="X159" t="s">
        <v>1402</v>
      </c>
      <c r="AB159" t="s">
        <v>1404</v>
      </c>
      <c r="AD159" t="s">
        <v>1391</v>
      </c>
      <c r="AL159" s="304">
        <f t="shared" si="127"/>
        <v>0.83845723868082733</v>
      </c>
      <c r="AM159" s="304">
        <f t="shared" si="128"/>
        <v>50.307434320849637</v>
      </c>
      <c r="AN159" s="304">
        <f t="shared" si="129"/>
        <v>1.3974287311347122E-2</v>
      </c>
    </row>
    <row r="160" spans="1:40" x14ac:dyDescent="0.35">
      <c r="A160">
        <f t="shared" si="103"/>
        <v>152</v>
      </c>
      <c r="B160" s="483" t="s">
        <v>2188</v>
      </c>
      <c r="C160" s="485" t="s">
        <v>886</v>
      </c>
      <c r="D160" s="766" t="s">
        <v>34</v>
      </c>
      <c r="E160" s="766" t="s">
        <v>34</v>
      </c>
      <c r="F160" s="766" t="s">
        <v>34</v>
      </c>
      <c r="G160" s="766" t="s">
        <v>34</v>
      </c>
      <c r="H160" s="766" t="s">
        <v>34</v>
      </c>
      <c r="I160" s="772" t="s">
        <v>34</v>
      </c>
      <c r="J160" s="773" t="s">
        <v>34</v>
      </c>
      <c r="K160" s="482">
        <v>50</v>
      </c>
      <c r="L160" s="484">
        <v>2500</v>
      </c>
      <c r="M160" s="482" t="s">
        <v>429</v>
      </c>
      <c r="N160" s="482">
        <v>54</v>
      </c>
      <c r="O160" s="484">
        <v>40000</v>
      </c>
      <c r="P160" s="484"/>
      <c r="Q160" s="484"/>
      <c r="R160">
        <f t="shared" si="104"/>
        <v>152</v>
      </c>
      <c r="S160" s="556" t="s">
        <v>430</v>
      </c>
      <c r="T160" s="556"/>
      <c r="U160" s="556"/>
      <c r="V160" t="s">
        <v>34</v>
      </c>
      <c r="W160" s="159" t="s">
        <v>34</v>
      </c>
      <c r="AF160" t="s">
        <v>34</v>
      </c>
      <c r="AL160" s="304">
        <f t="shared" si="107"/>
        <v>1.2</v>
      </c>
      <c r="AM160" s="304">
        <f t="shared" si="108"/>
        <v>72</v>
      </c>
      <c r="AN160" s="304">
        <f t="shared" si="109"/>
        <v>0.02</v>
      </c>
    </row>
    <row r="161" spans="1:40" x14ac:dyDescent="0.35">
      <c r="A161">
        <f t="shared" si="103"/>
        <v>153</v>
      </c>
      <c r="B161" s="483" t="s">
        <v>2189</v>
      </c>
      <c r="C161" s="485" t="s">
        <v>749</v>
      </c>
      <c r="D161" s="766" t="s">
        <v>34</v>
      </c>
      <c r="E161" s="766" t="s">
        <v>34</v>
      </c>
      <c r="F161" s="766" t="s">
        <v>34</v>
      </c>
      <c r="G161" s="766" t="s">
        <v>34</v>
      </c>
      <c r="H161" s="766" t="s">
        <v>34</v>
      </c>
      <c r="I161" s="772" t="s">
        <v>34</v>
      </c>
      <c r="J161" s="773" t="s">
        <v>34</v>
      </c>
      <c r="K161" s="482" t="s">
        <v>34</v>
      </c>
      <c r="L161" s="482" t="s">
        <v>34</v>
      </c>
      <c r="M161" s="482" t="s">
        <v>34</v>
      </c>
      <c r="N161" s="482" t="s">
        <v>34</v>
      </c>
      <c r="O161" s="710" t="s">
        <v>358</v>
      </c>
      <c r="P161" s="501" t="s">
        <v>2177</v>
      </c>
      <c r="Q161" s="484" t="s">
        <v>34</v>
      </c>
      <c r="R161">
        <f t="shared" si="104"/>
        <v>153</v>
      </c>
      <c r="S161" s="556" t="s">
        <v>2174</v>
      </c>
      <c r="T161" s="556"/>
      <c r="U161" s="556" t="s">
        <v>2176</v>
      </c>
      <c r="V161" t="s">
        <v>2675</v>
      </c>
      <c r="AL161" s="304" t="e">
        <f t="shared" ref="AL161:AL162" si="130">(K161/L161)*60</f>
        <v>#VALUE!</v>
      </c>
      <c r="AM161" s="304" t="e">
        <f t="shared" ref="AM161:AM162" si="131">60*AL161</f>
        <v>#VALUE!</v>
      </c>
      <c r="AN161" s="304" t="e">
        <f t="shared" ref="AN161:AN162" si="132">AL161/60</f>
        <v>#VALUE!</v>
      </c>
    </row>
    <row r="162" spans="1:40" x14ac:dyDescent="0.35">
      <c r="A162">
        <f t="shared" si="103"/>
        <v>154</v>
      </c>
      <c r="B162" s="483" t="s">
        <v>2186</v>
      </c>
      <c r="C162" s="485" t="s">
        <v>888</v>
      </c>
      <c r="D162" s="766">
        <v>165000</v>
      </c>
      <c r="E162" s="765">
        <f>D162*E$7/F$3</f>
        <v>16.5</v>
      </c>
      <c r="F162" s="765">
        <f>D162*F$7/F$3</f>
        <v>165</v>
      </c>
      <c r="G162" s="765">
        <f>D162*G$7/F$3</f>
        <v>1650</v>
      </c>
      <c r="H162" s="766" t="s">
        <v>34</v>
      </c>
      <c r="I162" s="772" t="s">
        <v>34</v>
      </c>
      <c r="J162" s="773" t="s">
        <v>34</v>
      </c>
      <c r="K162" s="482">
        <v>19</v>
      </c>
      <c r="L162" s="484">
        <v>4256</v>
      </c>
      <c r="M162" s="482" t="s">
        <v>2187</v>
      </c>
      <c r="N162" s="482">
        <v>41</v>
      </c>
      <c r="O162" s="484" t="s">
        <v>364</v>
      </c>
      <c r="P162" s="484"/>
      <c r="Q162" s="484"/>
      <c r="R162">
        <f t="shared" si="104"/>
        <v>154</v>
      </c>
      <c r="S162" s="395" t="s">
        <v>2173</v>
      </c>
      <c r="T162" s="395"/>
      <c r="U162" s="556"/>
      <c r="V162" t="s">
        <v>2182</v>
      </c>
      <c r="AL162" s="304">
        <f t="shared" si="130"/>
        <v>0.26785714285714285</v>
      </c>
      <c r="AM162" s="304">
        <f t="shared" si="131"/>
        <v>16.071428571428569</v>
      </c>
      <c r="AN162" s="304">
        <f t="shared" si="132"/>
        <v>4.464285714285714E-3</v>
      </c>
    </row>
    <row r="163" spans="1:40" x14ac:dyDescent="0.35">
      <c r="A163">
        <f t="shared" si="103"/>
        <v>155</v>
      </c>
      <c r="B163" s="483" t="s">
        <v>431</v>
      </c>
      <c r="C163" s="485" t="s">
        <v>755</v>
      </c>
      <c r="D163" s="765">
        <v>500000</v>
      </c>
      <c r="E163" s="765">
        <f>D163*E$7/F$3</f>
        <v>50</v>
      </c>
      <c r="F163" s="765">
        <f>D163*F$7/F$3</f>
        <v>500</v>
      </c>
      <c r="G163" s="765">
        <f>D163*G$7/F$3</f>
        <v>5000</v>
      </c>
      <c r="H163" s="766" t="s">
        <v>34</v>
      </c>
      <c r="I163" s="772" t="s">
        <v>34</v>
      </c>
      <c r="J163" s="773" t="s">
        <v>34</v>
      </c>
      <c r="K163" s="482">
        <v>400</v>
      </c>
      <c r="L163" s="484">
        <v>170</v>
      </c>
      <c r="M163" s="482" t="s">
        <v>34</v>
      </c>
      <c r="N163" s="482" t="s">
        <v>34</v>
      </c>
      <c r="O163" s="484" t="s">
        <v>346</v>
      </c>
      <c r="P163" s="484"/>
      <c r="Q163" s="484"/>
      <c r="R163">
        <f t="shared" si="104"/>
        <v>155</v>
      </c>
      <c r="S163" s="556" t="s">
        <v>956</v>
      </c>
      <c r="T163" s="556"/>
      <c r="U163" s="556"/>
      <c r="V163" t="s">
        <v>34</v>
      </c>
      <c r="W163" s="159" t="s">
        <v>34</v>
      </c>
      <c r="AF163" t="s">
        <v>34</v>
      </c>
      <c r="AL163" s="304">
        <f t="shared" si="107"/>
        <v>141.1764705882353</v>
      </c>
      <c r="AM163" s="304">
        <f t="shared" si="108"/>
        <v>8470.5882352941189</v>
      </c>
      <c r="AN163" s="304">
        <f t="shared" si="109"/>
        <v>2.3529411764705883</v>
      </c>
    </row>
    <row r="164" spans="1:40" x14ac:dyDescent="0.35">
      <c r="A164">
        <f t="shared" si="103"/>
        <v>156</v>
      </c>
      <c r="B164" s="483" t="s">
        <v>955</v>
      </c>
      <c r="C164" s="485" t="s">
        <v>810</v>
      </c>
      <c r="D164" s="765">
        <v>120</v>
      </c>
      <c r="E164" s="765"/>
      <c r="F164" s="766"/>
      <c r="G164" s="766"/>
      <c r="H164" s="765">
        <f>D164*H$7/F$3</f>
        <v>12</v>
      </c>
      <c r="I164" s="790">
        <f>D164*I$7/I$3</f>
        <v>0.12</v>
      </c>
      <c r="J164" s="791">
        <f>D164*J$7/I$3</f>
        <v>1.2</v>
      </c>
      <c r="K164" s="482">
        <v>1.5</v>
      </c>
      <c r="L164" s="484">
        <v>2898</v>
      </c>
      <c r="M164" s="482" t="s">
        <v>1141</v>
      </c>
      <c r="N164" s="482"/>
      <c r="O164" s="484" t="s">
        <v>434</v>
      </c>
      <c r="P164" s="484"/>
      <c r="Q164" s="484"/>
      <c r="R164">
        <f t="shared" si="104"/>
        <v>156</v>
      </c>
      <c r="S164" s="556" t="s">
        <v>433</v>
      </c>
      <c r="T164" s="556"/>
      <c r="U164" s="556"/>
      <c r="V164" t="s">
        <v>34</v>
      </c>
      <c r="W164" s="159" t="s">
        <v>34</v>
      </c>
      <c r="AF164" t="s">
        <v>34</v>
      </c>
      <c r="AL164" s="304">
        <f t="shared" ref="AL164" si="133">(K164/L164)*60</f>
        <v>3.1055900621118016E-2</v>
      </c>
      <c r="AM164" s="304">
        <f t="shared" ref="AM164" si="134">60*AL164</f>
        <v>1.8633540372670809</v>
      </c>
      <c r="AN164" s="304">
        <f t="shared" ref="AN164" si="135">AL164/60</f>
        <v>5.1759834368530024E-4</v>
      </c>
    </row>
    <row r="165" spans="1:40" x14ac:dyDescent="0.35">
      <c r="A165">
        <f t="shared" si="103"/>
        <v>157</v>
      </c>
      <c r="B165" s="123" t="s">
        <v>436</v>
      </c>
      <c r="C165" s="42" t="s">
        <v>887</v>
      </c>
      <c r="D165" s="666" t="s">
        <v>34</v>
      </c>
      <c r="E165" s="666" t="s">
        <v>34</v>
      </c>
      <c r="F165" s="666" t="s">
        <v>34</v>
      </c>
      <c r="G165" s="666" t="s">
        <v>34</v>
      </c>
      <c r="H165" s="666" t="s">
        <v>34</v>
      </c>
      <c r="I165" s="776" t="s">
        <v>34</v>
      </c>
      <c r="J165" s="777" t="s">
        <v>34</v>
      </c>
      <c r="K165" s="175">
        <v>550</v>
      </c>
      <c r="L165" s="392">
        <v>65</v>
      </c>
      <c r="M165" s="175" t="s">
        <v>34</v>
      </c>
      <c r="N165" s="175" t="s">
        <v>34</v>
      </c>
      <c r="O165" s="392" t="s">
        <v>440</v>
      </c>
      <c r="P165" s="392"/>
      <c r="Q165" s="392"/>
      <c r="R165">
        <f t="shared" si="104"/>
        <v>157</v>
      </c>
      <c r="S165" s="97" t="s">
        <v>437</v>
      </c>
      <c r="T165" s="97"/>
      <c r="U165" s="97"/>
      <c r="V165" t="s">
        <v>34</v>
      </c>
      <c r="W165" s="159" t="s">
        <v>34</v>
      </c>
      <c r="AF165" t="s">
        <v>34</v>
      </c>
      <c r="AL165" s="304">
        <f t="shared" si="107"/>
        <v>507.69230769230768</v>
      </c>
      <c r="AM165" s="304">
        <f t="shared" si="108"/>
        <v>30461.538461538461</v>
      </c>
      <c r="AN165" s="304">
        <f t="shared" si="109"/>
        <v>8.4615384615384617</v>
      </c>
    </row>
    <row r="166" spans="1:40" x14ac:dyDescent="0.35">
      <c r="A166">
        <f t="shared" si="103"/>
        <v>158</v>
      </c>
      <c r="B166" s="123" t="s">
        <v>435</v>
      </c>
      <c r="C166" s="42" t="s">
        <v>888</v>
      </c>
      <c r="D166" s="667">
        <v>200</v>
      </c>
      <c r="E166" s="666" t="s">
        <v>34</v>
      </c>
      <c r="F166" s="666" t="s">
        <v>34</v>
      </c>
      <c r="G166" s="667">
        <f>D166*G$7/F$3</f>
        <v>2</v>
      </c>
      <c r="H166" s="667">
        <f>D166*H$7/F$3</f>
        <v>20</v>
      </c>
      <c r="I166" s="782">
        <f>D166*I$7/I$3</f>
        <v>0.2</v>
      </c>
      <c r="J166" s="777" t="s">
        <v>34</v>
      </c>
      <c r="K166" s="175">
        <v>5.5</v>
      </c>
      <c r="L166" s="392">
        <v>4230</v>
      </c>
      <c r="M166" s="175" t="s">
        <v>635</v>
      </c>
      <c r="N166" s="175">
        <v>0.5</v>
      </c>
      <c r="O166" s="392" t="s">
        <v>404</v>
      </c>
      <c r="P166" s="392"/>
      <c r="Q166" s="392"/>
      <c r="R166">
        <f t="shared" si="104"/>
        <v>158</v>
      </c>
      <c r="S166" s="455" t="s">
        <v>439</v>
      </c>
      <c r="T166" s="455"/>
      <c r="U166" s="455"/>
      <c r="V166" t="s">
        <v>34</v>
      </c>
      <c r="W166" s="159" t="s">
        <v>34</v>
      </c>
      <c r="AF166" t="s">
        <v>34</v>
      </c>
      <c r="AL166" s="304">
        <f t="shared" si="107"/>
        <v>7.8014184397163122E-2</v>
      </c>
      <c r="AM166" s="304">
        <f t="shared" si="108"/>
        <v>4.6808510638297873</v>
      </c>
      <c r="AN166" s="304">
        <f t="shared" si="109"/>
        <v>1.3002364066193853E-3</v>
      </c>
    </row>
    <row r="167" spans="1:40" x14ac:dyDescent="0.35">
      <c r="A167">
        <f t="shared" si="103"/>
        <v>159</v>
      </c>
      <c r="B167" s="123" t="s">
        <v>1142</v>
      </c>
      <c r="C167" s="42" t="s">
        <v>890</v>
      </c>
      <c r="D167" s="667">
        <v>100000000</v>
      </c>
      <c r="E167" s="667">
        <f>D167*E$7/F$3</f>
        <v>10000</v>
      </c>
      <c r="F167" s="666" t="s">
        <v>34</v>
      </c>
      <c r="G167" s="666" t="s">
        <v>34</v>
      </c>
      <c r="H167" s="666" t="s">
        <v>34</v>
      </c>
      <c r="I167" s="776" t="s">
        <v>34</v>
      </c>
      <c r="J167" s="777" t="s">
        <v>34</v>
      </c>
      <c r="K167" s="175">
        <v>4</v>
      </c>
      <c r="L167" s="392">
        <v>4230</v>
      </c>
      <c r="M167" s="175" t="s">
        <v>634</v>
      </c>
      <c r="N167" s="175">
        <v>0.5</v>
      </c>
      <c r="O167" s="392" t="s">
        <v>483</v>
      </c>
      <c r="P167" s="392"/>
      <c r="Q167" s="392"/>
      <c r="R167">
        <f t="shared" si="104"/>
        <v>159</v>
      </c>
      <c r="S167" s="557" t="s">
        <v>630</v>
      </c>
      <c r="T167" s="557"/>
      <c r="U167" s="557"/>
      <c r="V167" t="s">
        <v>636</v>
      </c>
      <c r="W167" s="159" t="s">
        <v>34</v>
      </c>
      <c r="AF167" t="s">
        <v>34</v>
      </c>
      <c r="AG167" s="4" t="s">
        <v>889</v>
      </c>
      <c r="AL167" s="304">
        <f t="shared" si="107"/>
        <v>5.6737588652482268E-2</v>
      </c>
      <c r="AM167" s="304">
        <f t="shared" si="108"/>
        <v>3.4042553191489362</v>
      </c>
      <c r="AN167" s="304">
        <f t="shared" si="109"/>
        <v>9.4562647754137111E-4</v>
      </c>
    </row>
    <row r="168" spans="1:40" x14ac:dyDescent="0.35">
      <c r="A168">
        <f t="shared" si="103"/>
        <v>160</v>
      </c>
      <c r="B168" s="483" t="s">
        <v>559</v>
      </c>
      <c r="C168" s="485" t="s">
        <v>832</v>
      </c>
      <c r="D168" s="766" t="s">
        <v>34</v>
      </c>
      <c r="E168" s="766"/>
      <c r="F168" s="766" t="s">
        <v>34</v>
      </c>
      <c r="G168" s="766" t="s">
        <v>34</v>
      </c>
      <c r="H168" s="766" t="s">
        <v>34</v>
      </c>
      <c r="I168" s="772" t="s">
        <v>34</v>
      </c>
      <c r="J168" s="773" t="s">
        <v>34</v>
      </c>
      <c r="K168" s="482">
        <v>300</v>
      </c>
      <c r="L168" s="484">
        <v>4900</v>
      </c>
      <c r="M168" s="482" t="s">
        <v>366</v>
      </c>
      <c r="N168" s="482">
        <v>217</v>
      </c>
      <c r="O168" s="484" t="s">
        <v>560</v>
      </c>
      <c r="P168" s="484"/>
      <c r="Q168" s="484"/>
      <c r="R168">
        <f t="shared" si="104"/>
        <v>160</v>
      </c>
      <c r="S168" s="556" t="s">
        <v>558</v>
      </c>
      <c r="T168" s="556"/>
      <c r="U168" s="556"/>
      <c r="V168" t="s">
        <v>34</v>
      </c>
      <c r="W168" s="159" t="s">
        <v>34</v>
      </c>
      <c r="AF168" t="s">
        <v>34</v>
      </c>
      <c r="AL168" s="304">
        <f t="shared" si="107"/>
        <v>3.6734693877551021</v>
      </c>
      <c r="AM168" s="304">
        <f t="shared" si="108"/>
        <v>220.40816326530611</v>
      </c>
      <c r="AN168" s="304">
        <f t="shared" si="109"/>
        <v>6.1224489795918366E-2</v>
      </c>
    </row>
    <row r="169" spans="1:40" x14ac:dyDescent="0.35">
      <c r="A169">
        <f t="shared" si="103"/>
        <v>161</v>
      </c>
      <c r="B169" s="487" t="s">
        <v>997</v>
      </c>
      <c r="C169" s="488" t="s">
        <v>833</v>
      </c>
      <c r="D169" s="763">
        <v>2000000</v>
      </c>
      <c r="E169" s="763" t="s">
        <v>34</v>
      </c>
      <c r="F169" s="763" t="s">
        <v>34</v>
      </c>
      <c r="G169" s="763" t="s">
        <v>34</v>
      </c>
      <c r="H169" s="763" t="s">
        <v>34</v>
      </c>
      <c r="I169" s="774" t="s">
        <v>34</v>
      </c>
      <c r="J169" s="775" t="s">
        <v>34</v>
      </c>
      <c r="K169" s="496">
        <v>195</v>
      </c>
      <c r="L169" s="494">
        <v>10080</v>
      </c>
      <c r="M169" s="496" t="s">
        <v>429</v>
      </c>
      <c r="N169" s="496">
        <v>150</v>
      </c>
      <c r="O169" s="494" t="s">
        <v>364</v>
      </c>
      <c r="P169" s="494"/>
      <c r="Q169" s="494">
        <v>0</v>
      </c>
      <c r="R169">
        <f t="shared" si="104"/>
        <v>161</v>
      </c>
      <c r="S169" s="556" t="s">
        <v>996</v>
      </c>
      <c r="T169" s="556"/>
      <c r="U169" s="556"/>
      <c r="V169" t="s">
        <v>34</v>
      </c>
      <c r="W169" s="159" t="s">
        <v>34</v>
      </c>
      <c r="AF169" t="s">
        <v>34</v>
      </c>
      <c r="AL169" s="304">
        <f t="shared" si="107"/>
        <v>1.1607142857142858</v>
      </c>
      <c r="AM169" s="304">
        <f t="shared" si="108"/>
        <v>69.642857142857153</v>
      </c>
      <c r="AN169" s="304">
        <f t="shared" si="109"/>
        <v>1.9345238095238096E-2</v>
      </c>
    </row>
    <row r="170" spans="1:40" x14ac:dyDescent="0.35">
      <c r="A170">
        <f t="shared" si="103"/>
        <v>162</v>
      </c>
      <c r="B170" s="487" t="s">
        <v>2676</v>
      </c>
      <c r="C170" s="488" t="s">
        <v>741</v>
      </c>
      <c r="D170" s="763">
        <v>1100000000</v>
      </c>
      <c r="E170" s="769">
        <f>D170*E$7/F$3</f>
        <v>110000</v>
      </c>
      <c r="F170" s="763" t="s">
        <v>34</v>
      </c>
      <c r="G170" s="763" t="s">
        <v>34</v>
      </c>
      <c r="H170" s="763" t="s">
        <v>34</v>
      </c>
      <c r="I170" s="774" t="s">
        <v>34</v>
      </c>
      <c r="J170" s="775" t="s">
        <v>34</v>
      </c>
      <c r="K170" s="496" t="s">
        <v>34</v>
      </c>
      <c r="L170" s="496" t="s">
        <v>34</v>
      </c>
      <c r="M170" s="496" t="s">
        <v>34</v>
      </c>
      <c r="N170" s="496" t="s">
        <v>34</v>
      </c>
      <c r="O170" s="494" t="s">
        <v>409</v>
      </c>
      <c r="P170" s="494"/>
      <c r="Q170" s="494"/>
      <c r="R170">
        <f t="shared" si="104"/>
        <v>162</v>
      </c>
      <c r="S170" s="42" t="s">
        <v>562</v>
      </c>
      <c r="T170" s="42"/>
      <c r="U170" s="42"/>
      <c r="V170" t="s">
        <v>34</v>
      </c>
      <c r="W170" s="159" t="s">
        <v>34</v>
      </c>
      <c r="AF170" t="s">
        <v>34</v>
      </c>
      <c r="AL170" s="304" t="e">
        <f t="shared" si="107"/>
        <v>#VALUE!</v>
      </c>
      <c r="AM170" s="304" t="e">
        <f t="shared" si="108"/>
        <v>#VALUE!</v>
      </c>
      <c r="AN170" s="304" t="e">
        <f t="shared" si="109"/>
        <v>#VALUE!</v>
      </c>
    </row>
    <row r="171" spans="1:40" x14ac:dyDescent="0.35">
      <c r="A171">
        <f t="shared" si="103"/>
        <v>163</v>
      </c>
      <c r="B171" s="487" t="s">
        <v>563</v>
      </c>
      <c r="C171" s="488" t="s">
        <v>741</v>
      </c>
      <c r="D171" s="769">
        <v>2000000</v>
      </c>
      <c r="E171" s="769">
        <f>D171*E$7/F$3</f>
        <v>200</v>
      </c>
      <c r="F171" s="769">
        <f>D171*F$7/F$3</f>
        <v>2000</v>
      </c>
      <c r="G171" s="769">
        <f>D171*G$7/F$3</f>
        <v>20000</v>
      </c>
      <c r="H171" s="763" t="s">
        <v>34</v>
      </c>
      <c r="I171" s="774" t="s">
        <v>34</v>
      </c>
      <c r="J171" s="775" t="s">
        <v>34</v>
      </c>
      <c r="K171" s="496">
        <v>380</v>
      </c>
      <c r="L171" s="494">
        <v>17280</v>
      </c>
      <c r="M171" s="496" t="s">
        <v>2558</v>
      </c>
      <c r="N171" s="496">
        <v>180</v>
      </c>
      <c r="O171" s="494" t="s">
        <v>363</v>
      </c>
      <c r="P171" s="494"/>
      <c r="Q171" s="494" t="s">
        <v>1362</v>
      </c>
      <c r="R171">
        <f t="shared" si="104"/>
        <v>163</v>
      </c>
      <c r="S171" s="556" t="s">
        <v>562</v>
      </c>
      <c r="T171" s="556"/>
      <c r="U171" s="556"/>
      <c r="V171" t="s">
        <v>34</v>
      </c>
      <c r="W171" s="159" t="s">
        <v>34</v>
      </c>
      <c r="AF171" t="s">
        <v>34</v>
      </c>
      <c r="AL171" s="304">
        <f>(K171/L171)*60</f>
        <v>1.3194444444444444</v>
      </c>
      <c r="AM171" s="304">
        <f>60*AL171</f>
        <v>79.166666666666671</v>
      </c>
      <c r="AN171" s="304">
        <f>AL171/60</f>
        <v>2.1990740740740741E-2</v>
      </c>
    </row>
    <row r="172" spans="1:40" x14ac:dyDescent="0.35">
      <c r="A172">
        <f t="shared" si="103"/>
        <v>164</v>
      </c>
      <c r="B172" s="487" t="s">
        <v>834</v>
      </c>
      <c r="C172" s="488" t="s">
        <v>782</v>
      </c>
      <c r="D172" s="769">
        <v>2500000000</v>
      </c>
      <c r="E172" s="763" t="s">
        <v>34</v>
      </c>
      <c r="F172" s="763" t="s">
        <v>34</v>
      </c>
      <c r="G172" s="763" t="s">
        <v>34</v>
      </c>
      <c r="H172" s="763" t="s">
        <v>34</v>
      </c>
      <c r="I172" s="774" t="s">
        <v>34</v>
      </c>
      <c r="J172" s="775" t="s">
        <v>34</v>
      </c>
      <c r="K172" s="496">
        <v>600</v>
      </c>
      <c r="L172" s="494"/>
      <c r="M172" s="496"/>
      <c r="N172" s="496"/>
      <c r="O172" s="494">
        <v>1</v>
      </c>
      <c r="P172" s="494">
        <v>1</v>
      </c>
      <c r="Q172" s="494">
        <v>0</v>
      </c>
      <c r="R172">
        <f t="shared" si="104"/>
        <v>164</v>
      </c>
      <c r="S172" s="556" t="s">
        <v>835</v>
      </c>
      <c r="T172" s="556"/>
      <c r="U172" s="556"/>
      <c r="V172" t="s">
        <v>836</v>
      </c>
      <c r="W172" s="159" t="s">
        <v>34</v>
      </c>
      <c r="AF172" t="s">
        <v>34</v>
      </c>
      <c r="AL172" s="304" t="e">
        <f>(K172/L172)*60</f>
        <v>#DIV/0!</v>
      </c>
      <c r="AM172" s="304" t="e">
        <f>60*AL172</f>
        <v>#DIV/0!</v>
      </c>
      <c r="AN172" s="304" t="e">
        <f>AL172/60</f>
        <v>#DIV/0!</v>
      </c>
    </row>
    <row r="173" spans="1:40" x14ac:dyDescent="0.35">
      <c r="A173">
        <f t="shared" si="103"/>
        <v>165</v>
      </c>
      <c r="B173" s="487" t="s">
        <v>1968</v>
      </c>
      <c r="C173" s="590" t="s">
        <v>1820</v>
      </c>
      <c r="D173" s="769"/>
      <c r="E173" s="763" t="s">
        <v>34</v>
      </c>
      <c r="F173" s="763" t="s">
        <v>34</v>
      </c>
      <c r="G173" s="763" t="s">
        <v>34</v>
      </c>
      <c r="H173" s="763" t="s">
        <v>34</v>
      </c>
      <c r="I173" s="774" t="s">
        <v>34</v>
      </c>
      <c r="J173" s="775" t="s">
        <v>34</v>
      </c>
      <c r="K173" s="496">
        <v>1000</v>
      </c>
      <c r="L173" s="494">
        <v>9000</v>
      </c>
      <c r="M173" s="496" t="s">
        <v>1107</v>
      </c>
      <c r="N173" s="496" t="s">
        <v>1180</v>
      </c>
      <c r="O173" s="494" t="s">
        <v>1822</v>
      </c>
      <c r="P173" s="494">
        <v>0</v>
      </c>
      <c r="Q173" s="494">
        <v>0</v>
      </c>
      <c r="R173">
        <f t="shared" si="104"/>
        <v>165</v>
      </c>
      <c r="S173" s="556" t="s">
        <v>1821</v>
      </c>
      <c r="T173" s="556"/>
      <c r="U173" s="556"/>
      <c r="AL173" s="304">
        <f>(K173/L173)*60</f>
        <v>6.6666666666666661</v>
      </c>
      <c r="AM173" s="304">
        <f>60*AL173</f>
        <v>399.99999999999994</v>
      </c>
      <c r="AN173" s="304">
        <f>AL173/60</f>
        <v>0.1111111111111111</v>
      </c>
    </row>
    <row r="174" spans="1:40" x14ac:dyDescent="0.35">
      <c r="A174">
        <f t="shared" si="103"/>
        <v>166</v>
      </c>
      <c r="B174" s="123"/>
      <c r="C174" s="42"/>
      <c r="D174" s="667"/>
      <c r="E174" s="667"/>
      <c r="F174" s="667"/>
      <c r="G174" s="667"/>
      <c r="H174" s="667"/>
      <c r="I174" s="782"/>
      <c r="J174" s="783"/>
      <c r="K174" s="105"/>
      <c r="L174" s="392"/>
      <c r="M174" s="178"/>
      <c r="N174" s="178"/>
      <c r="O174" s="392"/>
      <c r="P174" s="392"/>
      <c r="Q174" s="392"/>
      <c r="R174">
        <f t="shared" si="104"/>
        <v>166</v>
      </c>
      <c r="V174" t="s">
        <v>34</v>
      </c>
      <c r="W174" s="159" t="s">
        <v>34</v>
      </c>
      <c r="AF174" t="s">
        <v>34</v>
      </c>
    </row>
    <row r="175" spans="1:40" x14ac:dyDescent="0.35">
      <c r="A175">
        <f t="shared" si="103"/>
        <v>167</v>
      </c>
      <c r="B175" s="189" t="s">
        <v>645</v>
      </c>
      <c r="C175" s="464"/>
      <c r="D175" s="768"/>
      <c r="E175" s="768"/>
      <c r="F175" s="768"/>
      <c r="G175" s="768"/>
      <c r="H175" s="768"/>
      <c r="I175" s="780"/>
      <c r="J175" s="781"/>
      <c r="K175" s="391"/>
      <c r="L175" s="393"/>
      <c r="M175" s="384"/>
      <c r="N175" s="384"/>
      <c r="O175" s="393"/>
      <c r="P175" s="393"/>
      <c r="Q175" s="393"/>
      <c r="R175">
        <f t="shared" si="104"/>
        <v>167</v>
      </c>
      <c r="V175" t="s">
        <v>34</v>
      </c>
      <c r="W175" s="159" t="s">
        <v>34</v>
      </c>
      <c r="AF175" t="s">
        <v>34</v>
      </c>
    </row>
    <row r="176" spans="1:40" x14ac:dyDescent="0.35">
      <c r="A176">
        <f t="shared" si="103"/>
        <v>168</v>
      </c>
      <c r="B176" s="487" t="s">
        <v>646</v>
      </c>
      <c r="C176" s="488" t="s">
        <v>866</v>
      </c>
      <c r="D176" s="769">
        <v>30000000</v>
      </c>
      <c r="E176" s="769"/>
      <c r="F176" s="769"/>
      <c r="G176" s="769"/>
      <c r="H176" s="769"/>
      <c r="I176" s="784"/>
      <c r="J176" s="785"/>
      <c r="K176" s="491">
        <v>300</v>
      </c>
      <c r="L176" s="494" t="s">
        <v>34</v>
      </c>
      <c r="M176" s="492" t="s">
        <v>34</v>
      </c>
      <c r="N176" s="492" t="s">
        <v>34</v>
      </c>
      <c r="O176" s="494" t="s">
        <v>346</v>
      </c>
      <c r="P176" s="494"/>
      <c r="Q176" s="494"/>
      <c r="R176">
        <f t="shared" si="104"/>
        <v>168</v>
      </c>
      <c r="S176" s="20" t="s">
        <v>647</v>
      </c>
      <c r="T176" s="20"/>
      <c r="U176" s="20"/>
      <c r="V176" t="s">
        <v>34</v>
      </c>
      <c r="W176" s="159" t="s">
        <v>34</v>
      </c>
      <c r="AF176" t="s">
        <v>34</v>
      </c>
    </row>
    <row r="177" spans="1:40" x14ac:dyDescent="0.35">
      <c r="A177">
        <f t="shared" si="103"/>
        <v>169</v>
      </c>
      <c r="B177" s="123"/>
      <c r="C177" s="42"/>
      <c r="D177" s="667"/>
      <c r="E177" s="667"/>
      <c r="F177" s="667"/>
      <c r="G177" s="667"/>
      <c r="H177" s="667"/>
      <c r="I177" s="782"/>
      <c r="J177" s="783"/>
      <c r="K177" s="105"/>
      <c r="L177" s="392"/>
      <c r="M177" s="178"/>
      <c r="N177" s="178"/>
      <c r="O177" s="392"/>
      <c r="P177" s="392"/>
      <c r="Q177" s="392"/>
      <c r="R177">
        <f t="shared" si="104"/>
        <v>169</v>
      </c>
      <c r="V177" t="s">
        <v>34</v>
      </c>
      <c r="W177" s="159" t="s">
        <v>34</v>
      </c>
      <c r="AF177" t="s">
        <v>34</v>
      </c>
    </row>
    <row r="178" spans="1:40" x14ac:dyDescent="0.35">
      <c r="A178">
        <f t="shared" si="103"/>
        <v>170</v>
      </c>
      <c r="B178" s="123"/>
      <c r="C178" s="42"/>
      <c r="D178" s="667"/>
      <c r="E178" s="667"/>
      <c r="F178" s="667"/>
      <c r="G178" s="667"/>
      <c r="H178" s="667"/>
      <c r="I178" s="782"/>
      <c r="J178" s="783"/>
      <c r="K178" s="105"/>
      <c r="L178" s="392"/>
      <c r="M178" s="178"/>
      <c r="N178" s="178"/>
      <c r="O178" s="392"/>
      <c r="P178" s="392"/>
      <c r="Q178" s="392"/>
      <c r="R178">
        <f t="shared" si="104"/>
        <v>170</v>
      </c>
      <c r="V178" t="s">
        <v>34</v>
      </c>
      <c r="W178" s="159" t="s">
        <v>34</v>
      </c>
      <c r="AF178" t="s">
        <v>34</v>
      </c>
    </row>
    <row r="179" spans="1:40" x14ac:dyDescent="0.35">
      <c r="A179">
        <f t="shared" si="103"/>
        <v>171</v>
      </c>
      <c r="B179" s="123"/>
      <c r="C179" s="42"/>
      <c r="D179" s="667"/>
      <c r="E179" s="667"/>
      <c r="F179" s="667"/>
      <c r="G179" s="666"/>
      <c r="H179" s="666"/>
      <c r="I179" s="776"/>
      <c r="J179" s="777"/>
      <c r="K179" s="105"/>
      <c r="L179" s="392"/>
      <c r="M179" s="381"/>
      <c r="N179" s="179"/>
      <c r="O179" s="392"/>
      <c r="P179" s="392"/>
      <c r="Q179" s="392"/>
      <c r="R179">
        <f t="shared" si="104"/>
        <v>171</v>
      </c>
      <c r="W179" s="159" t="s">
        <v>34</v>
      </c>
      <c r="AF179" t="s">
        <v>34</v>
      </c>
    </row>
    <row r="180" spans="1:40" x14ac:dyDescent="0.35">
      <c r="A180">
        <f t="shared" si="103"/>
        <v>172</v>
      </c>
      <c r="B180" s="123"/>
      <c r="C180" s="42"/>
      <c r="D180" s="667"/>
      <c r="E180" s="667"/>
      <c r="F180" s="667"/>
      <c r="G180" s="666"/>
      <c r="H180" s="666"/>
      <c r="I180" s="776"/>
      <c r="J180" s="777"/>
      <c r="K180" s="105"/>
      <c r="L180" s="392"/>
      <c r="M180" s="381"/>
      <c r="N180" s="179"/>
      <c r="O180" s="392"/>
      <c r="P180" s="392"/>
      <c r="Q180" s="392"/>
      <c r="R180">
        <f t="shared" si="104"/>
        <v>172</v>
      </c>
      <c r="W180" s="159" t="s">
        <v>34</v>
      </c>
      <c r="AF180" t="s">
        <v>34</v>
      </c>
    </row>
    <row r="181" spans="1:40" x14ac:dyDescent="0.35">
      <c r="A181">
        <f t="shared" si="103"/>
        <v>173</v>
      </c>
      <c r="B181" s="123"/>
      <c r="C181" s="42"/>
      <c r="D181" s="667"/>
      <c r="E181" s="667"/>
      <c r="F181" s="667"/>
      <c r="G181" s="666"/>
      <c r="H181" s="666"/>
      <c r="I181" s="776"/>
      <c r="J181" s="777"/>
      <c r="K181" s="105"/>
      <c r="L181" s="392"/>
      <c r="M181" s="381"/>
      <c r="N181" s="179"/>
      <c r="O181" s="392"/>
      <c r="P181" s="392"/>
      <c r="Q181" s="392"/>
      <c r="R181">
        <f t="shared" si="104"/>
        <v>173</v>
      </c>
      <c r="V181" t="s">
        <v>34</v>
      </c>
      <c r="W181" s="159" t="s">
        <v>34</v>
      </c>
      <c r="AF181" t="s">
        <v>34</v>
      </c>
    </row>
    <row r="182" spans="1:40" x14ac:dyDescent="0.35">
      <c r="A182">
        <f t="shared" si="103"/>
        <v>174</v>
      </c>
      <c r="B182" s="189" t="s">
        <v>1288</v>
      </c>
      <c r="C182" s="464"/>
      <c r="D182" s="768"/>
      <c r="E182" s="768"/>
      <c r="F182" s="768"/>
      <c r="G182" s="768"/>
      <c r="H182" s="768"/>
      <c r="I182" s="780"/>
      <c r="J182" s="781"/>
      <c r="K182" s="391"/>
      <c r="L182" s="391"/>
      <c r="M182" s="388"/>
      <c r="N182" s="190"/>
      <c r="O182" s="393"/>
      <c r="P182" s="393"/>
      <c r="Q182" s="393"/>
      <c r="R182">
        <f t="shared" si="104"/>
        <v>174</v>
      </c>
      <c r="V182" s="427" t="s">
        <v>34</v>
      </c>
      <c r="W182" s="159" t="s">
        <v>34</v>
      </c>
      <c r="X182" s="427"/>
      <c r="Y182" s="427"/>
      <c r="Z182" s="427"/>
      <c r="AA182" s="427"/>
      <c r="AB182" s="427"/>
      <c r="AC182" s="427"/>
      <c r="AD182" s="427"/>
      <c r="AE182" s="427"/>
      <c r="AF182" t="s">
        <v>34</v>
      </c>
      <c r="AL182" s="304"/>
      <c r="AM182" s="304"/>
      <c r="AN182" s="304"/>
    </row>
    <row r="183" spans="1:40" x14ac:dyDescent="0.35">
      <c r="A183">
        <f t="shared" si="103"/>
        <v>175</v>
      </c>
      <c r="B183" s="483" t="s">
        <v>502</v>
      </c>
      <c r="C183" s="485" t="s">
        <v>810</v>
      </c>
      <c r="D183" s="765">
        <v>47000000</v>
      </c>
      <c r="E183" s="765">
        <f>D183*E$7/F$3</f>
        <v>4700</v>
      </c>
      <c r="F183" s="765">
        <f>D183*F$7/F$3</f>
        <v>47000</v>
      </c>
      <c r="G183" s="766" t="s">
        <v>34</v>
      </c>
      <c r="H183" s="766" t="s">
        <v>34</v>
      </c>
      <c r="I183" s="772" t="s">
        <v>34</v>
      </c>
      <c r="J183" s="772" t="s">
        <v>34</v>
      </c>
      <c r="K183" s="481">
        <v>1430</v>
      </c>
      <c r="L183" s="481">
        <v>2450</v>
      </c>
      <c r="M183" s="510" t="s">
        <v>34</v>
      </c>
      <c r="N183" s="484">
        <v>4000</v>
      </c>
      <c r="O183" s="484" t="s">
        <v>362</v>
      </c>
      <c r="P183" s="484"/>
      <c r="Q183" s="484"/>
      <c r="R183">
        <f t="shared" si="104"/>
        <v>175</v>
      </c>
      <c r="S183" s="451" t="s">
        <v>361</v>
      </c>
      <c r="T183" s="451"/>
      <c r="U183" s="451"/>
      <c r="V183" t="s">
        <v>34</v>
      </c>
      <c r="W183" s="159" t="s">
        <v>34</v>
      </c>
      <c r="AF183" t="s">
        <v>34</v>
      </c>
      <c r="AL183" s="304">
        <f t="shared" si="27"/>
        <v>35.020408163265309</v>
      </c>
      <c r="AM183" s="304">
        <f t="shared" si="28"/>
        <v>2101.2244897959185</v>
      </c>
      <c r="AN183" s="304">
        <f t="shared" si="29"/>
        <v>0.58367346938775511</v>
      </c>
    </row>
    <row r="184" spans="1:40" x14ac:dyDescent="0.35">
      <c r="A184">
        <f t="shared" si="103"/>
        <v>176</v>
      </c>
      <c r="B184" s="483" t="s">
        <v>536</v>
      </c>
      <c r="C184" s="485" t="s">
        <v>749</v>
      </c>
      <c r="D184" s="765">
        <v>30</v>
      </c>
      <c r="E184" s="766" t="s">
        <v>34</v>
      </c>
      <c r="F184" s="766" t="s">
        <v>34</v>
      </c>
      <c r="G184" s="766" t="s">
        <v>34</v>
      </c>
      <c r="H184" s="765">
        <f>D184*H$7/F$3</f>
        <v>3</v>
      </c>
      <c r="I184" s="790">
        <f>D184*I$7/I$3</f>
        <v>0.03</v>
      </c>
      <c r="J184" s="791">
        <f>D184*J$7/I$3</f>
        <v>0.3</v>
      </c>
      <c r="K184" s="515">
        <v>1.8</v>
      </c>
      <c r="L184" s="484">
        <v>3240</v>
      </c>
      <c r="M184" s="510" t="s">
        <v>539</v>
      </c>
      <c r="N184" s="516" t="s">
        <v>34</v>
      </c>
      <c r="O184" s="484" t="s">
        <v>351</v>
      </c>
      <c r="P184" s="484"/>
      <c r="Q184" s="484"/>
      <c r="R184">
        <f t="shared" si="104"/>
        <v>176</v>
      </c>
      <c r="S184" s="97" t="s">
        <v>537</v>
      </c>
      <c r="T184" s="97"/>
      <c r="U184" s="97"/>
      <c r="V184" t="s">
        <v>34</v>
      </c>
      <c r="W184" s="159" t="s">
        <v>34</v>
      </c>
      <c r="AF184" t="s">
        <v>34</v>
      </c>
      <c r="AL184" s="304">
        <f t="shared" si="27"/>
        <v>3.3333333333333333E-2</v>
      </c>
      <c r="AM184" s="304">
        <f t="shared" si="28"/>
        <v>2</v>
      </c>
      <c r="AN184" s="304">
        <f t="shared" si="29"/>
        <v>5.5555555555555556E-4</v>
      </c>
    </row>
    <row r="185" spans="1:40" x14ac:dyDescent="0.35">
      <c r="A185">
        <f t="shared" si="103"/>
        <v>177</v>
      </c>
      <c r="B185" s="123" t="s">
        <v>954</v>
      </c>
      <c r="C185" s="42" t="s">
        <v>741</v>
      </c>
      <c r="D185" s="667">
        <v>323770</v>
      </c>
      <c r="E185" s="667">
        <f>D185*E$7/F$3</f>
        <v>32.377000000000002</v>
      </c>
      <c r="F185" s="667">
        <f>D185*F$7/F$3</f>
        <v>323.77</v>
      </c>
      <c r="G185" s="666" t="s">
        <v>34</v>
      </c>
      <c r="H185" s="666" t="s">
        <v>34</v>
      </c>
      <c r="I185" s="776" t="s">
        <v>34</v>
      </c>
      <c r="J185" s="776" t="s">
        <v>34</v>
      </c>
      <c r="K185" s="105">
        <v>70</v>
      </c>
      <c r="L185" s="392" t="s">
        <v>34</v>
      </c>
      <c r="M185" s="381" t="s">
        <v>34</v>
      </c>
      <c r="N185" s="179" t="s">
        <v>497</v>
      </c>
      <c r="O185" s="392"/>
      <c r="P185" s="392"/>
      <c r="Q185" s="392"/>
      <c r="R185">
        <f t="shared" si="104"/>
        <v>177</v>
      </c>
      <c r="S185" s="20" t="s">
        <v>496</v>
      </c>
      <c r="T185" s="20"/>
      <c r="U185" s="20"/>
      <c r="V185" t="s">
        <v>34</v>
      </c>
      <c r="W185" s="159" t="s">
        <v>34</v>
      </c>
      <c r="AF185" t="s">
        <v>34</v>
      </c>
      <c r="AL185" s="304" t="e">
        <f t="shared" ref="AL185" si="136">(K185/L185)*60</f>
        <v>#VALUE!</v>
      </c>
      <c r="AM185" s="304" t="e">
        <f t="shared" ref="AM185" si="137">60*AL185</f>
        <v>#VALUE!</v>
      </c>
      <c r="AN185" s="304" t="e">
        <f t="shared" ref="AN185" si="138">AL185/60</f>
        <v>#VALUE!</v>
      </c>
    </row>
    <row r="186" spans="1:40" x14ac:dyDescent="0.35">
      <c r="A186">
        <f t="shared" si="103"/>
        <v>178</v>
      </c>
      <c r="B186" s="123" t="s">
        <v>1182</v>
      </c>
      <c r="C186" s="42" t="s">
        <v>869</v>
      </c>
      <c r="D186" s="667">
        <v>870000</v>
      </c>
      <c r="E186" s="667">
        <f>D186*E$7/F$3</f>
        <v>87</v>
      </c>
      <c r="F186" s="667">
        <f>D186*F$7/F$3</f>
        <v>870</v>
      </c>
      <c r="G186" s="666" t="s">
        <v>34</v>
      </c>
      <c r="H186" s="666" t="s">
        <v>34</v>
      </c>
      <c r="I186" s="776" t="s">
        <v>34</v>
      </c>
      <c r="J186" s="776" t="s">
        <v>34</v>
      </c>
      <c r="K186" s="105">
        <v>300</v>
      </c>
      <c r="L186" s="105">
        <v>3552</v>
      </c>
      <c r="M186" s="381" t="s">
        <v>494</v>
      </c>
      <c r="N186" s="179" t="s">
        <v>493</v>
      </c>
      <c r="O186" s="392" t="s">
        <v>495</v>
      </c>
      <c r="P186" s="392" t="s">
        <v>560</v>
      </c>
      <c r="Q186" s="392" t="s">
        <v>410</v>
      </c>
      <c r="R186">
        <f t="shared" si="104"/>
        <v>178</v>
      </c>
      <c r="S186" s="20" t="s">
        <v>492</v>
      </c>
      <c r="T186" s="20"/>
      <c r="U186" s="20"/>
      <c r="V186" t="s">
        <v>34</v>
      </c>
      <c r="W186" s="159" t="s">
        <v>34</v>
      </c>
      <c r="AF186" t="s">
        <v>34</v>
      </c>
      <c r="AL186" s="304">
        <f t="shared" si="27"/>
        <v>5.0675675675675675</v>
      </c>
      <c r="AM186" s="304">
        <f t="shared" si="28"/>
        <v>304.05405405405406</v>
      </c>
      <c r="AN186" s="304">
        <f t="shared" si="29"/>
        <v>8.4459459459459457E-2</v>
      </c>
    </row>
    <row r="187" spans="1:40" x14ac:dyDescent="0.35">
      <c r="A187">
        <f t="shared" si="103"/>
        <v>179</v>
      </c>
      <c r="B187" s="123" t="s">
        <v>1291</v>
      </c>
      <c r="C187" s="42" t="s">
        <v>882</v>
      </c>
      <c r="D187" s="667">
        <v>100000000</v>
      </c>
      <c r="E187" s="667">
        <f>D187*E$7/F$3</f>
        <v>10000</v>
      </c>
      <c r="F187" s="667">
        <f>D187*F$7/F$3</f>
        <v>100000</v>
      </c>
      <c r="G187" s="666" t="s">
        <v>34</v>
      </c>
      <c r="H187" s="666" t="s">
        <v>34</v>
      </c>
      <c r="I187" s="776" t="s">
        <v>34</v>
      </c>
      <c r="J187" s="776" t="s">
        <v>34</v>
      </c>
      <c r="K187" s="105">
        <v>822</v>
      </c>
      <c r="L187" s="105">
        <v>1915</v>
      </c>
      <c r="M187" s="381" t="s">
        <v>2050</v>
      </c>
      <c r="N187" s="392">
        <v>8050</v>
      </c>
      <c r="O187" s="392" t="s">
        <v>2049</v>
      </c>
      <c r="P187" s="392"/>
      <c r="Q187" s="392">
        <v>24</v>
      </c>
      <c r="R187">
        <f t="shared" si="104"/>
        <v>179</v>
      </c>
      <c r="S187" s="20" t="s">
        <v>1290</v>
      </c>
      <c r="T187" s="20"/>
      <c r="U187" s="20"/>
      <c r="V187" t="s">
        <v>34</v>
      </c>
      <c r="W187" s="159" t="s">
        <v>34</v>
      </c>
      <c r="AL187" s="304">
        <f t="shared" ref="AL187:AL193" si="139">(K187/L187)*60</f>
        <v>25.754569190600524</v>
      </c>
      <c r="AM187" s="304">
        <f t="shared" ref="AM187:AM193" si="140">60*AL187</f>
        <v>1545.2741514360314</v>
      </c>
      <c r="AN187" s="304">
        <f t="shared" ref="AN187:AN193" si="141">AL187/60</f>
        <v>0.42924281984334206</v>
      </c>
    </row>
    <row r="188" spans="1:40" x14ac:dyDescent="0.35">
      <c r="A188">
        <f t="shared" si="103"/>
        <v>180</v>
      </c>
      <c r="B188" s="123" t="s">
        <v>2213</v>
      </c>
      <c r="C188" s="42" t="s">
        <v>2216</v>
      </c>
      <c r="D188" s="666" t="s">
        <v>34</v>
      </c>
      <c r="E188" s="666" t="s">
        <v>34</v>
      </c>
      <c r="F188" s="666" t="s">
        <v>34</v>
      </c>
      <c r="G188" s="666" t="s">
        <v>34</v>
      </c>
      <c r="H188" s="666" t="s">
        <v>34</v>
      </c>
      <c r="I188" s="776" t="s">
        <v>34</v>
      </c>
      <c r="J188" s="776" t="s">
        <v>34</v>
      </c>
      <c r="K188" s="105">
        <v>150</v>
      </c>
      <c r="L188" s="392" t="s">
        <v>34</v>
      </c>
      <c r="M188" s="381" t="s">
        <v>34</v>
      </c>
      <c r="N188" s="392" t="s">
        <v>34</v>
      </c>
      <c r="O188" s="392" t="s">
        <v>34</v>
      </c>
      <c r="P188" s="392"/>
      <c r="Q188" s="392"/>
      <c r="R188">
        <f t="shared" si="104"/>
        <v>180</v>
      </c>
      <c r="S188" s="20" t="s">
        <v>2214</v>
      </c>
      <c r="T188" s="20"/>
      <c r="U188" s="20" t="s">
        <v>2215</v>
      </c>
      <c r="AL188" s="304" t="e">
        <f t="shared" ref="AL188:AL189" si="142">(K188/L188)*60</f>
        <v>#VALUE!</v>
      </c>
      <c r="AM188" s="304" t="e">
        <f t="shared" ref="AM188:AM189" si="143">60*AL188</f>
        <v>#VALUE!</v>
      </c>
      <c r="AN188" s="304" t="e">
        <f t="shared" ref="AN188:AN189" si="144">AL188/60</f>
        <v>#VALUE!</v>
      </c>
    </row>
    <row r="189" spans="1:40" x14ac:dyDescent="0.35">
      <c r="A189">
        <f t="shared" si="103"/>
        <v>181</v>
      </c>
      <c r="B189" s="123" t="s">
        <v>2223</v>
      </c>
      <c r="C189" s="42" t="s">
        <v>2220</v>
      </c>
      <c r="D189" s="666">
        <f>2430000000/70</f>
        <v>34714285.714285716</v>
      </c>
      <c r="E189" s="666" t="s">
        <v>34</v>
      </c>
      <c r="F189" s="666" t="s">
        <v>34</v>
      </c>
      <c r="G189" s="666" t="s">
        <v>34</v>
      </c>
      <c r="H189" s="666" t="s">
        <v>34</v>
      </c>
      <c r="I189" s="776" t="s">
        <v>34</v>
      </c>
      <c r="J189" s="776" t="s">
        <v>34</v>
      </c>
      <c r="K189" s="105">
        <v>370</v>
      </c>
      <c r="L189" s="392" t="s">
        <v>34</v>
      </c>
      <c r="M189" s="381" t="s">
        <v>34</v>
      </c>
      <c r="N189" s="392" t="s">
        <v>34</v>
      </c>
      <c r="O189" s="392" t="s">
        <v>34</v>
      </c>
      <c r="P189" s="392"/>
      <c r="Q189" s="392"/>
      <c r="R189">
        <f t="shared" si="104"/>
        <v>181</v>
      </c>
      <c r="S189" s="20" t="s">
        <v>1251</v>
      </c>
      <c r="T189" s="20"/>
      <c r="U189" s="20" t="s">
        <v>2221</v>
      </c>
      <c r="V189" s="712" t="s">
        <v>2677</v>
      </c>
      <c r="W189" s="713"/>
      <c r="AL189" s="304" t="e">
        <f t="shared" si="142"/>
        <v>#VALUE!</v>
      </c>
      <c r="AM189" s="304" t="e">
        <f t="shared" si="143"/>
        <v>#VALUE!</v>
      </c>
      <c r="AN189" s="304" t="e">
        <f t="shared" si="144"/>
        <v>#VALUE!</v>
      </c>
    </row>
    <row r="190" spans="1:40" x14ac:dyDescent="0.35">
      <c r="A190">
        <f t="shared" si="103"/>
        <v>182</v>
      </c>
      <c r="B190" s="123" t="s">
        <v>1311</v>
      </c>
      <c r="C190" s="455" t="s">
        <v>1969</v>
      </c>
      <c r="D190" s="667">
        <v>4870000</v>
      </c>
      <c r="E190" s="667">
        <f>D190*E$7/F$3</f>
        <v>487</v>
      </c>
      <c r="F190" s="667">
        <f>D190*F$7/F$3</f>
        <v>4870</v>
      </c>
      <c r="G190" s="667">
        <f t="shared" ref="G190" si="145">D190*G$7/F$3</f>
        <v>48700</v>
      </c>
      <c r="H190" s="666" t="s">
        <v>34</v>
      </c>
      <c r="I190" s="776" t="s">
        <v>34</v>
      </c>
      <c r="J190" s="777" t="s">
        <v>34</v>
      </c>
      <c r="K190" s="105">
        <v>400</v>
      </c>
      <c r="L190" s="392">
        <v>4287</v>
      </c>
      <c r="M190" s="381" t="s">
        <v>2561</v>
      </c>
      <c r="N190" s="179" t="s">
        <v>1105</v>
      </c>
      <c r="O190" s="392" t="s">
        <v>409</v>
      </c>
      <c r="P190" s="392"/>
      <c r="Q190" s="392" t="s">
        <v>409</v>
      </c>
      <c r="R190">
        <f t="shared" si="104"/>
        <v>182</v>
      </c>
      <c r="S190" s="20" t="s">
        <v>1289</v>
      </c>
      <c r="T190" s="20"/>
      <c r="U190" s="20" t="s">
        <v>1307</v>
      </c>
      <c r="V190" s="4" t="s">
        <v>1458</v>
      </c>
      <c r="W190" s="159">
        <v>860</v>
      </c>
      <c r="X190" t="s">
        <v>1457</v>
      </c>
      <c r="AL190" s="304">
        <f t="shared" si="139"/>
        <v>5.5983205038488455</v>
      </c>
      <c r="AM190" s="304">
        <f t="shared" si="140"/>
        <v>335.89923023093075</v>
      </c>
      <c r="AN190" s="304">
        <f t="shared" si="141"/>
        <v>9.330534173081409E-2</v>
      </c>
    </row>
    <row r="191" spans="1:40" x14ac:dyDescent="0.35">
      <c r="A191">
        <f t="shared" si="103"/>
        <v>183</v>
      </c>
      <c r="B191" s="123" t="s">
        <v>2748</v>
      </c>
      <c r="C191" s="455" t="s">
        <v>1264</v>
      </c>
      <c r="D191" s="667">
        <f>D210</f>
        <v>1090000</v>
      </c>
      <c r="E191" s="667">
        <f>D191*E$7/F$3</f>
        <v>109</v>
      </c>
      <c r="F191" s="667">
        <f>D191*F$7/F$3</f>
        <v>1090</v>
      </c>
      <c r="G191" s="667">
        <f>D191*G$7/F$3</f>
        <v>10900</v>
      </c>
      <c r="H191" s="666" t="s">
        <v>34</v>
      </c>
      <c r="I191" s="776" t="s">
        <v>34</v>
      </c>
      <c r="J191" s="776" t="s">
        <v>34</v>
      </c>
      <c r="K191" s="105">
        <v>220</v>
      </c>
      <c r="L191" s="392">
        <f>L209</f>
        <v>4939</v>
      </c>
      <c r="M191" s="381" t="s">
        <v>1262</v>
      </c>
      <c r="N191" s="381" t="str">
        <f>N209</f>
        <v>20</v>
      </c>
      <c r="O191" s="392" t="s">
        <v>346</v>
      </c>
      <c r="P191" s="392"/>
      <c r="Q191" s="392" t="s">
        <v>346</v>
      </c>
      <c r="R191">
        <f t="shared" si="104"/>
        <v>183</v>
      </c>
      <c r="S191" s="97" t="s">
        <v>1260</v>
      </c>
      <c r="T191" s="97"/>
      <c r="U191" s="97"/>
      <c r="W191" s="159" t="s">
        <v>2463</v>
      </c>
      <c r="X191" t="s">
        <v>1261</v>
      </c>
      <c r="AL191" s="304">
        <f>(K191/L191)*60</f>
        <v>2.6726057906458798</v>
      </c>
      <c r="AM191" s="304">
        <f>60*AL191</f>
        <v>160.35634743875278</v>
      </c>
      <c r="AN191" s="304">
        <f>AL191/60</f>
        <v>4.4543429844097995E-2</v>
      </c>
    </row>
    <row r="192" spans="1:40" x14ac:dyDescent="0.35">
      <c r="A192">
        <f t="shared" si="103"/>
        <v>184</v>
      </c>
      <c r="B192" s="123" t="s">
        <v>2774</v>
      </c>
      <c r="C192" s="455" t="s">
        <v>2775</v>
      </c>
      <c r="D192" s="667">
        <v>125000000</v>
      </c>
      <c r="E192" s="667">
        <f>D192*E$7/F$3</f>
        <v>12500</v>
      </c>
      <c r="F192" s="666" t="s">
        <v>34</v>
      </c>
      <c r="G192" s="666" t="s">
        <v>34</v>
      </c>
      <c r="H192" s="666" t="s">
        <v>34</v>
      </c>
      <c r="I192" s="776" t="s">
        <v>34</v>
      </c>
      <c r="J192" s="777" t="s">
        <v>34</v>
      </c>
      <c r="K192" s="105">
        <v>722</v>
      </c>
      <c r="L192" s="392">
        <v>1900</v>
      </c>
      <c r="M192" s="381" t="s">
        <v>2777</v>
      </c>
      <c r="N192" s="381" t="s">
        <v>34</v>
      </c>
      <c r="O192" s="392" t="s">
        <v>1120</v>
      </c>
      <c r="P192" s="392" t="s">
        <v>1120</v>
      </c>
      <c r="Q192" s="392" t="s">
        <v>2781</v>
      </c>
      <c r="R192">
        <f t="shared" si="104"/>
        <v>184</v>
      </c>
      <c r="S192" s="97" t="s">
        <v>2776</v>
      </c>
      <c r="T192" s="97"/>
      <c r="U192" s="97" t="s">
        <v>2773</v>
      </c>
      <c r="V192" t="s">
        <v>2787</v>
      </c>
      <c r="AL192" s="304">
        <f>(K192/L192)*60</f>
        <v>22.8</v>
      </c>
      <c r="AM192" s="304">
        <f>60*AL192</f>
        <v>1368</v>
      </c>
      <c r="AN192" s="304">
        <f>AL192/60</f>
        <v>0.38</v>
      </c>
    </row>
    <row r="193" spans="1:40" x14ac:dyDescent="0.35">
      <c r="A193">
        <f t="shared" si="103"/>
        <v>185</v>
      </c>
      <c r="B193" s="123" t="s">
        <v>1309</v>
      </c>
      <c r="C193" s="455" t="s">
        <v>2060</v>
      </c>
      <c r="D193" s="666" t="s">
        <v>34</v>
      </c>
      <c r="E193" s="666" t="s">
        <v>34</v>
      </c>
      <c r="F193" s="666" t="s">
        <v>34</v>
      </c>
      <c r="G193" s="666" t="s">
        <v>34</v>
      </c>
      <c r="H193" s="666" t="s">
        <v>34</v>
      </c>
      <c r="I193" s="776" t="s">
        <v>34</v>
      </c>
      <c r="J193" s="777" t="s">
        <v>34</v>
      </c>
      <c r="K193" s="105">
        <v>5600</v>
      </c>
      <c r="L193" s="392">
        <v>1048</v>
      </c>
      <c r="M193" s="381" t="s">
        <v>946</v>
      </c>
      <c r="N193" s="392">
        <f>272*2</f>
        <v>544</v>
      </c>
      <c r="O193" s="392"/>
      <c r="P193" s="392"/>
      <c r="Q193" s="392"/>
      <c r="R193">
        <f t="shared" si="104"/>
        <v>185</v>
      </c>
      <c r="S193" s="20" t="s">
        <v>1308</v>
      </c>
      <c r="T193" s="20"/>
      <c r="U193" s="20"/>
      <c r="W193" s="159">
        <v>2722</v>
      </c>
      <c r="AL193" s="304">
        <f t="shared" si="139"/>
        <v>320.61068702290072</v>
      </c>
      <c r="AM193" s="304">
        <f t="shared" si="140"/>
        <v>19236.641221374044</v>
      </c>
      <c r="AN193" s="304">
        <f t="shared" si="141"/>
        <v>5.343511450381679</v>
      </c>
    </row>
    <row r="194" spans="1:40" x14ac:dyDescent="0.35">
      <c r="A194">
        <f t="shared" si="103"/>
        <v>186</v>
      </c>
      <c r="B194" s="123" t="s">
        <v>520</v>
      </c>
      <c r="C194" s="42" t="s">
        <v>742</v>
      </c>
      <c r="D194" s="667">
        <v>109000000</v>
      </c>
      <c r="E194" s="667">
        <f>D194*E$7/F$3</f>
        <v>10900</v>
      </c>
      <c r="F194" s="667">
        <f>D194*F$7/F$3</f>
        <v>109000</v>
      </c>
      <c r="G194" s="666" t="s">
        <v>34</v>
      </c>
      <c r="H194" s="666" t="s">
        <v>34</v>
      </c>
      <c r="I194" s="776" t="s">
        <v>34</v>
      </c>
      <c r="J194" s="776" t="s">
        <v>34</v>
      </c>
      <c r="K194" s="105">
        <f>1239/2</f>
        <v>619.5</v>
      </c>
      <c r="L194" s="392">
        <v>1908</v>
      </c>
      <c r="M194" s="381" t="s">
        <v>34</v>
      </c>
      <c r="N194" s="392">
        <v>8200</v>
      </c>
      <c r="O194" s="392" t="s">
        <v>516</v>
      </c>
      <c r="P194" s="392"/>
      <c r="Q194" s="392"/>
      <c r="R194">
        <f t="shared" si="104"/>
        <v>186</v>
      </c>
      <c r="S194" s="20" t="s">
        <v>518</v>
      </c>
      <c r="T194" s="20"/>
      <c r="U194" s="20"/>
      <c r="V194" t="s">
        <v>34</v>
      </c>
      <c r="W194" s="159" t="s">
        <v>34</v>
      </c>
      <c r="AF194" t="s">
        <v>34</v>
      </c>
      <c r="AL194" s="304">
        <f t="shared" si="27"/>
        <v>19.481132075471699</v>
      </c>
      <c r="AM194" s="304">
        <f t="shared" si="28"/>
        <v>1168.867924528302</v>
      </c>
      <c r="AN194" s="304">
        <f t="shared" si="29"/>
        <v>0.32468553459119498</v>
      </c>
    </row>
    <row r="195" spans="1:40" x14ac:dyDescent="0.35">
      <c r="A195">
        <f t="shared" si="103"/>
        <v>187</v>
      </c>
      <c r="B195" s="123" t="s">
        <v>542</v>
      </c>
      <c r="C195" s="42" t="s">
        <v>874</v>
      </c>
      <c r="D195" s="667">
        <v>20</v>
      </c>
      <c r="E195" s="666" t="s">
        <v>34</v>
      </c>
      <c r="F195" s="666" t="s">
        <v>34</v>
      </c>
      <c r="G195" s="666" t="s">
        <v>34</v>
      </c>
      <c r="H195" s="667">
        <f>D195*H$7/F$3</f>
        <v>2</v>
      </c>
      <c r="I195" s="782">
        <f>D195*I$7/I$3</f>
        <v>0.02</v>
      </c>
      <c r="J195" s="783">
        <f>D195*J$7/I$3</f>
        <v>0.2</v>
      </c>
      <c r="K195" s="424">
        <v>3.66</v>
      </c>
      <c r="L195" s="392">
        <v>3744</v>
      </c>
      <c r="M195" s="381" t="s">
        <v>543</v>
      </c>
      <c r="N195" s="392" t="s">
        <v>34</v>
      </c>
      <c r="O195" s="392" t="s">
        <v>351</v>
      </c>
      <c r="P195" s="392"/>
      <c r="Q195" s="392"/>
      <c r="R195">
        <f t="shared" si="104"/>
        <v>187</v>
      </c>
      <c r="S195" s="20" t="s">
        <v>544</v>
      </c>
      <c r="T195" s="20"/>
      <c r="U195" s="20"/>
      <c r="V195" t="s">
        <v>34</v>
      </c>
      <c r="W195" s="159" t="s">
        <v>34</v>
      </c>
      <c r="AF195" t="s">
        <v>34</v>
      </c>
      <c r="AL195" s="304">
        <f t="shared" si="27"/>
        <v>5.8653846153846154E-2</v>
      </c>
      <c r="AM195" s="304">
        <f t="shared" si="28"/>
        <v>3.5192307692307692</v>
      </c>
      <c r="AN195" s="304">
        <f t="shared" si="29"/>
        <v>9.775641025641026E-4</v>
      </c>
    </row>
    <row r="196" spans="1:40" x14ac:dyDescent="0.35">
      <c r="A196">
        <f t="shared" si="103"/>
        <v>188</v>
      </c>
      <c r="B196" s="123" t="s">
        <v>2744</v>
      </c>
      <c r="C196" s="42" t="s">
        <v>762</v>
      </c>
      <c r="D196" s="667">
        <v>2100000</v>
      </c>
      <c r="E196" s="667">
        <f>D196*E$7/F$3</f>
        <v>210</v>
      </c>
      <c r="F196" s="667">
        <f>D196*F$7/F$3</f>
        <v>2100</v>
      </c>
      <c r="G196" s="666" t="s">
        <v>34</v>
      </c>
      <c r="H196" s="666" t="s">
        <v>34</v>
      </c>
      <c r="I196" s="776" t="s">
        <v>34</v>
      </c>
      <c r="J196" s="776" t="s">
        <v>34</v>
      </c>
      <c r="K196" s="424">
        <v>200</v>
      </c>
      <c r="L196" s="392">
        <v>4777</v>
      </c>
      <c r="M196" s="381" t="s">
        <v>2746</v>
      </c>
      <c r="N196" s="392"/>
      <c r="O196" s="392"/>
      <c r="P196" s="392"/>
      <c r="Q196" s="392"/>
      <c r="R196">
        <f t="shared" si="104"/>
        <v>188</v>
      </c>
      <c r="S196" s="20" t="s">
        <v>2745</v>
      </c>
      <c r="T196" s="20"/>
      <c r="U196" s="20"/>
      <c r="W196" s="159">
        <v>190</v>
      </c>
      <c r="X196" t="s">
        <v>2750</v>
      </c>
      <c r="Y196" t="s">
        <v>2752</v>
      </c>
      <c r="Z196" t="s">
        <v>2751</v>
      </c>
      <c r="AL196" s="304">
        <f t="shared" si="27"/>
        <v>2.5120368432070337</v>
      </c>
      <c r="AM196" s="304">
        <f t="shared" si="28"/>
        <v>150.72221059242202</v>
      </c>
      <c r="AN196" s="304">
        <f t="shared" si="29"/>
        <v>4.186728072011723E-2</v>
      </c>
    </row>
    <row r="197" spans="1:40" x14ac:dyDescent="0.35">
      <c r="A197">
        <f t="shared" si="103"/>
        <v>189</v>
      </c>
      <c r="B197" s="123" t="s">
        <v>1116</v>
      </c>
      <c r="C197" s="42" t="s">
        <v>782</v>
      </c>
      <c r="D197" s="667">
        <f>161000000/48</f>
        <v>3354166.6666666665</v>
      </c>
      <c r="E197" s="667">
        <f>D197*E$7/F$3</f>
        <v>335.41666666666663</v>
      </c>
      <c r="F197" s="667">
        <f>D197*F$7/F$3</f>
        <v>3354.1666666666665</v>
      </c>
      <c r="G197" s="666" t="s">
        <v>34</v>
      </c>
      <c r="H197" s="666" t="s">
        <v>34</v>
      </c>
      <c r="I197" s="776" t="s">
        <v>34</v>
      </c>
      <c r="J197" s="776" t="s">
        <v>34</v>
      </c>
      <c r="K197" s="105">
        <v>555</v>
      </c>
      <c r="L197" s="392">
        <v>1073</v>
      </c>
      <c r="M197" s="381" t="s">
        <v>481</v>
      </c>
      <c r="N197" s="179" t="s">
        <v>482</v>
      </c>
      <c r="O197" s="392" t="s">
        <v>483</v>
      </c>
      <c r="P197" s="392"/>
      <c r="Q197" s="392"/>
      <c r="R197">
        <f t="shared" si="104"/>
        <v>189</v>
      </c>
      <c r="S197" s="97" t="s">
        <v>480</v>
      </c>
      <c r="T197" s="97"/>
      <c r="U197" s="97"/>
      <c r="V197" t="s">
        <v>34</v>
      </c>
      <c r="W197" s="159" t="s">
        <v>34</v>
      </c>
      <c r="AF197" t="s">
        <v>34</v>
      </c>
      <c r="AL197" s="304">
        <f t="shared" si="27"/>
        <v>31.03448275862069</v>
      </c>
      <c r="AM197" s="304">
        <f t="shared" si="28"/>
        <v>1862.0689655172414</v>
      </c>
      <c r="AN197" s="304">
        <f t="shared" si="29"/>
        <v>0.51724137931034486</v>
      </c>
    </row>
    <row r="198" spans="1:40" x14ac:dyDescent="0.35">
      <c r="A198">
        <f t="shared" si="103"/>
        <v>190</v>
      </c>
      <c r="B198" s="615" t="s">
        <v>2485</v>
      </c>
      <c r="C198" s="616" t="s">
        <v>2487</v>
      </c>
      <c r="D198" s="767">
        <v>1000000</v>
      </c>
      <c r="E198" s="767">
        <f t="shared" ref="E198:E199" si="146">D198*E$7/F$3</f>
        <v>100</v>
      </c>
      <c r="F198" s="767">
        <f t="shared" ref="F198:F199" si="147">D198*F$7/F$3</f>
        <v>1000</v>
      </c>
      <c r="G198" s="767">
        <f>D198*G$7/F$3</f>
        <v>10000</v>
      </c>
      <c r="H198" s="762" t="s">
        <v>34</v>
      </c>
      <c r="I198" s="778" t="s">
        <v>34</v>
      </c>
      <c r="J198" s="778" t="s">
        <v>34</v>
      </c>
      <c r="K198" s="618">
        <v>250</v>
      </c>
      <c r="L198" s="619">
        <v>1980</v>
      </c>
      <c r="M198" s="620" t="s">
        <v>2535</v>
      </c>
      <c r="N198" s="621" t="s">
        <v>2489</v>
      </c>
      <c r="O198" s="619" t="s">
        <v>401</v>
      </c>
      <c r="P198" s="619" t="s">
        <v>358</v>
      </c>
      <c r="Q198" s="619" t="s">
        <v>1362</v>
      </c>
      <c r="R198">
        <f t="shared" si="104"/>
        <v>190</v>
      </c>
      <c r="S198" s="97" t="s">
        <v>2486</v>
      </c>
      <c r="T198" s="97"/>
      <c r="U198" s="97" t="s">
        <v>34</v>
      </c>
      <c r="V198" t="s">
        <v>2488</v>
      </c>
      <c r="W198" s="159">
        <v>570</v>
      </c>
      <c r="X198" t="s">
        <v>2495</v>
      </c>
      <c r="Y198" t="s">
        <v>2490</v>
      </c>
      <c r="AL198" s="304">
        <f t="shared" si="27"/>
        <v>7.5757575757575761</v>
      </c>
      <c r="AM198" s="304">
        <f t="shared" si="28"/>
        <v>454.54545454545456</v>
      </c>
      <c r="AN198" s="304">
        <f t="shared" si="29"/>
        <v>0.12626262626262627</v>
      </c>
    </row>
    <row r="199" spans="1:40" x14ac:dyDescent="0.35">
      <c r="A199">
        <f t="shared" si="103"/>
        <v>191</v>
      </c>
      <c r="B199" s="615" t="s">
        <v>2492</v>
      </c>
      <c r="C199" s="616" t="s">
        <v>1812</v>
      </c>
      <c r="D199" s="767">
        <v>2000000</v>
      </c>
      <c r="E199" s="767">
        <f t="shared" si="146"/>
        <v>200</v>
      </c>
      <c r="F199" s="767">
        <f t="shared" si="147"/>
        <v>2000</v>
      </c>
      <c r="G199" s="762" t="s">
        <v>34</v>
      </c>
      <c r="H199" s="762" t="s">
        <v>34</v>
      </c>
      <c r="I199" s="778" t="s">
        <v>34</v>
      </c>
      <c r="J199" s="778" t="s">
        <v>34</v>
      </c>
      <c r="K199" s="619">
        <v>300</v>
      </c>
      <c r="L199" s="619">
        <v>3000</v>
      </c>
      <c r="M199" s="624" t="s">
        <v>396</v>
      </c>
      <c r="N199" s="621" t="s">
        <v>802</v>
      </c>
      <c r="O199" s="619" t="s">
        <v>358</v>
      </c>
      <c r="P199" s="619" t="s">
        <v>358</v>
      </c>
      <c r="Q199" s="619" t="s">
        <v>346</v>
      </c>
      <c r="R199">
        <f t="shared" si="104"/>
        <v>191</v>
      </c>
      <c r="S199" s="20" t="s">
        <v>1813</v>
      </c>
      <c r="T199" s="20"/>
      <c r="U199" s="20" t="s">
        <v>1819</v>
      </c>
      <c r="V199" t="s">
        <v>2496</v>
      </c>
      <c r="W199" s="159">
        <v>1250</v>
      </c>
      <c r="X199" t="s">
        <v>1814</v>
      </c>
      <c r="Y199" t="s">
        <v>2542</v>
      </c>
      <c r="Z199" t="s">
        <v>1815</v>
      </c>
      <c r="AA199" t="s">
        <v>1946</v>
      </c>
      <c r="AL199" s="304">
        <f>(K199/L199)*60</f>
        <v>6</v>
      </c>
      <c r="AM199" s="304">
        <f>60*AL199</f>
        <v>360</v>
      </c>
      <c r="AN199" s="304">
        <f>AL199/60</f>
        <v>0.1</v>
      </c>
    </row>
    <row r="200" spans="1:40" x14ac:dyDescent="0.35">
      <c r="A200">
        <f t="shared" si="103"/>
        <v>192</v>
      </c>
      <c r="B200" s="615" t="s">
        <v>2498</v>
      </c>
      <c r="C200" s="616" t="s">
        <v>2493</v>
      </c>
      <c r="D200" s="767">
        <v>3000000</v>
      </c>
      <c r="E200" s="767">
        <f t="shared" ref="E200" si="148">D200*E$7/F$3</f>
        <v>300</v>
      </c>
      <c r="F200" s="767">
        <f t="shared" ref="F200" si="149">D200*F$7/F$3</f>
        <v>3000</v>
      </c>
      <c r="G200" s="762" t="s">
        <v>34</v>
      </c>
      <c r="H200" s="762" t="s">
        <v>34</v>
      </c>
      <c r="I200" s="778" t="s">
        <v>34</v>
      </c>
      <c r="J200" s="778" t="s">
        <v>34</v>
      </c>
      <c r="K200" s="619">
        <v>430</v>
      </c>
      <c r="L200" s="619">
        <v>5633</v>
      </c>
      <c r="M200" s="624" t="s">
        <v>494</v>
      </c>
      <c r="N200" s="621" t="s">
        <v>1483</v>
      </c>
      <c r="O200" s="619" t="s">
        <v>346</v>
      </c>
      <c r="P200" s="619" t="s">
        <v>409</v>
      </c>
      <c r="Q200" s="619" t="s">
        <v>346</v>
      </c>
      <c r="R200">
        <f t="shared" si="104"/>
        <v>192</v>
      </c>
      <c r="S200" s="20" t="s">
        <v>1476</v>
      </c>
      <c r="T200" s="20"/>
      <c r="U200" s="20" t="s">
        <v>1477</v>
      </c>
      <c r="V200" t="s">
        <v>1944</v>
      </c>
      <c r="W200" s="159">
        <v>1600</v>
      </c>
      <c r="X200" t="s">
        <v>2520</v>
      </c>
      <c r="Y200" t="s">
        <v>2519</v>
      </c>
      <c r="Z200" t="s">
        <v>1485</v>
      </c>
      <c r="AL200" s="304">
        <f t="shared" ref="AL200" si="150">(K200/L200)*60</f>
        <v>4.5801526717557257</v>
      </c>
      <c r="AM200" s="304">
        <f t="shared" ref="AM200" si="151">60*AL200</f>
        <v>274.80916030534354</v>
      </c>
      <c r="AN200" s="304">
        <f t="shared" ref="AN200" si="152">AL200/60</f>
        <v>7.6335877862595422E-2</v>
      </c>
    </row>
    <row r="201" spans="1:40" x14ac:dyDescent="0.35">
      <c r="A201">
        <f t="shared" si="103"/>
        <v>193</v>
      </c>
      <c r="B201" s="123" t="s">
        <v>415</v>
      </c>
      <c r="C201" s="42" t="s">
        <v>862</v>
      </c>
      <c r="D201" s="667">
        <v>100000000</v>
      </c>
      <c r="E201" s="667">
        <f>D201*E$7/F$3</f>
        <v>10000</v>
      </c>
      <c r="F201" s="667">
        <f>D201*F$7/F$3</f>
        <v>100000</v>
      </c>
      <c r="G201" s="666" t="s">
        <v>34</v>
      </c>
      <c r="H201" s="666" t="s">
        <v>34</v>
      </c>
      <c r="I201" s="776" t="s">
        <v>34</v>
      </c>
      <c r="J201" s="776" t="s">
        <v>34</v>
      </c>
      <c r="K201" s="105">
        <v>546</v>
      </c>
      <c r="L201" s="105">
        <v>2000</v>
      </c>
      <c r="M201" s="381" t="s">
        <v>670</v>
      </c>
      <c r="N201" s="392">
        <v>7700</v>
      </c>
      <c r="O201" s="392" t="s">
        <v>412</v>
      </c>
      <c r="P201" s="392" t="s">
        <v>815</v>
      </c>
      <c r="Q201" s="392">
        <v>48</v>
      </c>
      <c r="R201">
        <f t="shared" si="104"/>
        <v>193</v>
      </c>
      <c r="S201" s="20" t="s">
        <v>416</v>
      </c>
      <c r="T201" s="20"/>
      <c r="U201" s="20"/>
      <c r="V201" t="s">
        <v>34</v>
      </c>
      <c r="W201" s="159" t="s">
        <v>34</v>
      </c>
      <c r="AF201" t="s">
        <v>34</v>
      </c>
      <c r="AL201" s="304">
        <f t="shared" si="27"/>
        <v>16.380000000000003</v>
      </c>
      <c r="AM201" s="304">
        <f t="shared" si="28"/>
        <v>982.80000000000018</v>
      </c>
      <c r="AN201" s="304">
        <f t="shared" si="29"/>
        <v>0.27300000000000002</v>
      </c>
    </row>
    <row r="202" spans="1:40" x14ac:dyDescent="0.35">
      <c r="A202">
        <f t="shared" si="103"/>
        <v>194</v>
      </c>
      <c r="B202" s="123" t="s">
        <v>2217</v>
      </c>
      <c r="C202" s="42" t="s">
        <v>2521</v>
      </c>
      <c r="D202" s="666" t="s">
        <v>34</v>
      </c>
      <c r="E202" s="666" t="s">
        <v>34</v>
      </c>
      <c r="F202" s="666" t="s">
        <v>34</v>
      </c>
      <c r="G202" s="666" t="s">
        <v>34</v>
      </c>
      <c r="H202" s="666" t="s">
        <v>34</v>
      </c>
      <c r="I202" s="776" t="s">
        <v>34</v>
      </c>
      <c r="J202" s="776" t="s">
        <v>34</v>
      </c>
      <c r="K202" s="105">
        <v>83</v>
      </c>
      <c r="L202" s="392" t="s">
        <v>34</v>
      </c>
      <c r="M202" s="381" t="s">
        <v>34</v>
      </c>
      <c r="N202" s="392" t="s">
        <v>34</v>
      </c>
      <c r="O202" s="392" t="s">
        <v>34</v>
      </c>
      <c r="P202" s="392"/>
      <c r="Q202" s="392"/>
      <c r="R202">
        <f t="shared" si="104"/>
        <v>194</v>
      </c>
      <c r="S202" s="20" t="s">
        <v>2218</v>
      </c>
      <c r="T202" s="20"/>
      <c r="U202" s="20"/>
      <c r="AL202" s="304"/>
      <c r="AM202" s="304"/>
      <c r="AN202" s="304"/>
    </row>
    <row r="203" spans="1:40" x14ac:dyDescent="0.35">
      <c r="A203">
        <f t="shared" si="103"/>
        <v>195</v>
      </c>
      <c r="B203" s="123" t="s">
        <v>1234</v>
      </c>
      <c r="C203" s="42" t="s">
        <v>875</v>
      </c>
      <c r="D203" s="667">
        <v>30000</v>
      </c>
      <c r="E203" s="666" t="s">
        <v>34</v>
      </c>
      <c r="F203" s="666" t="s">
        <v>34</v>
      </c>
      <c r="G203" s="667">
        <f>D203*G$7/F$3</f>
        <v>300</v>
      </c>
      <c r="H203" s="667">
        <f>D203*H$7/F$3</f>
        <v>3000</v>
      </c>
      <c r="I203" s="776" t="s">
        <v>34</v>
      </c>
      <c r="J203" s="776" t="s">
        <v>34</v>
      </c>
      <c r="K203" s="105">
        <v>28</v>
      </c>
      <c r="L203" s="392" t="s">
        <v>34</v>
      </c>
      <c r="M203" s="381" t="s">
        <v>34</v>
      </c>
      <c r="N203" s="179" t="s">
        <v>443</v>
      </c>
      <c r="O203" s="392" t="s">
        <v>476</v>
      </c>
      <c r="P203" s="392"/>
      <c r="Q203" s="392"/>
      <c r="R203">
        <f t="shared" si="104"/>
        <v>195</v>
      </c>
      <c r="S203" s="97" t="s">
        <v>442</v>
      </c>
      <c r="T203" s="97"/>
      <c r="U203" s="97"/>
      <c r="V203" t="s">
        <v>34</v>
      </c>
      <c r="W203" s="159" t="s">
        <v>34</v>
      </c>
      <c r="AF203" t="s">
        <v>34</v>
      </c>
      <c r="AL203" s="304" t="e">
        <f t="shared" ref="AL203:AL210" si="153">(K203/L203)*60</f>
        <v>#VALUE!</v>
      </c>
      <c r="AM203" s="304" t="e">
        <f t="shared" ref="AM203:AM210" si="154">60*AL203</f>
        <v>#VALUE!</v>
      </c>
      <c r="AN203" s="304" t="e">
        <f t="shared" ref="AN203:AN210" si="155">AL203/60</f>
        <v>#VALUE!</v>
      </c>
    </row>
    <row r="204" spans="1:40" x14ac:dyDescent="0.35">
      <c r="A204">
        <f t="shared" si="103"/>
        <v>196</v>
      </c>
      <c r="B204" s="123" t="s">
        <v>642</v>
      </c>
      <c r="C204" s="42" t="s">
        <v>742</v>
      </c>
      <c r="D204" s="667">
        <v>40000</v>
      </c>
      <c r="E204" s="666" t="s">
        <v>34</v>
      </c>
      <c r="F204" s="666" t="s">
        <v>34</v>
      </c>
      <c r="G204" s="667">
        <f t="shared" ref="G204:G207" si="156">D204*G$7/F$3</f>
        <v>400</v>
      </c>
      <c r="H204" s="667">
        <f t="shared" ref="H204:H207" si="157">D204*H$7/F$3</f>
        <v>4000</v>
      </c>
      <c r="I204" s="776" t="s">
        <v>34</v>
      </c>
      <c r="J204" s="776" t="s">
        <v>34</v>
      </c>
      <c r="K204" s="105">
        <v>111</v>
      </c>
      <c r="L204" s="392" t="s">
        <v>34</v>
      </c>
      <c r="M204" s="381" t="s">
        <v>34</v>
      </c>
      <c r="N204" s="179" t="s">
        <v>641</v>
      </c>
      <c r="O204" s="392" t="s">
        <v>640</v>
      </c>
      <c r="P204" s="392"/>
      <c r="Q204" s="392"/>
      <c r="R204">
        <f t="shared" si="104"/>
        <v>196</v>
      </c>
      <c r="S204" s="97" t="s">
        <v>643</v>
      </c>
      <c r="T204" s="97"/>
      <c r="U204" s="97"/>
      <c r="V204" t="s">
        <v>644</v>
      </c>
      <c r="W204" s="159" t="s">
        <v>34</v>
      </c>
      <c r="AF204" t="s">
        <v>34</v>
      </c>
      <c r="AL204" s="304" t="e">
        <f t="shared" si="153"/>
        <v>#VALUE!</v>
      </c>
      <c r="AM204" s="304" t="e">
        <f t="shared" si="154"/>
        <v>#VALUE!</v>
      </c>
      <c r="AN204" s="304" t="e">
        <f t="shared" si="155"/>
        <v>#VALUE!</v>
      </c>
    </row>
    <row r="205" spans="1:40" x14ac:dyDescent="0.35">
      <c r="A205">
        <f t="shared" si="103"/>
        <v>197</v>
      </c>
      <c r="B205" s="123" t="s">
        <v>1300</v>
      </c>
      <c r="C205" s="42" t="s">
        <v>875</v>
      </c>
      <c r="D205" s="667">
        <v>282000</v>
      </c>
      <c r="E205" s="666" t="s">
        <v>34</v>
      </c>
      <c r="F205" s="667">
        <f t="shared" ref="F205:F207" si="158">D205*F$7/F$3</f>
        <v>282</v>
      </c>
      <c r="G205" s="667">
        <f t="shared" si="156"/>
        <v>2820</v>
      </c>
      <c r="H205" s="667">
        <f t="shared" si="157"/>
        <v>28200</v>
      </c>
      <c r="I205" s="776" t="s">
        <v>34</v>
      </c>
      <c r="J205" s="776" t="s">
        <v>34</v>
      </c>
      <c r="K205" s="105" t="s">
        <v>1305</v>
      </c>
      <c r="L205" s="392" t="s">
        <v>34</v>
      </c>
      <c r="M205" s="381" t="s">
        <v>34</v>
      </c>
      <c r="N205" s="554" t="s">
        <v>1306</v>
      </c>
      <c r="O205" s="392"/>
      <c r="P205" s="392"/>
      <c r="Q205" s="392"/>
      <c r="R205">
        <f t="shared" si="104"/>
        <v>197</v>
      </c>
      <c r="S205" s="97" t="s">
        <v>1298</v>
      </c>
      <c r="T205" s="97"/>
      <c r="U205" s="97" t="s">
        <v>1299</v>
      </c>
      <c r="V205" t="s">
        <v>1313</v>
      </c>
      <c r="W205" s="159">
        <v>497</v>
      </c>
      <c r="AL205" s="304"/>
      <c r="AM205" s="304"/>
      <c r="AN205" s="304"/>
    </row>
    <row r="206" spans="1:40" x14ac:dyDescent="0.35">
      <c r="A206">
        <f t="shared" si="103"/>
        <v>198</v>
      </c>
      <c r="B206" s="123" t="s">
        <v>1301</v>
      </c>
      <c r="C206" s="42" t="s">
        <v>875</v>
      </c>
      <c r="D206" s="667">
        <v>484167</v>
      </c>
      <c r="E206" s="666" t="s">
        <v>34</v>
      </c>
      <c r="F206" s="667">
        <f t="shared" si="158"/>
        <v>484.16699999999997</v>
      </c>
      <c r="G206" s="667">
        <f t="shared" si="156"/>
        <v>4841.67</v>
      </c>
      <c r="H206" s="667">
        <f t="shared" si="157"/>
        <v>48416.7</v>
      </c>
      <c r="I206" s="776" t="s">
        <v>34</v>
      </c>
      <c r="J206" s="776" t="s">
        <v>34</v>
      </c>
      <c r="K206" s="105" t="s">
        <v>1305</v>
      </c>
      <c r="L206" s="392"/>
      <c r="M206" s="381"/>
      <c r="N206" s="554" t="s">
        <v>1970</v>
      </c>
      <c r="O206" s="392"/>
      <c r="P206" s="392"/>
      <c r="Q206" s="392"/>
      <c r="R206">
        <f t="shared" si="104"/>
        <v>198</v>
      </c>
      <c r="S206" s="97" t="s">
        <v>1304</v>
      </c>
      <c r="T206" s="97"/>
      <c r="U206" s="97"/>
      <c r="AL206" s="304"/>
      <c r="AM206" s="304"/>
      <c r="AN206" s="304"/>
    </row>
    <row r="207" spans="1:40" x14ac:dyDescent="0.35">
      <c r="A207">
        <f t="shared" ref="A207:A265" si="159">A206+1</f>
        <v>199</v>
      </c>
      <c r="B207" s="123" t="s">
        <v>1302</v>
      </c>
      <c r="C207" s="42" t="s">
        <v>761</v>
      </c>
      <c r="D207" s="667">
        <v>719012</v>
      </c>
      <c r="E207" s="666" t="s">
        <v>34</v>
      </c>
      <c r="F207" s="667">
        <f t="shared" si="158"/>
        <v>719.01199999999994</v>
      </c>
      <c r="G207" s="667">
        <f t="shared" si="156"/>
        <v>7190.12</v>
      </c>
      <c r="H207" s="667">
        <f t="shared" si="157"/>
        <v>71901.2</v>
      </c>
      <c r="I207" s="776" t="s">
        <v>34</v>
      </c>
      <c r="J207" s="776" t="s">
        <v>34</v>
      </c>
      <c r="K207" s="105" t="s">
        <v>1305</v>
      </c>
      <c r="L207" s="392"/>
      <c r="M207" s="381"/>
      <c r="N207" s="554" t="s">
        <v>1314</v>
      </c>
      <c r="O207" s="392"/>
      <c r="P207" s="392"/>
      <c r="Q207" s="392"/>
      <c r="R207">
        <f t="shared" ref="R207:R265" si="160">R206+1</f>
        <v>199</v>
      </c>
      <c r="S207" s="97" t="s">
        <v>1304</v>
      </c>
      <c r="T207" s="97"/>
      <c r="U207" s="97"/>
      <c r="AL207" s="304"/>
      <c r="AM207" s="304"/>
      <c r="AN207" s="304"/>
    </row>
    <row r="208" spans="1:40" x14ac:dyDescent="0.35">
      <c r="A208">
        <f t="shared" si="159"/>
        <v>200</v>
      </c>
      <c r="B208" s="123" t="s">
        <v>503</v>
      </c>
      <c r="C208" s="42" t="s">
        <v>877</v>
      </c>
      <c r="D208" s="667">
        <v>50000</v>
      </c>
      <c r="E208" s="666" t="s">
        <v>34</v>
      </c>
      <c r="F208" s="666" t="s">
        <v>34</v>
      </c>
      <c r="G208" s="667">
        <f t="shared" ref="G208:G217" si="161">D208*G$7/F$3</f>
        <v>500</v>
      </c>
      <c r="H208" s="667">
        <f>D208*H$7/F$3</f>
        <v>5000</v>
      </c>
      <c r="I208" s="776" t="s">
        <v>34</v>
      </c>
      <c r="J208" s="776" t="s">
        <v>34</v>
      </c>
      <c r="K208" s="105">
        <v>22</v>
      </c>
      <c r="L208" s="392">
        <v>1150</v>
      </c>
      <c r="M208" s="381" t="s">
        <v>468</v>
      </c>
      <c r="N208" s="179" t="s">
        <v>478</v>
      </c>
      <c r="O208" s="392" t="s">
        <v>477</v>
      </c>
      <c r="P208" s="392"/>
      <c r="Q208" s="392"/>
      <c r="R208">
        <f t="shared" si="160"/>
        <v>200</v>
      </c>
      <c r="S208" s="97" t="s">
        <v>475</v>
      </c>
      <c r="T208" s="97"/>
      <c r="U208" s="97"/>
      <c r="V208" t="s">
        <v>34</v>
      </c>
      <c r="W208" s="159" t="s">
        <v>34</v>
      </c>
      <c r="AF208" t="s">
        <v>34</v>
      </c>
      <c r="AL208" s="304">
        <f t="shared" si="153"/>
        <v>1.1478260869565218</v>
      </c>
      <c r="AM208" s="304">
        <f t="shared" si="154"/>
        <v>68.869565217391312</v>
      </c>
      <c r="AN208" s="304">
        <f t="shared" si="155"/>
        <v>1.9130434782608695E-2</v>
      </c>
    </row>
    <row r="209" spans="1:40" x14ac:dyDescent="0.35">
      <c r="A209">
        <f t="shared" si="159"/>
        <v>201</v>
      </c>
      <c r="B209" s="123" t="s">
        <v>1255</v>
      </c>
      <c r="C209" s="42" t="s">
        <v>876</v>
      </c>
      <c r="D209" s="667">
        <v>1090000</v>
      </c>
      <c r="E209" s="666" t="s">
        <v>34</v>
      </c>
      <c r="F209" s="667">
        <f t="shared" ref="F209:F217" si="162">D209*F$7/F$3</f>
        <v>1090</v>
      </c>
      <c r="G209" s="667">
        <f t="shared" si="161"/>
        <v>10900</v>
      </c>
      <c r="H209" s="666" t="s">
        <v>34</v>
      </c>
      <c r="I209" s="776" t="s">
        <v>34</v>
      </c>
      <c r="J209" s="776" t="s">
        <v>34</v>
      </c>
      <c r="K209" s="105">
        <v>105</v>
      </c>
      <c r="L209" s="105">
        <v>4939</v>
      </c>
      <c r="M209" s="381" t="s">
        <v>1258</v>
      </c>
      <c r="N209" s="179" t="s">
        <v>467</v>
      </c>
      <c r="O209" s="466" t="s">
        <v>466</v>
      </c>
      <c r="P209" s="392"/>
      <c r="Q209" s="392"/>
      <c r="R209">
        <f t="shared" si="160"/>
        <v>201</v>
      </c>
      <c r="S209" s="20" t="s">
        <v>426</v>
      </c>
      <c r="T209" s="20"/>
      <c r="U209" s="20"/>
      <c r="V209" t="s">
        <v>34</v>
      </c>
      <c r="W209" s="159" t="s">
        <v>34</v>
      </c>
      <c r="AF209" t="s">
        <v>34</v>
      </c>
      <c r="AL209" s="304">
        <f t="shared" si="153"/>
        <v>1.2755618546264424</v>
      </c>
      <c r="AM209" s="304">
        <f t="shared" si="154"/>
        <v>76.533711277586548</v>
      </c>
      <c r="AN209" s="304">
        <f t="shared" si="155"/>
        <v>2.1259364243774042E-2</v>
      </c>
    </row>
    <row r="210" spans="1:40" x14ac:dyDescent="0.35">
      <c r="A210">
        <f t="shared" si="159"/>
        <v>202</v>
      </c>
      <c r="B210" s="123" t="s">
        <v>1256</v>
      </c>
      <c r="C210" s="42" t="s">
        <v>866</v>
      </c>
      <c r="D210" s="667">
        <f>D209</f>
        <v>1090000</v>
      </c>
      <c r="E210" s="666" t="s">
        <v>34</v>
      </c>
      <c r="F210" s="667">
        <f t="shared" si="162"/>
        <v>1090</v>
      </c>
      <c r="G210" s="667">
        <f t="shared" ref="G210" si="163">D210*G$7/F$3</f>
        <v>10900</v>
      </c>
      <c r="H210" s="666" t="s">
        <v>34</v>
      </c>
      <c r="I210" s="776" t="s">
        <v>34</v>
      </c>
      <c r="J210" s="776" t="s">
        <v>34</v>
      </c>
      <c r="K210" s="105">
        <v>160</v>
      </c>
      <c r="L210" s="105">
        <f>L209</f>
        <v>4939</v>
      </c>
      <c r="M210" s="381" t="s">
        <v>1259</v>
      </c>
      <c r="N210" s="179" t="str">
        <f>N209</f>
        <v>20</v>
      </c>
      <c r="O210" s="466"/>
      <c r="P210" s="392"/>
      <c r="Q210" s="392" t="s">
        <v>556</v>
      </c>
      <c r="R210">
        <f t="shared" si="160"/>
        <v>202</v>
      </c>
      <c r="S210" s="20" t="s">
        <v>1257</v>
      </c>
      <c r="T210" s="20"/>
      <c r="U210" s="20"/>
      <c r="W210" s="159">
        <v>161</v>
      </c>
      <c r="AL210" s="304">
        <f t="shared" si="153"/>
        <v>1.9437133022879125</v>
      </c>
      <c r="AM210" s="304">
        <f t="shared" si="154"/>
        <v>116.62279813727476</v>
      </c>
      <c r="AN210" s="304">
        <f t="shared" si="155"/>
        <v>3.2395221704798541E-2</v>
      </c>
    </row>
    <row r="211" spans="1:40" x14ac:dyDescent="0.35">
      <c r="A211">
        <f t="shared" si="159"/>
        <v>203</v>
      </c>
      <c r="B211" s="123" t="s">
        <v>2168</v>
      </c>
      <c r="C211" s="42" t="s">
        <v>878</v>
      </c>
      <c r="D211" s="667">
        <v>399500</v>
      </c>
      <c r="E211" s="666" t="s">
        <v>34</v>
      </c>
      <c r="F211" s="667">
        <f t="shared" si="162"/>
        <v>399.5</v>
      </c>
      <c r="G211" s="667">
        <f t="shared" si="161"/>
        <v>3995</v>
      </c>
      <c r="H211" s="666" t="s">
        <v>34</v>
      </c>
      <c r="I211" s="776" t="s">
        <v>34</v>
      </c>
      <c r="J211" s="776" t="s">
        <v>34</v>
      </c>
      <c r="K211" s="105">
        <v>20</v>
      </c>
      <c r="L211" s="105">
        <v>2980</v>
      </c>
      <c r="M211" s="381" t="s">
        <v>2172</v>
      </c>
      <c r="N211" s="179" t="s">
        <v>473</v>
      </c>
      <c r="O211" s="392" t="s">
        <v>474</v>
      </c>
      <c r="P211" s="392"/>
      <c r="Q211" s="392"/>
      <c r="R211">
        <f t="shared" si="160"/>
        <v>203</v>
      </c>
      <c r="S211" s="20" t="s">
        <v>472</v>
      </c>
      <c r="T211" s="20"/>
      <c r="U211" s="20"/>
      <c r="V211" t="s">
        <v>2171</v>
      </c>
      <c r="W211" s="159">
        <v>85</v>
      </c>
      <c r="AF211" t="s">
        <v>34</v>
      </c>
      <c r="AL211" s="304">
        <f t="shared" ref="AL211:AL222" si="164">(K211/L211)*60</f>
        <v>0.40268456375838924</v>
      </c>
      <c r="AM211" s="304">
        <f>60*AL211</f>
        <v>24.161073825503355</v>
      </c>
      <c r="AN211" s="304">
        <f>AL211/60</f>
        <v>6.7114093959731542E-3</v>
      </c>
    </row>
    <row r="212" spans="1:40" x14ac:dyDescent="0.35">
      <c r="A212">
        <f t="shared" si="159"/>
        <v>204</v>
      </c>
      <c r="B212" s="123" t="s">
        <v>2179</v>
      </c>
      <c r="C212" s="42" t="s">
        <v>906</v>
      </c>
      <c r="D212" s="667">
        <v>125000</v>
      </c>
      <c r="E212" s="666" t="s">
        <v>34</v>
      </c>
      <c r="F212" s="667">
        <f t="shared" si="162"/>
        <v>125</v>
      </c>
      <c r="G212" s="667">
        <f t="shared" si="161"/>
        <v>1250</v>
      </c>
      <c r="H212" s="666" t="s">
        <v>34</v>
      </c>
      <c r="I212" s="776" t="s">
        <v>34</v>
      </c>
      <c r="J212" s="776" t="s">
        <v>34</v>
      </c>
      <c r="K212" s="105">
        <v>70</v>
      </c>
      <c r="L212" s="105">
        <v>4770</v>
      </c>
      <c r="M212" s="381" t="s">
        <v>2184</v>
      </c>
      <c r="N212" s="179" t="s">
        <v>2185</v>
      </c>
      <c r="O212" s="392" t="s">
        <v>477</v>
      </c>
      <c r="P212" s="392"/>
      <c r="Q212" s="392" t="s">
        <v>410</v>
      </c>
      <c r="R212">
        <f t="shared" si="160"/>
        <v>204</v>
      </c>
      <c r="S212" s="20" t="s">
        <v>2175</v>
      </c>
      <c r="T212" s="20"/>
      <c r="U212" s="20"/>
      <c r="V212" t="s">
        <v>2182</v>
      </c>
      <c r="W212" s="159">
        <v>230</v>
      </c>
      <c r="Z212" t="s">
        <v>2181</v>
      </c>
      <c r="AL212" s="304">
        <f t="shared" si="164"/>
        <v>0.88050314465408808</v>
      </c>
      <c r="AM212" s="304">
        <f>60*AL212</f>
        <v>52.830188679245282</v>
      </c>
      <c r="AN212" s="304">
        <f>AL212/60</f>
        <v>1.4675052410901468E-2</v>
      </c>
    </row>
    <row r="213" spans="1:40" x14ac:dyDescent="0.35">
      <c r="A213">
        <f t="shared" si="159"/>
        <v>205</v>
      </c>
      <c r="B213" s="615" t="s">
        <v>2504</v>
      </c>
      <c r="C213" s="616" t="s">
        <v>761</v>
      </c>
      <c r="D213" s="767"/>
      <c r="E213" s="762"/>
      <c r="F213" s="767"/>
      <c r="G213" s="767"/>
      <c r="H213" s="762"/>
      <c r="I213" s="778"/>
      <c r="J213" s="778"/>
      <c r="K213" s="618">
        <v>20</v>
      </c>
      <c r="L213" s="618">
        <v>4770</v>
      </c>
      <c r="M213" s="620"/>
      <c r="N213" s="621" t="s">
        <v>2502</v>
      </c>
      <c r="O213" s="619"/>
      <c r="P213" s="619"/>
      <c r="Q213" s="619"/>
      <c r="R213">
        <f t="shared" si="160"/>
        <v>205</v>
      </c>
      <c r="S213" s="20" t="s">
        <v>2501</v>
      </c>
      <c r="T213" s="20"/>
      <c r="U213" s="20"/>
      <c r="W213" s="159">
        <v>105</v>
      </c>
      <c r="X213" t="s">
        <v>2503</v>
      </c>
      <c r="AL213" s="304">
        <f t="shared" si="164"/>
        <v>0.25157232704402516</v>
      </c>
      <c r="AM213" s="304">
        <f>60*AL213</f>
        <v>15.09433962264151</v>
      </c>
      <c r="AN213" s="304">
        <f>AL213/60</f>
        <v>4.1928721174004195E-3</v>
      </c>
    </row>
    <row r="214" spans="1:40" x14ac:dyDescent="0.35">
      <c r="A214">
        <f t="shared" si="159"/>
        <v>206</v>
      </c>
      <c r="B214" s="615" t="s">
        <v>2657</v>
      </c>
      <c r="C214" s="616" t="s">
        <v>791</v>
      </c>
      <c r="D214" s="767"/>
      <c r="E214" s="762"/>
      <c r="F214" s="767"/>
      <c r="G214" s="767"/>
      <c r="H214" s="762"/>
      <c r="I214" s="778"/>
      <c r="J214" s="778"/>
      <c r="K214" s="618">
        <v>100</v>
      </c>
      <c r="L214" s="618"/>
      <c r="M214" s="620"/>
      <c r="N214" s="621"/>
      <c r="O214" s="619"/>
      <c r="P214" s="619"/>
      <c r="Q214" s="619"/>
      <c r="R214">
        <f t="shared" si="160"/>
        <v>206</v>
      </c>
      <c r="S214" s="20" t="s">
        <v>2505</v>
      </c>
      <c r="T214" s="20"/>
      <c r="U214" s="20"/>
      <c r="AL214" s="304"/>
      <c r="AM214" s="304"/>
      <c r="AN214" s="304"/>
    </row>
    <row r="215" spans="1:40" x14ac:dyDescent="0.35">
      <c r="A215">
        <f t="shared" si="159"/>
        <v>207</v>
      </c>
      <c r="B215" s="615" t="s">
        <v>2508</v>
      </c>
      <c r="C215" s="616" t="s">
        <v>755</v>
      </c>
      <c r="D215" s="767" t="s">
        <v>2507</v>
      </c>
      <c r="E215" s="762"/>
      <c r="F215" s="767"/>
      <c r="G215" s="767"/>
      <c r="H215" s="762"/>
      <c r="I215" s="778"/>
      <c r="J215" s="778"/>
      <c r="K215" s="619" t="s">
        <v>346</v>
      </c>
      <c r="L215" s="618"/>
      <c r="M215" s="620"/>
      <c r="N215" s="621"/>
      <c r="O215" s="619"/>
      <c r="P215" s="619"/>
      <c r="Q215" s="619"/>
      <c r="R215">
        <f t="shared" si="160"/>
        <v>207</v>
      </c>
      <c r="S215" s="20" t="s">
        <v>2506</v>
      </c>
      <c r="T215" s="20"/>
      <c r="U215" s="20"/>
      <c r="AL215" s="304"/>
      <c r="AM215" s="304"/>
      <c r="AN215" s="304"/>
    </row>
    <row r="216" spans="1:40" x14ac:dyDescent="0.35">
      <c r="A216">
        <f t="shared" si="159"/>
        <v>208</v>
      </c>
      <c r="B216" s="123" t="s">
        <v>617</v>
      </c>
      <c r="C216" s="42" t="s">
        <v>753</v>
      </c>
      <c r="D216" s="667">
        <v>150000</v>
      </c>
      <c r="E216" s="666" t="s">
        <v>34</v>
      </c>
      <c r="F216" s="667">
        <f t="shared" si="162"/>
        <v>150</v>
      </c>
      <c r="G216" s="667">
        <f t="shared" si="161"/>
        <v>1500</v>
      </c>
      <c r="H216" s="666" t="s">
        <v>34</v>
      </c>
      <c r="I216" s="776" t="s">
        <v>34</v>
      </c>
      <c r="J216" s="776" t="s">
        <v>34</v>
      </c>
      <c r="K216" s="424">
        <v>11</v>
      </c>
      <c r="L216" s="105">
        <v>1600</v>
      </c>
      <c r="M216" s="381" t="s">
        <v>588</v>
      </c>
      <c r="N216" s="179" t="s">
        <v>619</v>
      </c>
      <c r="O216" s="392" t="s">
        <v>620</v>
      </c>
      <c r="P216" s="392"/>
      <c r="Q216" s="392"/>
      <c r="R216">
        <f t="shared" si="160"/>
        <v>208</v>
      </c>
      <c r="S216" s="20" t="s">
        <v>618</v>
      </c>
      <c r="T216" s="20"/>
      <c r="U216" s="20"/>
      <c r="V216" t="s">
        <v>625</v>
      </c>
      <c r="W216" s="159" t="s">
        <v>34</v>
      </c>
      <c r="AF216" t="s">
        <v>34</v>
      </c>
      <c r="AL216" s="304">
        <f t="shared" ref="AL216" si="165">(K216/L216)*60</f>
        <v>0.41249999999999998</v>
      </c>
      <c r="AM216" s="304">
        <f>60*AL216</f>
        <v>24.75</v>
      </c>
      <c r="AN216" s="304">
        <f>AL216/60</f>
        <v>6.875E-3</v>
      </c>
    </row>
    <row r="217" spans="1:40" x14ac:dyDescent="0.35">
      <c r="A217">
        <f t="shared" si="159"/>
        <v>209</v>
      </c>
      <c r="B217" s="123" t="s">
        <v>879</v>
      </c>
      <c r="C217" s="42" t="s">
        <v>837</v>
      </c>
      <c r="D217" s="667">
        <v>319000</v>
      </c>
      <c r="E217" s="666" t="s">
        <v>34</v>
      </c>
      <c r="F217" s="667">
        <f t="shared" si="162"/>
        <v>319</v>
      </c>
      <c r="G217" s="667">
        <f t="shared" si="161"/>
        <v>3190</v>
      </c>
      <c r="H217" s="666" t="s">
        <v>34</v>
      </c>
      <c r="I217" s="776" t="s">
        <v>34</v>
      </c>
      <c r="J217" s="776" t="s">
        <v>34</v>
      </c>
      <c r="K217" s="424">
        <v>8</v>
      </c>
      <c r="L217" s="105">
        <f>L216</f>
        <v>1600</v>
      </c>
      <c r="M217" s="381" t="s">
        <v>624</v>
      </c>
      <c r="N217" s="381" t="str">
        <f>N216</f>
        <v>9</v>
      </c>
      <c r="O217" s="392" t="s">
        <v>495</v>
      </c>
      <c r="P217" s="392"/>
      <c r="Q217" s="392"/>
      <c r="R217">
        <f t="shared" si="160"/>
        <v>209</v>
      </c>
      <c r="S217" s="20" t="s">
        <v>622</v>
      </c>
      <c r="T217" s="20"/>
      <c r="U217" s="20"/>
      <c r="V217" t="s">
        <v>1971</v>
      </c>
      <c r="W217" s="159" t="s">
        <v>34</v>
      </c>
      <c r="AF217" t="s">
        <v>34</v>
      </c>
      <c r="AL217" s="304">
        <f t="shared" ref="AL217" si="166">(K217/L217)*60</f>
        <v>0.3</v>
      </c>
      <c r="AM217" s="304">
        <f>60*AL217</f>
        <v>18</v>
      </c>
      <c r="AN217" s="304">
        <f>AL217/60</f>
        <v>5.0000000000000001E-3</v>
      </c>
    </row>
    <row r="218" spans="1:40" x14ac:dyDescent="0.35">
      <c r="A218">
        <f t="shared" si="159"/>
        <v>210</v>
      </c>
      <c r="B218" s="123" t="s">
        <v>860</v>
      </c>
      <c r="C218" s="42" t="s">
        <v>861</v>
      </c>
      <c r="D218" s="667">
        <v>15</v>
      </c>
      <c r="E218" s="666" t="s">
        <v>34</v>
      </c>
      <c r="F218" s="666" t="s">
        <v>34</v>
      </c>
      <c r="G218" s="666" t="s">
        <v>34</v>
      </c>
      <c r="H218" s="667">
        <f>D218*H$7/F$3</f>
        <v>1.5</v>
      </c>
      <c r="I218" s="782">
        <f>D218*I$7/I$3</f>
        <v>1.4999999999999999E-2</v>
      </c>
      <c r="J218" s="783">
        <f>D218*J$7/I$3</f>
        <v>0.15</v>
      </c>
      <c r="K218" s="424">
        <v>3</v>
      </c>
      <c r="L218" s="105">
        <v>3780</v>
      </c>
      <c r="M218" s="381" t="s">
        <v>538</v>
      </c>
      <c r="N218" s="179" t="s">
        <v>34</v>
      </c>
      <c r="O218" s="392" t="s">
        <v>351</v>
      </c>
      <c r="P218" s="392"/>
      <c r="Q218" s="392"/>
      <c r="R218">
        <f t="shared" si="160"/>
        <v>210</v>
      </c>
      <c r="S218" s="20" t="s">
        <v>470</v>
      </c>
      <c r="T218" s="20"/>
      <c r="U218" s="20"/>
      <c r="V218" s="4" t="s">
        <v>471</v>
      </c>
      <c r="W218" s="159" t="s">
        <v>34</v>
      </c>
      <c r="X218" s="395"/>
      <c r="Y218" s="395"/>
      <c r="Z218" s="395"/>
      <c r="AA218" s="395"/>
      <c r="AB218" s="395"/>
      <c r="AC218" s="395"/>
      <c r="AD218" s="395"/>
      <c r="AE218" s="395"/>
      <c r="AF218" t="s">
        <v>34</v>
      </c>
      <c r="AL218">
        <f t="shared" si="164"/>
        <v>4.7619047619047616E-2</v>
      </c>
      <c r="AM218" s="8">
        <f>60*AL218</f>
        <v>2.8571428571428568</v>
      </c>
    </row>
    <row r="219" spans="1:40" x14ac:dyDescent="0.35">
      <c r="A219">
        <f t="shared" si="159"/>
        <v>211</v>
      </c>
      <c r="B219" s="123" t="s">
        <v>1994</v>
      </c>
      <c r="C219" s="42" t="s">
        <v>1253</v>
      </c>
      <c r="D219" s="666" t="s">
        <v>34</v>
      </c>
      <c r="E219" s="666" t="s">
        <v>34</v>
      </c>
      <c r="F219" s="666" t="s">
        <v>34</v>
      </c>
      <c r="G219" s="666" t="s">
        <v>34</v>
      </c>
      <c r="H219" s="666" t="s">
        <v>34</v>
      </c>
      <c r="I219" s="776" t="s">
        <v>34</v>
      </c>
      <c r="J219" s="776" t="s">
        <v>34</v>
      </c>
      <c r="K219" s="424"/>
      <c r="L219" s="105"/>
      <c r="M219" s="381"/>
      <c r="N219" s="554" t="s">
        <v>1972</v>
      </c>
      <c r="O219" s="392"/>
      <c r="P219" s="392"/>
      <c r="Q219" s="392"/>
      <c r="R219">
        <f t="shared" si="160"/>
        <v>211</v>
      </c>
      <c r="S219" t="s">
        <v>1248</v>
      </c>
      <c r="U219" s="4" t="s">
        <v>1254</v>
      </c>
      <c r="V219" s="20" t="s">
        <v>1249</v>
      </c>
      <c r="W219" s="159" t="s">
        <v>34</v>
      </c>
      <c r="X219" s="395"/>
      <c r="Y219" s="395"/>
      <c r="Z219" s="395"/>
      <c r="AA219" s="395"/>
      <c r="AB219" s="395"/>
      <c r="AC219" s="395"/>
      <c r="AD219" s="395"/>
      <c r="AE219" s="395"/>
      <c r="AM219" s="8"/>
    </row>
    <row r="220" spans="1:40" x14ac:dyDescent="0.35">
      <c r="A220">
        <f t="shared" si="159"/>
        <v>212</v>
      </c>
      <c r="B220" s="123" t="s">
        <v>1250</v>
      </c>
      <c r="C220" s="42" t="s">
        <v>756</v>
      </c>
      <c r="D220" s="666" t="s">
        <v>34</v>
      </c>
      <c r="E220" s="666" t="s">
        <v>34</v>
      </c>
      <c r="F220" s="666" t="s">
        <v>34</v>
      </c>
      <c r="G220" s="666" t="s">
        <v>34</v>
      </c>
      <c r="H220" s="666" t="s">
        <v>34</v>
      </c>
      <c r="I220" s="776" t="s">
        <v>34</v>
      </c>
      <c r="J220" s="776" t="s">
        <v>34</v>
      </c>
      <c r="K220" s="424"/>
      <c r="L220" s="105"/>
      <c r="M220" s="381"/>
      <c r="N220" s="179" t="s">
        <v>1252</v>
      </c>
      <c r="O220" s="392"/>
      <c r="P220" s="392"/>
      <c r="Q220" s="392"/>
      <c r="R220">
        <f t="shared" si="160"/>
        <v>212</v>
      </c>
      <c r="S220" s="20" t="s">
        <v>1251</v>
      </c>
      <c r="T220" s="20"/>
      <c r="V220" s="20"/>
      <c r="X220" s="395"/>
      <c r="Y220" s="395"/>
      <c r="Z220" s="395"/>
      <c r="AA220" s="395"/>
      <c r="AB220" s="395"/>
      <c r="AC220" s="395"/>
      <c r="AD220" s="395"/>
      <c r="AE220" s="395"/>
      <c r="AM220" s="8"/>
    </row>
    <row r="221" spans="1:40" x14ac:dyDescent="0.35">
      <c r="A221">
        <f t="shared" si="159"/>
        <v>213</v>
      </c>
      <c r="B221" s="123" t="s">
        <v>575</v>
      </c>
      <c r="C221" s="42" t="s">
        <v>745</v>
      </c>
      <c r="D221" s="666" t="s">
        <v>34</v>
      </c>
      <c r="E221" s="666" t="s">
        <v>34</v>
      </c>
      <c r="F221" s="666" t="s">
        <v>34</v>
      </c>
      <c r="G221" s="666" t="s">
        <v>34</v>
      </c>
      <c r="H221" s="666" t="s">
        <v>34</v>
      </c>
      <c r="I221" s="776" t="s">
        <v>34</v>
      </c>
      <c r="J221" s="776" t="s">
        <v>34</v>
      </c>
      <c r="K221" s="105">
        <f>14200/2</f>
        <v>7100</v>
      </c>
      <c r="L221" s="105">
        <v>1050</v>
      </c>
      <c r="M221" s="381" t="s">
        <v>686</v>
      </c>
      <c r="N221" s="392">
        <v>32000</v>
      </c>
      <c r="O221" s="392">
        <v>744</v>
      </c>
      <c r="P221" s="392"/>
      <c r="Q221" s="392">
        <v>0</v>
      </c>
      <c r="R221">
        <f t="shared" si="160"/>
        <v>213</v>
      </c>
      <c r="S221" s="20" t="s">
        <v>574</v>
      </c>
      <c r="T221" s="20"/>
      <c r="U221" s="20"/>
      <c r="V221" t="s">
        <v>34</v>
      </c>
      <c r="W221" s="159" t="s">
        <v>34</v>
      </c>
      <c r="AF221" t="s">
        <v>34</v>
      </c>
      <c r="AL221" s="304">
        <f t="shared" si="164"/>
        <v>405.71428571428572</v>
      </c>
      <c r="AM221" s="304">
        <f t="shared" ref="AM221:AM222" si="167">60*AL221</f>
        <v>24342.857142857145</v>
      </c>
      <c r="AN221" s="304">
        <f t="shared" ref="AN221:AN222" si="168">AL221/60</f>
        <v>6.7619047619047619</v>
      </c>
    </row>
    <row r="222" spans="1:40" x14ac:dyDescent="0.35">
      <c r="A222">
        <f t="shared" si="159"/>
        <v>214</v>
      </c>
      <c r="B222" s="123" t="s">
        <v>799</v>
      </c>
      <c r="C222" s="42" t="s">
        <v>821</v>
      </c>
      <c r="D222" s="666" t="s">
        <v>34</v>
      </c>
      <c r="E222" s="666" t="s">
        <v>34</v>
      </c>
      <c r="F222" s="666" t="s">
        <v>34</v>
      </c>
      <c r="G222" s="666" t="s">
        <v>34</v>
      </c>
      <c r="H222" s="666" t="s">
        <v>34</v>
      </c>
      <c r="I222" s="776" t="s">
        <v>34</v>
      </c>
      <c r="J222" s="776" t="s">
        <v>34</v>
      </c>
      <c r="K222" s="105">
        <f>9400/2</f>
        <v>4700</v>
      </c>
      <c r="L222" s="105">
        <v>1335</v>
      </c>
      <c r="M222" s="381" t="s">
        <v>822</v>
      </c>
      <c r="N222" s="392">
        <v>16000</v>
      </c>
      <c r="O222" s="392">
        <v>104</v>
      </c>
      <c r="P222" s="392"/>
      <c r="Q222" s="392">
        <v>0</v>
      </c>
      <c r="R222">
        <f t="shared" si="160"/>
        <v>214</v>
      </c>
      <c r="S222" s="20" t="s">
        <v>820</v>
      </c>
      <c r="T222" s="20"/>
      <c r="U222" s="20"/>
      <c r="V222" t="s">
        <v>34</v>
      </c>
      <c r="W222" s="159" t="s">
        <v>34</v>
      </c>
      <c r="AF222" t="s">
        <v>34</v>
      </c>
      <c r="AL222" s="304">
        <f t="shared" si="164"/>
        <v>211.23595505617979</v>
      </c>
      <c r="AM222" s="304">
        <f t="shared" si="167"/>
        <v>12674.157303370788</v>
      </c>
      <c r="AN222" s="304">
        <f t="shared" si="168"/>
        <v>3.5205992509363297</v>
      </c>
    </row>
    <row r="223" spans="1:40" x14ac:dyDescent="0.35">
      <c r="A223">
        <f t="shared" si="159"/>
        <v>215</v>
      </c>
      <c r="B223" s="123" t="s">
        <v>823</v>
      </c>
      <c r="C223" s="42" t="s">
        <v>746</v>
      </c>
      <c r="D223" s="667">
        <v>4000000000</v>
      </c>
      <c r="E223" s="667">
        <f>D223*E$7/F$3</f>
        <v>400000</v>
      </c>
      <c r="F223" s="666" t="s">
        <v>34</v>
      </c>
      <c r="G223" s="666" t="s">
        <v>34</v>
      </c>
      <c r="H223" s="666" t="s">
        <v>34</v>
      </c>
      <c r="I223" s="776" t="s">
        <v>34</v>
      </c>
      <c r="J223" s="776" t="s">
        <v>34</v>
      </c>
      <c r="K223" s="105">
        <f>11000/2</f>
        <v>5500</v>
      </c>
      <c r="L223" s="105">
        <v>900</v>
      </c>
      <c r="M223" s="381" t="s">
        <v>830</v>
      </c>
      <c r="N223" s="392">
        <v>20000</v>
      </c>
      <c r="O223" s="392">
        <v>21</v>
      </c>
      <c r="P223" s="392"/>
      <c r="Q223" s="392">
        <v>0</v>
      </c>
      <c r="R223">
        <f t="shared" si="160"/>
        <v>215</v>
      </c>
      <c r="S223" s="20" t="s">
        <v>596</v>
      </c>
      <c r="T223" s="20"/>
      <c r="U223" s="20"/>
      <c r="V223" t="s">
        <v>34</v>
      </c>
      <c r="W223" s="159" t="s">
        <v>34</v>
      </c>
      <c r="AF223" t="s">
        <v>34</v>
      </c>
      <c r="AL223" s="304">
        <f>(K223/L223)*60</f>
        <v>366.66666666666663</v>
      </c>
      <c r="AM223" s="304">
        <f>60*AL223</f>
        <v>21999.999999999996</v>
      </c>
      <c r="AN223" s="304">
        <f>AL223/60</f>
        <v>6.1111111111111107</v>
      </c>
    </row>
    <row r="224" spans="1:40" x14ac:dyDescent="0.35">
      <c r="A224">
        <f t="shared" si="159"/>
        <v>216</v>
      </c>
      <c r="B224" s="123" t="s">
        <v>2412</v>
      </c>
      <c r="C224" s="42" t="s">
        <v>865</v>
      </c>
      <c r="D224" s="667">
        <f>28000000/8</f>
        <v>3500000</v>
      </c>
      <c r="E224" s="667">
        <f>D224*E$7/F$3</f>
        <v>350</v>
      </c>
      <c r="F224" s="667">
        <f t="shared" ref="F224" si="169">D224*F$7/F$3</f>
        <v>3500</v>
      </c>
      <c r="G224" s="666" t="s">
        <v>34</v>
      </c>
      <c r="H224" s="666" t="s">
        <v>34</v>
      </c>
      <c r="I224" s="776" t="s">
        <v>34</v>
      </c>
      <c r="J224" s="776" t="s">
        <v>34</v>
      </c>
      <c r="K224" s="392" t="s">
        <v>34</v>
      </c>
      <c r="L224" s="392" t="s">
        <v>34</v>
      </c>
      <c r="M224" s="381" t="s">
        <v>34</v>
      </c>
      <c r="N224" s="541" t="s">
        <v>2411</v>
      </c>
      <c r="O224" s="392">
        <v>40</v>
      </c>
      <c r="P224" s="392" t="s">
        <v>960</v>
      </c>
      <c r="Q224" s="392">
        <v>0</v>
      </c>
      <c r="R224">
        <f t="shared" si="160"/>
        <v>216</v>
      </c>
      <c r="S224" s="20" t="s">
        <v>2410</v>
      </c>
      <c r="T224" s="20"/>
      <c r="U224" s="20" t="s">
        <v>2415</v>
      </c>
      <c r="V224" t="s">
        <v>2414</v>
      </c>
      <c r="AL224" s="304"/>
      <c r="AM224" s="304"/>
      <c r="AN224" s="304"/>
    </row>
    <row r="225" spans="1:40" x14ac:dyDescent="0.35">
      <c r="A225">
        <f t="shared" si="159"/>
        <v>217</v>
      </c>
      <c r="B225" s="123" t="s">
        <v>824</v>
      </c>
      <c r="C225" s="42" t="s">
        <v>825</v>
      </c>
      <c r="D225" s="667" t="s">
        <v>826</v>
      </c>
      <c r="E225" s="667"/>
      <c r="F225" s="666"/>
      <c r="G225" s="666"/>
      <c r="H225" s="666" t="s">
        <v>34</v>
      </c>
      <c r="I225" s="776" t="s">
        <v>34</v>
      </c>
      <c r="J225" s="776" t="s">
        <v>34</v>
      </c>
      <c r="K225" s="392" t="s">
        <v>829</v>
      </c>
      <c r="L225" s="105">
        <v>900</v>
      </c>
      <c r="M225" s="381" t="s">
        <v>830</v>
      </c>
      <c r="N225" s="392">
        <v>9100</v>
      </c>
      <c r="O225" s="392">
        <v>1</v>
      </c>
      <c r="P225" s="392"/>
      <c r="Q225" s="392">
        <v>0</v>
      </c>
      <c r="R225">
        <f t="shared" si="160"/>
        <v>217</v>
      </c>
      <c r="S225" s="20" t="s">
        <v>828</v>
      </c>
      <c r="T225" s="20"/>
      <c r="U225" s="20"/>
      <c r="V225" t="s">
        <v>957</v>
      </c>
      <c r="W225" s="159" t="s">
        <v>34</v>
      </c>
      <c r="AF225" t="s">
        <v>34</v>
      </c>
      <c r="AL225" s="304"/>
      <c r="AM225" s="304"/>
      <c r="AN225" s="304"/>
    </row>
    <row r="226" spans="1:40" x14ac:dyDescent="0.35">
      <c r="A226">
        <f t="shared" si="159"/>
        <v>218</v>
      </c>
      <c r="B226" s="487" t="s">
        <v>827</v>
      </c>
      <c r="C226" s="489" t="s">
        <v>696</v>
      </c>
      <c r="D226" s="763" t="s">
        <v>34</v>
      </c>
      <c r="E226" s="763" t="s">
        <v>34</v>
      </c>
      <c r="F226" s="763" t="s">
        <v>34</v>
      </c>
      <c r="G226" s="763" t="s">
        <v>34</v>
      </c>
      <c r="H226" s="763" t="s">
        <v>34</v>
      </c>
      <c r="I226" s="774" t="s">
        <v>34</v>
      </c>
      <c r="J226" s="774" t="s">
        <v>34</v>
      </c>
      <c r="K226" s="491">
        <f>2500/2</f>
        <v>1250</v>
      </c>
      <c r="L226" s="491">
        <v>1997</v>
      </c>
      <c r="M226" s="509" t="s">
        <v>831</v>
      </c>
      <c r="N226" s="494">
        <v>24000</v>
      </c>
      <c r="O226" s="494">
        <v>497</v>
      </c>
      <c r="P226" s="494">
        <v>58</v>
      </c>
      <c r="Q226" s="494">
        <v>0</v>
      </c>
      <c r="R226">
        <f t="shared" si="160"/>
        <v>218</v>
      </c>
      <c r="S226" s="4" t="s">
        <v>573</v>
      </c>
      <c r="T226" s="4"/>
      <c r="V226" t="s">
        <v>1973</v>
      </c>
      <c r="W226" s="159" t="s">
        <v>34</v>
      </c>
      <c r="AF226" t="s">
        <v>34</v>
      </c>
      <c r="AL226" s="304">
        <f t="shared" ref="AL226:AL233" si="170">(K226/L226)*60</f>
        <v>37.55633450175263</v>
      </c>
      <c r="AM226" s="304">
        <f t="shared" ref="AM226:AM233" si="171">60*AL226</f>
        <v>2253.3800701051578</v>
      </c>
      <c r="AN226" s="304">
        <f t="shared" ref="AN226:AN233" si="172">AL226/60</f>
        <v>0.62593890836254384</v>
      </c>
    </row>
    <row r="227" spans="1:40" x14ac:dyDescent="0.35">
      <c r="A227">
        <f t="shared" si="159"/>
        <v>219</v>
      </c>
      <c r="B227" s="487" t="s">
        <v>707</v>
      </c>
      <c r="C227" s="489" t="s">
        <v>737</v>
      </c>
      <c r="D227" s="763" t="s">
        <v>34</v>
      </c>
      <c r="E227" s="763" t="s">
        <v>34</v>
      </c>
      <c r="F227" s="763" t="s">
        <v>34</v>
      </c>
      <c r="G227" s="763" t="s">
        <v>34</v>
      </c>
      <c r="H227" s="763" t="s">
        <v>34</v>
      </c>
      <c r="I227" s="774" t="s">
        <v>34</v>
      </c>
      <c r="J227" s="774" t="s">
        <v>34</v>
      </c>
      <c r="K227" s="491">
        <f>7300/2</f>
        <v>3650</v>
      </c>
      <c r="L227" s="491">
        <v>2220</v>
      </c>
      <c r="M227" s="509" t="s">
        <v>712</v>
      </c>
      <c r="N227" s="494">
        <v>45000</v>
      </c>
      <c r="O227" s="494">
        <v>41</v>
      </c>
      <c r="P227" s="494">
        <v>15</v>
      </c>
      <c r="Q227" s="494"/>
      <c r="R227">
        <f t="shared" si="160"/>
        <v>219</v>
      </c>
      <c r="S227" s="97" t="s">
        <v>708</v>
      </c>
      <c r="T227" s="97"/>
      <c r="U227" s="97"/>
      <c r="V227" t="s">
        <v>846</v>
      </c>
      <c r="W227" s="159" t="s">
        <v>34</v>
      </c>
      <c r="AF227" t="s">
        <v>34</v>
      </c>
      <c r="AL227" s="304">
        <f t="shared" ref="AL227" si="173">(K227/L227)*60</f>
        <v>98.64864864864866</v>
      </c>
      <c r="AM227" s="304">
        <f t="shared" ref="AM227" si="174">60*AL227</f>
        <v>5918.9189189189192</v>
      </c>
      <c r="AN227" s="304">
        <f t="shared" ref="AN227" si="175">AL227/60</f>
        <v>1.6441441441441442</v>
      </c>
    </row>
    <row r="228" spans="1:40" x14ac:dyDescent="0.35">
      <c r="A228">
        <f t="shared" si="159"/>
        <v>220</v>
      </c>
      <c r="B228" s="487" t="s">
        <v>690</v>
      </c>
      <c r="C228" s="489" t="s">
        <v>691</v>
      </c>
      <c r="D228" s="763" t="s">
        <v>34</v>
      </c>
      <c r="E228" s="763" t="s">
        <v>34</v>
      </c>
      <c r="F228" s="763" t="s">
        <v>34</v>
      </c>
      <c r="G228" s="763" t="s">
        <v>34</v>
      </c>
      <c r="H228" s="763" t="s">
        <v>34</v>
      </c>
      <c r="I228" s="774" t="s">
        <v>34</v>
      </c>
      <c r="J228" s="774" t="s">
        <v>34</v>
      </c>
      <c r="K228" s="491">
        <f>15000/2</f>
        <v>7500</v>
      </c>
      <c r="L228" s="491">
        <v>710</v>
      </c>
      <c r="M228" s="509" t="s">
        <v>367</v>
      </c>
      <c r="N228" s="494">
        <v>15000</v>
      </c>
      <c r="O228" s="494" t="s">
        <v>358</v>
      </c>
      <c r="P228" s="494">
        <v>47</v>
      </c>
      <c r="Q228" s="494">
        <v>0</v>
      </c>
      <c r="R228">
        <f t="shared" si="160"/>
        <v>220</v>
      </c>
      <c r="S228" t="s">
        <v>692</v>
      </c>
      <c r="V228" t="s">
        <v>34</v>
      </c>
      <c r="W228" s="159" t="s">
        <v>34</v>
      </c>
      <c r="AF228" t="s">
        <v>34</v>
      </c>
      <c r="AL228" s="304">
        <f t="shared" ref="AL228" si="176">(K228/L228)*60</f>
        <v>633.80281690140839</v>
      </c>
      <c r="AM228" s="304">
        <f t="shared" ref="AM228" si="177">60*AL228</f>
        <v>38028.169014084502</v>
      </c>
      <c r="AN228" s="304">
        <f t="shared" ref="AN228" si="178">AL228/60</f>
        <v>10.56338028169014</v>
      </c>
    </row>
    <row r="229" spans="1:40" x14ac:dyDescent="0.35">
      <c r="A229">
        <f t="shared" si="159"/>
        <v>221</v>
      </c>
      <c r="B229" s="487" t="s">
        <v>1974</v>
      </c>
      <c r="C229" s="489" t="s">
        <v>666</v>
      </c>
      <c r="D229" s="763" t="s">
        <v>34</v>
      </c>
      <c r="E229" s="763" t="s">
        <v>34</v>
      </c>
      <c r="F229" s="763" t="s">
        <v>34</v>
      </c>
      <c r="G229" s="763" t="s">
        <v>34</v>
      </c>
      <c r="H229" s="763" t="s">
        <v>34</v>
      </c>
      <c r="I229" s="774" t="s">
        <v>34</v>
      </c>
      <c r="J229" s="774" t="s">
        <v>34</v>
      </c>
      <c r="K229" s="491">
        <f>1450/2</f>
        <v>725</v>
      </c>
      <c r="L229" s="491">
        <v>3000</v>
      </c>
      <c r="M229" s="509" t="s">
        <v>669</v>
      </c>
      <c r="N229" s="494">
        <v>9000</v>
      </c>
      <c r="O229" s="494">
        <v>519</v>
      </c>
      <c r="P229" s="494">
        <v>130</v>
      </c>
      <c r="Q229" s="494">
        <v>0</v>
      </c>
      <c r="R229">
        <f t="shared" si="160"/>
        <v>221</v>
      </c>
      <c r="S229" t="s">
        <v>668</v>
      </c>
      <c r="V229" s="172">
        <v>20</v>
      </c>
      <c r="W229" s="159" t="s">
        <v>34</v>
      </c>
      <c r="X229" s="172"/>
      <c r="Y229" s="172"/>
      <c r="Z229" s="172"/>
      <c r="AA229" s="172"/>
      <c r="AB229" s="172"/>
      <c r="AC229" s="172"/>
      <c r="AD229" s="172"/>
      <c r="AE229" s="172"/>
      <c r="AF229" t="s">
        <v>34</v>
      </c>
      <c r="AG229" t="s">
        <v>725</v>
      </c>
      <c r="AL229" s="304">
        <f t="shared" ref="AL229" si="179">(K229/L229)*60</f>
        <v>14.5</v>
      </c>
      <c r="AM229" s="304">
        <f t="shared" ref="AM229" si="180">60*AL229</f>
        <v>870</v>
      </c>
      <c r="AN229" s="304">
        <f t="shared" ref="AN229" si="181">AL229/60</f>
        <v>0.24166666666666667</v>
      </c>
    </row>
    <row r="230" spans="1:40" x14ac:dyDescent="0.35">
      <c r="A230">
        <f t="shared" si="159"/>
        <v>222</v>
      </c>
      <c r="B230" s="487" t="s">
        <v>697</v>
      </c>
      <c r="C230" s="489" t="s">
        <v>696</v>
      </c>
      <c r="D230" s="763" t="s">
        <v>34</v>
      </c>
      <c r="E230" s="763" t="s">
        <v>34</v>
      </c>
      <c r="F230" s="763" t="s">
        <v>34</v>
      </c>
      <c r="G230" s="763" t="s">
        <v>34</v>
      </c>
      <c r="H230" s="763" t="s">
        <v>34</v>
      </c>
      <c r="I230" s="774" t="s">
        <v>34</v>
      </c>
      <c r="J230" s="774" t="s">
        <v>34</v>
      </c>
      <c r="K230" s="491">
        <f>615/2</f>
        <v>307.5</v>
      </c>
      <c r="L230" s="491">
        <v>1654</v>
      </c>
      <c r="M230" s="509" t="s">
        <v>553</v>
      </c>
      <c r="N230" s="494">
        <v>3000</v>
      </c>
      <c r="O230" s="494">
        <v>1400</v>
      </c>
      <c r="P230" s="494">
        <v>273</v>
      </c>
      <c r="Q230" s="494">
        <v>0</v>
      </c>
      <c r="R230">
        <f t="shared" si="160"/>
        <v>222</v>
      </c>
      <c r="S230" t="s">
        <v>698</v>
      </c>
      <c r="V230" t="s">
        <v>34</v>
      </c>
      <c r="W230" s="159" t="s">
        <v>34</v>
      </c>
      <c r="AF230" t="s">
        <v>34</v>
      </c>
      <c r="AL230" s="304">
        <f t="shared" ref="AL230" si="182">(K230/L230)*60</f>
        <v>11.154776299879082</v>
      </c>
      <c r="AM230" s="304">
        <f t="shared" ref="AM230" si="183">60*AL230</f>
        <v>669.28657799274492</v>
      </c>
      <c r="AN230" s="304">
        <f t="shared" ref="AN230" si="184">AL230/60</f>
        <v>0.18591293833131803</v>
      </c>
    </row>
    <row r="231" spans="1:40" x14ac:dyDescent="0.35">
      <c r="A231">
        <f t="shared" si="159"/>
        <v>223</v>
      </c>
      <c r="B231" s="487" t="s">
        <v>658</v>
      </c>
      <c r="C231" s="488" t="s">
        <v>740</v>
      </c>
      <c r="D231" s="763" t="s">
        <v>34</v>
      </c>
      <c r="E231" s="763" t="s">
        <v>34</v>
      </c>
      <c r="F231" s="763" t="s">
        <v>34</v>
      </c>
      <c r="G231" s="763" t="s">
        <v>34</v>
      </c>
      <c r="H231" s="763" t="s">
        <v>34</v>
      </c>
      <c r="I231" s="774" t="s">
        <v>34</v>
      </c>
      <c r="J231" s="774" t="s">
        <v>34</v>
      </c>
      <c r="K231" s="491">
        <f>1000/2</f>
        <v>500</v>
      </c>
      <c r="L231" s="491">
        <v>975</v>
      </c>
      <c r="M231" s="509" t="s">
        <v>662</v>
      </c>
      <c r="N231" s="494">
        <v>4400</v>
      </c>
      <c r="O231" s="494" t="s">
        <v>516</v>
      </c>
      <c r="P231" s="494">
        <v>192</v>
      </c>
      <c r="Q231" s="494">
        <v>0</v>
      </c>
      <c r="R231">
        <f t="shared" si="160"/>
        <v>223</v>
      </c>
      <c r="S231" t="s">
        <v>660</v>
      </c>
      <c r="V231" t="s">
        <v>34</v>
      </c>
      <c r="W231" s="159" t="s">
        <v>34</v>
      </c>
      <c r="AF231" t="s">
        <v>34</v>
      </c>
      <c r="AL231" s="304">
        <f t="shared" si="170"/>
        <v>30.769230769230766</v>
      </c>
      <c r="AM231" s="304">
        <f t="shared" si="171"/>
        <v>1846.153846153846</v>
      </c>
      <c r="AN231" s="304">
        <f t="shared" si="172"/>
        <v>0.51282051282051277</v>
      </c>
    </row>
    <row r="232" spans="1:40" x14ac:dyDescent="0.35">
      <c r="A232">
        <f t="shared" si="159"/>
        <v>224</v>
      </c>
      <c r="B232" s="487" t="s">
        <v>504</v>
      </c>
      <c r="C232" s="488" t="s">
        <v>741</v>
      </c>
      <c r="D232" s="769">
        <v>85000000</v>
      </c>
      <c r="E232" s="769">
        <f>D232*E$7/F$3</f>
        <v>8500</v>
      </c>
      <c r="F232" s="769">
        <f>D232*F$7/F$3</f>
        <v>85000</v>
      </c>
      <c r="G232" s="763" t="s">
        <v>34</v>
      </c>
      <c r="H232" s="763" t="s">
        <v>34</v>
      </c>
      <c r="I232" s="774" t="s">
        <v>34</v>
      </c>
      <c r="J232" s="774" t="s">
        <v>34</v>
      </c>
      <c r="K232" s="491">
        <f>1600/2</f>
        <v>800</v>
      </c>
      <c r="L232" s="491">
        <v>2400</v>
      </c>
      <c r="M232" s="509" t="s">
        <v>349</v>
      </c>
      <c r="N232" s="494">
        <v>8000</v>
      </c>
      <c r="O232" s="494" t="s">
        <v>505</v>
      </c>
      <c r="P232" s="494">
        <v>114</v>
      </c>
      <c r="Q232" s="494"/>
      <c r="R232">
        <f t="shared" si="160"/>
        <v>224</v>
      </c>
      <c r="S232" s="20" t="s">
        <v>506</v>
      </c>
      <c r="T232" s="20"/>
      <c r="U232" s="20"/>
      <c r="V232" t="s">
        <v>703</v>
      </c>
      <c r="W232" s="159" t="s">
        <v>34</v>
      </c>
      <c r="AF232" t="s">
        <v>34</v>
      </c>
      <c r="AL232" s="304">
        <f t="shared" si="170"/>
        <v>20</v>
      </c>
      <c r="AM232" s="304">
        <f t="shared" si="171"/>
        <v>1200</v>
      </c>
      <c r="AN232" s="304">
        <f t="shared" si="172"/>
        <v>0.33333333333333331</v>
      </c>
    </row>
    <row r="233" spans="1:40" x14ac:dyDescent="0.35">
      <c r="A233">
        <f t="shared" si="159"/>
        <v>225</v>
      </c>
      <c r="B233" s="487" t="s">
        <v>508</v>
      </c>
      <c r="C233" s="488" t="s">
        <v>742</v>
      </c>
      <c r="D233" s="769">
        <v>36000000</v>
      </c>
      <c r="E233" s="769">
        <f>D233*E$7/F$3</f>
        <v>3600</v>
      </c>
      <c r="F233" s="769">
        <f>D233*F$7/F$3</f>
        <v>36000</v>
      </c>
      <c r="G233" s="763" t="s">
        <v>34</v>
      </c>
      <c r="H233" s="763" t="s">
        <v>34</v>
      </c>
      <c r="I233" s="774" t="s">
        <v>34</v>
      </c>
      <c r="J233" s="774" t="s">
        <v>34</v>
      </c>
      <c r="K233" s="491">
        <f>1100/2</f>
        <v>550</v>
      </c>
      <c r="L233" s="491">
        <v>1900</v>
      </c>
      <c r="M233" s="509" t="s">
        <v>572</v>
      </c>
      <c r="N233" s="494">
        <v>13000</v>
      </c>
      <c r="O233" s="494">
        <v>163</v>
      </c>
      <c r="P233" s="494">
        <v>163</v>
      </c>
      <c r="Q233" s="494"/>
      <c r="R233">
        <f t="shared" si="160"/>
        <v>225</v>
      </c>
      <c r="S233" s="20" t="s">
        <v>509</v>
      </c>
      <c r="T233" s="20"/>
      <c r="U233" s="20"/>
      <c r="V233" t="s">
        <v>34</v>
      </c>
      <c r="W233" s="159" t="s">
        <v>34</v>
      </c>
      <c r="AF233" t="s">
        <v>34</v>
      </c>
      <c r="AG233" s="133">
        <f>P228+P229+P230+P231+P238+P241+P249</f>
        <v>788</v>
      </c>
      <c r="AH233" t="s">
        <v>726</v>
      </c>
      <c r="AL233" s="304">
        <f t="shared" si="170"/>
        <v>17.368421052631579</v>
      </c>
      <c r="AM233" s="304">
        <f t="shared" si="171"/>
        <v>1042.1052631578948</v>
      </c>
      <c r="AN233" s="304">
        <f t="shared" si="172"/>
        <v>0.28947368421052633</v>
      </c>
    </row>
    <row r="234" spans="1:40" x14ac:dyDescent="0.35">
      <c r="A234">
        <f t="shared" si="159"/>
        <v>226</v>
      </c>
      <c r="B234" s="487" t="s">
        <v>2159</v>
      </c>
      <c r="C234" s="488" t="s">
        <v>747</v>
      </c>
      <c r="D234" s="769">
        <f>D203</f>
        <v>30000</v>
      </c>
      <c r="E234" s="763" t="s">
        <v>34</v>
      </c>
      <c r="F234" s="763" t="s">
        <v>34</v>
      </c>
      <c r="G234" s="769">
        <f>D234*G$7/F$3</f>
        <v>300</v>
      </c>
      <c r="H234" s="769">
        <f>D234*H$7/F$3</f>
        <v>3000</v>
      </c>
      <c r="I234" s="784">
        <f>D234*I$7/I$3</f>
        <v>30</v>
      </c>
      <c r="J234" s="774" t="s">
        <v>34</v>
      </c>
      <c r="K234" s="491">
        <v>69</v>
      </c>
      <c r="L234" s="494" t="s">
        <v>34</v>
      </c>
      <c r="M234" s="509" t="s">
        <v>34</v>
      </c>
      <c r="N234" s="497" t="s">
        <v>513</v>
      </c>
      <c r="O234" s="494" t="s">
        <v>1245</v>
      </c>
      <c r="P234" s="494"/>
      <c r="Q234" s="494">
        <f>12*3000</f>
        <v>36000</v>
      </c>
      <c r="R234">
        <f t="shared" si="160"/>
        <v>226</v>
      </c>
      <c r="S234" s="4" t="s">
        <v>511</v>
      </c>
      <c r="T234" s="4"/>
      <c r="U234" s="4" t="s">
        <v>1243</v>
      </c>
      <c r="V234" t="s">
        <v>34</v>
      </c>
      <c r="W234" s="159" t="s">
        <v>34</v>
      </c>
      <c r="AF234" t="s">
        <v>34</v>
      </c>
      <c r="AG234" s="133">
        <f>P226+P227+P232+P233+V229</f>
        <v>370</v>
      </c>
      <c r="AH234" t="s">
        <v>727</v>
      </c>
      <c r="AM234" s="8"/>
    </row>
    <row r="235" spans="1:40" x14ac:dyDescent="0.35">
      <c r="A235">
        <f t="shared" si="159"/>
        <v>227</v>
      </c>
      <c r="B235" s="487" t="s">
        <v>535</v>
      </c>
      <c r="C235" s="488" t="s">
        <v>755</v>
      </c>
      <c r="D235" s="769">
        <v>2000000</v>
      </c>
      <c r="E235" s="769">
        <f>D235*E$7/F$3</f>
        <v>200</v>
      </c>
      <c r="F235" s="769">
        <f>D235*F$7/F$3</f>
        <v>2000</v>
      </c>
      <c r="G235" s="763"/>
      <c r="H235" s="763"/>
      <c r="I235" s="774"/>
      <c r="J235" s="775"/>
      <c r="K235" s="491">
        <v>400</v>
      </c>
      <c r="L235" s="494">
        <f>970</f>
        <v>970</v>
      </c>
      <c r="M235" s="509" t="s">
        <v>533</v>
      </c>
      <c r="N235" s="497" t="s">
        <v>532</v>
      </c>
      <c r="O235" s="494" t="s">
        <v>409</v>
      </c>
      <c r="P235" s="494"/>
      <c r="Q235" s="494"/>
      <c r="R235">
        <f t="shared" si="160"/>
        <v>227</v>
      </c>
      <c r="S235" s="395" t="s">
        <v>748</v>
      </c>
      <c r="T235" s="395"/>
      <c r="U235" s="395"/>
      <c r="V235" t="s">
        <v>34</v>
      </c>
      <c r="W235" s="159" t="s">
        <v>34</v>
      </c>
      <c r="AF235" t="s">
        <v>34</v>
      </c>
      <c r="AG235" s="133">
        <f>AG233+AG234</f>
        <v>1158</v>
      </c>
      <c r="AH235" t="s">
        <v>723</v>
      </c>
      <c r="AL235" s="304">
        <f t="shared" ref="AL235:AL243" si="185">(K235/L235)*60</f>
        <v>24.742268041237111</v>
      </c>
      <c r="AM235" s="304">
        <f>60*AL235</f>
        <v>1484.5360824742265</v>
      </c>
      <c r="AN235" s="304">
        <f>AL235/60</f>
        <v>0.41237113402061853</v>
      </c>
    </row>
    <row r="236" spans="1:40" x14ac:dyDescent="0.35">
      <c r="A236">
        <f t="shared" si="159"/>
        <v>228</v>
      </c>
      <c r="B236" s="487" t="s">
        <v>536</v>
      </c>
      <c r="C236" s="488" t="s">
        <v>749</v>
      </c>
      <c r="D236" s="769">
        <v>30</v>
      </c>
      <c r="E236" s="763" t="s">
        <v>34</v>
      </c>
      <c r="F236" s="763" t="s">
        <v>34</v>
      </c>
      <c r="G236" s="763" t="s">
        <v>34</v>
      </c>
      <c r="H236" s="769">
        <f>D236*H$7/F$3</f>
        <v>3</v>
      </c>
      <c r="I236" s="784">
        <f>D236*I$7/I$3</f>
        <v>0.03</v>
      </c>
      <c r="J236" s="785">
        <f>D236*J$7/I$3</f>
        <v>0.3</v>
      </c>
      <c r="K236" s="517">
        <v>1.8</v>
      </c>
      <c r="L236" s="494">
        <v>3240</v>
      </c>
      <c r="M236" s="509" t="s">
        <v>539</v>
      </c>
      <c r="N236" s="497" t="s">
        <v>34</v>
      </c>
      <c r="O236" s="494" t="s">
        <v>351</v>
      </c>
      <c r="P236" s="494"/>
      <c r="Q236" s="494"/>
      <c r="R236">
        <f t="shared" si="160"/>
        <v>228</v>
      </c>
      <c r="S236" s="20" t="s">
        <v>537</v>
      </c>
      <c r="T236" s="20"/>
      <c r="U236" s="20"/>
      <c r="V236" t="s">
        <v>751</v>
      </c>
      <c r="W236" s="159" t="s">
        <v>34</v>
      </c>
      <c r="AF236" t="s">
        <v>34</v>
      </c>
      <c r="AL236" s="304">
        <f t="shared" si="185"/>
        <v>3.3333333333333333E-2</v>
      </c>
      <c r="AM236" s="304">
        <f>60*AL236</f>
        <v>2</v>
      </c>
      <c r="AN236" s="304">
        <f>AL236/60</f>
        <v>5.5555555555555556E-4</v>
      </c>
    </row>
    <row r="237" spans="1:40" x14ac:dyDescent="0.35">
      <c r="A237">
        <f t="shared" si="159"/>
        <v>229</v>
      </c>
      <c r="B237" s="487" t="s">
        <v>571</v>
      </c>
      <c r="C237" s="488" t="s">
        <v>750</v>
      </c>
      <c r="D237" s="769">
        <v>700000</v>
      </c>
      <c r="E237" s="769">
        <f t="shared" ref="E237:E246" si="186">D237*E$7/F$3</f>
        <v>70</v>
      </c>
      <c r="F237" s="769">
        <f>D237*F$7/F$3</f>
        <v>700</v>
      </c>
      <c r="G237" s="763" t="s">
        <v>34</v>
      </c>
      <c r="H237" s="763" t="s">
        <v>34</v>
      </c>
      <c r="I237" s="774" t="s">
        <v>34</v>
      </c>
      <c r="J237" s="775" t="s">
        <v>34</v>
      </c>
      <c r="K237" s="491">
        <v>300</v>
      </c>
      <c r="L237" s="494">
        <v>1041</v>
      </c>
      <c r="M237" s="509" t="s">
        <v>572</v>
      </c>
      <c r="N237" s="497" t="s">
        <v>565</v>
      </c>
      <c r="O237" s="494" t="s">
        <v>570</v>
      </c>
      <c r="P237" s="494"/>
      <c r="Q237" s="494"/>
      <c r="R237">
        <f t="shared" si="160"/>
        <v>229</v>
      </c>
      <c r="S237" s="20" t="s">
        <v>566</v>
      </c>
      <c r="T237" s="20"/>
      <c r="U237" s="20"/>
      <c r="V237" t="s">
        <v>34</v>
      </c>
      <c r="W237" s="159" t="s">
        <v>34</v>
      </c>
      <c r="AF237" t="s">
        <v>34</v>
      </c>
      <c r="AL237" s="304">
        <f t="shared" si="185"/>
        <v>17.291066282420751</v>
      </c>
      <c r="AM237" s="304">
        <f>60*AL237</f>
        <v>1037.4639769452451</v>
      </c>
      <c r="AN237" s="304">
        <f>AL237/60</f>
        <v>0.28818443804034583</v>
      </c>
    </row>
    <row r="238" spans="1:40" x14ac:dyDescent="0.35">
      <c r="A238">
        <f t="shared" si="159"/>
        <v>230</v>
      </c>
      <c r="B238" s="487" t="s">
        <v>671</v>
      </c>
      <c r="C238" s="488" t="s">
        <v>758</v>
      </c>
      <c r="D238" s="769">
        <v>50000000</v>
      </c>
      <c r="E238" s="769">
        <f t="shared" si="186"/>
        <v>5000</v>
      </c>
      <c r="F238" s="763" t="s">
        <v>34</v>
      </c>
      <c r="G238" s="763" t="s">
        <v>34</v>
      </c>
      <c r="H238" s="763" t="s">
        <v>34</v>
      </c>
      <c r="I238" s="774" t="s">
        <v>34</v>
      </c>
      <c r="J238" s="774" t="s">
        <v>34</v>
      </c>
      <c r="K238" s="491">
        <v>4400</v>
      </c>
      <c r="L238" s="494">
        <v>900</v>
      </c>
      <c r="M238" s="509" t="s">
        <v>680</v>
      </c>
      <c r="N238" s="494">
        <v>52000</v>
      </c>
      <c r="O238" s="494" t="s">
        <v>679</v>
      </c>
      <c r="P238" s="494">
        <v>120</v>
      </c>
      <c r="Q238" s="494"/>
      <c r="R238">
        <f t="shared" si="160"/>
        <v>230</v>
      </c>
      <c r="S238" s="20" t="s">
        <v>672</v>
      </c>
      <c r="T238" s="20"/>
      <c r="U238" s="20"/>
      <c r="V238" t="s">
        <v>713</v>
      </c>
      <c r="W238" s="159" t="s">
        <v>34</v>
      </c>
      <c r="AF238" t="s">
        <v>34</v>
      </c>
      <c r="AL238" s="304">
        <f t="shared" ref="AL238" si="187">(K238/L238)*60</f>
        <v>293.33333333333337</v>
      </c>
      <c r="AM238" s="304">
        <f>60*AL238</f>
        <v>17600.000000000004</v>
      </c>
      <c r="AN238" s="304">
        <f>AL238/60</f>
        <v>4.8888888888888893</v>
      </c>
    </row>
    <row r="239" spans="1:40" x14ac:dyDescent="0.35">
      <c r="A239">
        <f t="shared" si="159"/>
        <v>231</v>
      </c>
      <c r="B239" s="123" t="s">
        <v>688</v>
      </c>
      <c r="C239" s="42" t="s">
        <v>752</v>
      </c>
      <c r="D239" s="667">
        <f>780000000/4</f>
        <v>195000000</v>
      </c>
      <c r="E239" s="667">
        <f t="shared" si="186"/>
        <v>19500</v>
      </c>
      <c r="F239" s="666" t="s">
        <v>34</v>
      </c>
      <c r="G239" s="666" t="s">
        <v>34</v>
      </c>
      <c r="H239" s="666" t="s">
        <v>34</v>
      </c>
      <c r="I239" s="776" t="s">
        <v>34</v>
      </c>
      <c r="J239" s="776" t="s">
        <v>34</v>
      </c>
      <c r="K239" s="105">
        <v>4480</v>
      </c>
      <c r="L239" s="392">
        <v>830</v>
      </c>
      <c r="M239" s="381" t="s">
        <v>680</v>
      </c>
      <c r="N239" s="392">
        <v>77000</v>
      </c>
      <c r="O239" s="392">
        <v>279</v>
      </c>
      <c r="P239" s="392"/>
      <c r="Q239" s="392">
        <v>0</v>
      </c>
      <c r="R239">
        <f t="shared" si="160"/>
        <v>231</v>
      </c>
      <c r="S239" s="20" t="s">
        <v>683</v>
      </c>
      <c r="T239" s="20"/>
      <c r="U239" s="20"/>
      <c r="V239" t="s">
        <v>34</v>
      </c>
      <c r="W239" s="159" t="s">
        <v>34</v>
      </c>
      <c r="AF239" t="s">
        <v>34</v>
      </c>
      <c r="AL239" s="304">
        <f t="shared" ref="AL239:AL240" si="188">(K239/L239)*60</f>
        <v>323.85542168674698</v>
      </c>
      <c r="AM239" s="304">
        <f t="shared" ref="AM239:AM240" si="189">60*AL239</f>
        <v>19431.325301204819</v>
      </c>
      <c r="AN239" s="304">
        <f t="shared" ref="AN239:AN240" si="190">AL239/60</f>
        <v>5.3975903614457827</v>
      </c>
    </row>
    <row r="240" spans="1:40" x14ac:dyDescent="0.35">
      <c r="A240">
        <f t="shared" si="159"/>
        <v>232</v>
      </c>
      <c r="B240" s="123" t="s">
        <v>689</v>
      </c>
      <c r="C240" s="42" t="s">
        <v>747</v>
      </c>
      <c r="D240" s="667">
        <v>75000000</v>
      </c>
      <c r="E240" s="667">
        <f t="shared" si="186"/>
        <v>7500</v>
      </c>
      <c r="F240" s="666" t="s">
        <v>34</v>
      </c>
      <c r="G240" s="666" t="s">
        <v>34</v>
      </c>
      <c r="H240" s="666" t="s">
        <v>34</v>
      </c>
      <c r="I240" s="776" t="s">
        <v>34</v>
      </c>
      <c r="J240" s="776" t="s">
        <v>34</v>
      </c>
      <c r="K240" s="105">
        <v>3800</v>
      </c>
      <c r="L240" s="392">
        <v>541</v>
      </c>
      <c r="M240" s="381" t="s">
        <v>686</v>
      </c>
      <c r="N240" s="392">
        <v>19000</v>
      </c>
      <c r="O240" s="392" t="s">
        <v>685</v>
      </c>
      <c r="P240" s="392"/>
      <c r="Q240" s="392"/>
      <c r="R240">
        <f t="shared" si="160"/>
        <v>232</v>
      </c>
      <c r="S240" s="20" t="s">
        <v>684</v>
      </c>
      <c r="T240" s="20"/>
      <c r="U240" s="20"/>
      <c r="V240" t="s">
        <v>34</v>
      </c>
      <c r="W240" s="159" t="s">
        <v>34</v>
      </c>
      <c r="AF240" t="s">
        <v>34</v>
      </c>
      <c r="AL240" s="304">
        <f t="shared" si="188"/>
        <v>421.44177449168205</v>
      </c>
      <c r="AM240" s="304">
        <f t="shared" si="189"/>
        <v>25286.506469500924</v>
      </c>
      <c r="AN240" s="304">
        <f t="shared" si="190"/>
        <v>7.0240295748613679</v>
      </c>
    </row>
    <row r="241" spans="1:40" x14ac:dyDescent="0.35">
      <c r="A241">
        <f t="shared" si="159"/>
        <v>233</v>
      </c>
      <c r="B241" s="487" t="s">
        <v>648</v>
      </c>
      <c r="C241" s="488" t="s">
        <v>753</v>
      </c>
      <c r="D241" s="769">
        <v>100000000</v>
      </c>
      <c r="E241" s="769">
        <f t="shared" si="186"/>
        <v>10000</v>
      </c>
      <c r="F241" s="763" t="s">
        <v>34</v>
      </c>
      <c r="G241" s="763" t="s">
        <v>34</v>
      </c>
      <c r="H241" s="763" t="s">
        <v>34</v>
      </c>
      <c r="I241" s="774" t="s">
        <v>34</v>
      </c>
      <c r="J241" s="774" t="s">
        <v>34</v>
      </c>
      <c r="K241" s="491">
        <v>7300</v>
      </c>
      <c r="L241" s="494">
        <v>850</v>
      </c>
      <c r="M241" s="509" t="s">
        <v>652</v>
      </c>
      <c r="N241" s="494">
        <v>100000</v>
      </c>
      <c r="O241" s="494">
        <v>53</v>
      </c>
      <c r="P241" s="494">
        <v>20</v>
      </c>
      <c r="Q241" s="494"/>
      <c r="R241">
        <f t="shared" si="160"/>
        <v>233</v>
      </c>
      <c r="S241" s="20" t="s">
        <v>651</v>
      </c>
      <c r="T241" s="20"/>
      <c r="U241" s="20"/>
      <c r="V241" t="s">
        <v>681</v>
      </c>
      <c r="W241" s="159" t="s">
        <v>34</v>
      </c>
      <c r="AF241" t="s">
        <v>34</v>
      </c>
      <c r="AL241" s="304">
        <f t="shared" si="185"/>
        <v>515.29411764705878</v>
      </c>
      <c r="AM241" s="304">
        <f>60*AL241</f>
        <v>30917.647058823528</v>
      </c>
      <c r="AN241" s="304">
        <f>AL241/60</f>
        <v>8.5882352941176467</v>
      </c>
    </row>
    <row r="242" spans="1:40" x14ac:dyDescent="0.35">
      <c r="A242">
        <f t="shared" si="159"/>
        <v>234</v>
      </c>
      <c r="B242" s="123" t="s">
        <v>657</v>
      </c>
      <c r="C242" s="42" t="s">
        <v>756</v>
      </c>
      <c r="D242" s="667">
        <f>54200000000/179</f>
        <v>302793296.08938545</v>
      </c>
      <c r="E242" s="667">
        <f t="shared" si="186"/>
        <v>30279.329608938544</v>
      </c>
      <c r="F242" s="666" t="s">
        <v>34</v>
      </c>
      <c r="G242" s="666" t="s">
        <v>34</v>
      </c>
      <c r="H242" s="666" t="s">
        <v>34</v>
      </c>
      <c r="I242" s="776" t="s">
        <v>34</v>
      </c>
      <c r="J242" s="776" t="s">
        <v>34</v>
      </c>
      <c r="K242" s="105">
        <v>11830</v>
      </c>
      <c r="L242" s="392">
        <v>914</v>
      </c>
      <c r="M242" s="381" t="s">
        <v>656</v>
      </c>
      <c r="N242" s="392">
        <v>94000</v>
      </c>
      <c r="O242" s="392" t="s">
        <v>654</v>
      </c>
      <c r="P242" s="392"/>
      <c r="Q242" s="392"/>
      <c r="R242">
        <f t="shared" si="160"/>
        <v>234</v>
      </c>
      <c r="S242" s="20" t="s">
        <v>655</v>
      </c>
      <c r="T242" s="20"/>
      <c r="U242" s="20"/>
      <c r="V242" t="s">
        <v>1975</v>
      </c>
      <c r="W242" s="159" t="s">
        <v>34</v>
      </c>
      <c r="AF242" t="s">
        <v>34</v>
      </c>
      <c r="AL242" s="304">
        <f t="shared" si="185"/>
        <v>776.58643326039396</v>
      </c>
      <c r="AM242" s="304">
        <f>60*AL242</f>
        <v>46595.185995623637</v>
      </c>
      <c r="AN242" s="304">
        <f>AL242/60</f>
        <v>12.943107221006565</v>
      </c>
    </row>
    <row r="243" spans="1:40" x14ac:dyDescent="0.35">
      <c r="A243">
        <f t="shared" si="159"/>
        <v>235</v>
      </c>
      <c r="B243" s="123" t="s">
        <v>2224</v>
      </c>
      <c r="C243" s="455" t="s">
        <v>2061</v>
      </c>
      <c r="D243" s="666">
        <f>13000000000/72</f>
        <v>180555555.55555555</v>
      </c>
      <c r="E243" s="666" t="s">
        <v>34</v>
      </c>
      <c r="F243" s="666" t="s">
        <v>34</v>
      </c>
      <c r="G243" s="666" t="s">
        <v>34</v>
      </c>
      <c r="H243" s="666" t="s">
        <v>34</v>
      </c>
      <c r="I243" s="776" t="s">
        <v>34</v>
      </c>
      <c r="J243" s="776" t="s">
        <v>34</v>
      </c>
      <c r="K243" s="105">
        <v>8046</v>
      </c>
      <c r="L243" s="392">
        <v>900</v>
      </c>
      <c r="M243" s="381" t="s">
        <v>2044</v>
      </c>
      <c r="N243" s="541" t="s">
        <v>2550</v>
      </c>
      <c r="O243" s="392" t="s">
        <v>2042</v>
      </c>
      <c r="P243" s="392" t="s">
        <v>2042</v>
      </c>
      <c r="Q243" s="392">
        <v>0</v>
      </c>
      <c r="R243">
        <f t="shared" si="160"/>
        <v>235</v>
      </c>
      <c r="S243" s="20" t="s">
        <v>1242</v>
      </c>
      <c r="T243" s="20"/>
      <c r="U243" s="4" t="s">
        <v>2043</v>
      </c>
      <c r="V243" t="s">
        <v>2166</v>
      </c>
      <c r="W243" s="20" t="s">
        <v>1241</v>
      </c>
      <c r="X243" s="4" t="s">
        <v>2059</v>
      </c>
      <c r="Y243" s="4" t="s">
        <v>2225</v>
      </c>
      <c r="Z243" s="4" t="s">
        <v>2549</v>
      </c>
      <c r="AL243" s="304">
        <f t="shared" si="185"/>
        <v>536.4</v>
      </c>
      <c r="AM243" s="304">
        <f>60*AL243</f>
        <v>32184</v>
      </c>
      <c r="AN243" s="304">
        <f>AL243/60</f>
        <v>8.94</v>
      </c>
    </row>
    <row r="244" spans="1:40" x14ac:dyDescent="0.35">
      <c r="A244">
        <f t="shared" si="159"/>
        <v>236</v>
      </c>
      <c r="B244" s="123" t="s">
        <v>718</v>
      </c>
      <c r="C244" s="42" t="s">
        <v>754</v>
      </c>
      <c r="D244" s="667">
        <v>270000000</v>
      </c>
      <c r="E244" s="667">
        <f t="shared" si="186"/>
        <v>27000</v>
      </c>
      <c r="F244" s="666" t="s">
        <v>34</v>
      </c>
      <c r="G244" s="666" t="s">
        <v>34</v>
      </c>
      <c r="H244" s="666" t="s">
        <v>34</v>
      </c>
      <c r="I244" s="776" t="s">
        <v>34</v>
      </c>
      <c r="J244" s="776" t="s">
        <v>34</v>
      </c>
      <c r="K244" s="105">
        <v>7400</v>
      </c>
      <c r="L244" s="392">
        <v>854</v>
      </c>
      <c r="M244" s="381" t="s">
        <v>1008</v>
      </c>
      <c r="N244" s="105" t="s">
        <v>1833</v>
      </c>
      <c r="O244" s="392">
        <v>68</v>
      </c>
      <c r="P244" s="392"/>
      <c r="Q244" s="392">
        <v>0</v>
      </c>
      <c r="R244">
        <f t="shared" si="160"/>
        <v>236</v>
      </c>
      <c r="S244" s="20" t="s">
        <v>580</v>
      </c>
      <c r="T244" s="20"/>
      <c r="U244" s="20"/>
      <c r="V244" t="s">
        <v>34</v>
      </c>
      <c r="W244" s="159" t="s">
        <v>34</v>
      </c>
      <c r="AF244" t="s">
        <v>34</v>
      </c>
      <c r="AL244" s="304">
        <f t="shared" ref="AL244:AL249" si="191">(K244/L244)*60</f>
        <v>519.90632318501173</v>
      </c>
      <c r="AM244" s="304">
        <f t="shared" ref="AM244:AM249" si="192">60*AL244</f>
        <v>31194.379391100705</v>
      </c>
      <c r="AN244" s="304">
        <f t="shared" ref="AN244:AN249" si="193">AL244/60</f>
        <v>8.6651053864168617</v>
      </c>
    </row>
    <row r="245" spans="1:40" x14ac:dyDescent="0.35">
      <c r="A245">
        <f t="shared" si="159"/>
        <v>237</v>
      </c>
      <c r="B245" s="123" t="s">
        <v>1006</v>
      </c>
      <c r="C245" s="42" t="s">
        <v>738</v>
      </c>
      <c r="D245" s="666">
        <f>D244</f>
        <v>270000000</v>
      </c>
      <c r="E245" s="667">
        <f t="shared" si="186"/>
        <v>27000</v>
      </c>
      <c r="F245" s="666" t="s">
        <v>34</v>
      </c>
      <c r="G245" s="666" t="s">
        <v>34</v>
      </c>
      <c r="H245" s="666" t="s">
        <v>34</v>
      </c>
      <c r="I245" s="776" t="s">
        <v>34</v>
      </c>
      <c r="J245" s="776" t="s">
        <v>34</v>
      </c>
      <c r="K245" s="105">
        <v>6500</v>
      </c>
      <c r="L245" s="392">
        <v>853</v>
      </c>
      <c r="M245" s="381" t="s">
        <v>1007</v>
      </c>
      <c r="N245" s="105" t="s">
        <v>1834</v>
      </c>
      <c r="O245" s="392">
        <v>14</v>
      </c>
      <c r="P245" s="392"/>
      <c r="Q245" s="392"/>
      <c r="R245">
        <f t="shared" si="160"/>
        <v>237</v>
      </c>
      <c r="S245" s="20" t="s">
        <v>716</v>
      </c>
      <c r="T245" s="20"/>
      <c r="U245" s="20"/>
      <c r="V245" t="s">
        <v>744</v>
      </c>
      <c r="W245" s="159" t="s">
        <v>34</v>
      </c>
      <c r="AF245" t="s">
        <v>34</v>
      </c>
      <c r="AL245" s="304">
        <f t="shared" ref="AL245:AL248" si="194">(K245/L245)*60</f>
        <v>457.20984759671751</v>
      </c>
      <c r="AM245" s="304">
        <f t="shared" ref="AM245:AM248" si="195">60*AL245</f>
        <v>27432.59085580305</v>
      </c>
      <c r="AN245" s="304">
        <f t="shared" ref="AN245:AN248" si="196">AL245/60</f>
        <v>7.6201641266119582</v>
      </c>
    </row>
    <row r="246" spans="1:40" x14ac:dyDescent="0.35">
      <c r="A246">
        <f t="shared" si="159"/>
        <v>238</v>
      </c>
      <c r="B246" s="123" t="s">
        <v>1176</v>
      </c>
      <c r="C246" s="455" t="s">
        <v>1174</v>
      </c>
      <c r="D246" s="666">
        <f>3600000000/25</f>
        <v>144000000</v>
      </c>
      <c r="E246" s="667">
        <f t="shared" si="186"/>
        <v>14400</v>
      </c>
      <c r="F246" s="666" t="s">
        <v>34</v>
      </c>
      <c r="G246" s="666" t="s">
        <v>34</v>
      </c>
      <c r="H246" s="666" t="s">
        <v>34</v>
      </c>
      <c r="I246" s="776" t="s">
        <v>34</v>
      </c>
      <c r="J246" s="776" t="s">
        <v>34</v>
      </c>
      <c r="K246" s="105">
        <v>2850</v>
      </c>
      <c r="L246" s="392">
        <v>474</v>
      </c>
      <c r="M246" s="381" t="s">
        <v>830</v>
      </c>
      <c r="N246" s="105" t="s">
        <v>1835</v>
      </c>
      <c r="O246" s="555" t="s">
        <v>1171</v>
      </c>
      <c r="P246" s="466">
        <v>70</v>
      </c>
      <c r="Q246" s="466" t="s">
        <v>1170</v>
      </c>
      <c r="R246">
        <f t="shared" si="160"/>
        <v>238</v>
      </c>
      <c r="S246" s="20" t="s">
        <v>1168</v>
      </c>
      <c r="T246" s="20"/>
      <c r="U246" s="20"/>
      <c r="V246" t="s">
        <v>1167</v>
      </c>
      <c r="W246" s="159" t="s">
        <v>34</v>
      </c>
      <c r="AF246" t="s">
        <v>34</v>
      </c>
      <c r="AG246" t="s">
        <v>1175</v>
      </c>
      <c r="AH246" s="4" t="s">
        <v>1172</v>
      </c>
      <c r="AL246" s="304">
        <f t="shared" si="194"/>
        <v>360.75949367088606</v>
      </c>
      <c r="AM246" s="304">
        <f t="shared" si="195"/>
        <v>21645.569620253162</v>
      </c>
      <c r="AN246" s="304">
        <f t="shared" si="196"/>
        <v>6.0126582278481013</v>
      </c>
    </row>
    <row r="247" spans="1:40" x14ac:dyDescent="0.35">
      <c r="A247">
        <f t="shared" si="159"/>
        <v>239</v>
      </c>
      <c r="B247" s="123" t="s">
        <v>1177</v>
      </c>
      <c r="C247" s="455"/>
      <c r="D247" s="666">
        <f>3600000000/25</f>
        <v>144000000</v>
      </c>
      <c r="E247" s="667">
        <f t="shared" ref="E247" si="197">D247*E$7/F$3</f>
        <v>14400</v>
      </c>
      <c r="F247" s="666" t="s">
        <v>34</v>
      </c>
      <c r="G247" s="666" t="s">
        <v>34</v>
      </c>
      <c r="H247" s="666" t="s">
        <v>34</v>
      </c>
      <c r="I247" s="776" t="s">
        <v>34</v>
      </c>
      <c r="J247" s="776" t="s">
        <v>34</v>
      </c>
      <c r="K247" s="105">
        <v>3800</v>
      </c>
      <c r="L247" s="392">
        <v>474</v>
      </c>
      <c r="M247" s="381" t="s">
        <v>663</v>
      </c>
      <c r="N247" s="105" t="s">
        <v>1835</v>
      </c>
      <c r="O247" s="541"/>
      <c r="P247" s="392">
        <v>30</v>
      </c>
      <c r="Q247" s="392"/>
      <c r="R247">
        <f t="shared" si="160"/>
        <v>239</v>
      </c>
      <c r="S247" s="20" t="s">
        <v>1168</v>
      </c>
      <c r="T247" s="20"/>
      <c r="U247" s="20"/>
      <c r="W247" s="159" t="s">
        <v>34</v>
      </c>
      <c r="AF247" t="s">
        <v>34</v>
      </c>
      <c r="AG247" t="s">
        <v>1175</v>
      </c>
      <c r="AH247" s="4"/>
      <c r="AL247" s="304">
        <f t="shared" ref="AL247" si="198">(K247/L247)*60</f>
        <v>481.01265822784814</v>
      </c>
      <c r="AM247" s="304">
        <f t="shared" ref="AM247" si="199">60*AL247</f>
        <v>28860.759493670888</v>
      </c>
      <c r="AN247" s="304">
        <f t="shared" ref="AN247" si="200">AL247/60</f>
        <v>8.0168776371308024</v>
      </c>
    </row>
    <row r="248" spans="1:40" x14ac:dyDescent="0.35">
      <c r="A248">
        <f t="shared" si="159"/>
        <v>240</v>
      </c>
      <c r="B248" s="483" t="s">
        <v>1143</v>
      </c>
      <c r="C248" s="485" t="s">
        <v>715</v>
      </c>
      <c r="D248" s="766" t="s">
        <v>34</v>
      </c>
      <c r="E248" s="766" t="s">
        <v>34</v>
      </c>
      <c r="F248" s="766" t="s">
        <v>34</v>
      </c>
      <c r="G248" s="766" t="s">
        <v>34</v>
      </c>
      <c r="H248" s="766" t="s">
        <v>34</v>
      </c>
      <c r="I248" s="772" t="s">
        <v>34</v>
      </c>
      <c r="J248" s="772" t="s">
        <v>34</v>
      </c>
      <c r="K248" s="481">
        <v>2500</v>
      </c>
      <c r="L248" s="484">
        <v>450</v>
      </c>
      <c r="M248" s="510" t="s">
        <v>1173</v>
      </c>
      <c r="N248" s="481" t="s">
        <v>1836</v>
      </c>
      <c r="O248" s="484">
        <v>12</v>
      </c>
      <c r="P248" s="484">
        <v>2</v>
      </c>
      <c r="Q248" s="484"/>
      <c r="R248">
        <f t="shared" si="160"/>
        <v>240</v>
      </c>
      <c r="S248" s="20" t="s">
        <v>714</v>
      </c>
      <c r="T248" s="20"/>
      <c r="U248" s="20"/>
      <c r="V248" t="s">
        <v>34</v>
      </c>
      <c r="W248" s="159" t="s">
        <v>34</v>
      </c>
      <c r="AF248" t="s">
        <v>34</v>
      </c>
      <c r="AL248" s="304">
        <f t="shared" si="194"/>
        <v>333.33333333333331</v>
      </c>
      <c r="AM248" s="304">
        <f t="shared" si="195"/>
        <v>20000</v>
      </c>
      <c r="AN248" s="304">
        <f t="shared" si="196"/>
        <v>5.5555555555555554</v>
      </c>
    </row>
    <row r="249" spans="1:40" x14ac:dyDescent="0.35">
      <c r="A249">
        <f t="shared" si="159"/>
        <v>241</v>
      </c>
      <c r="B249" s="487" t="s">
        <v>582</v>
      </c>
      <c r="C249" s="488" t="s">
        <v>759</v>
      </c>
      <c r="D249" s="769">
        <v>350000000</v>
      </c>
      <c r="E249" s="769">
        <f t="shared" ref="E249:E260" si="201">D249*E$7/F$3</f>
        <v>35000</v>
      </c>
      <c r="F249" s="763" t="s">
        <v>34</v>
      </c>
      <c r="G249" s="763" t="s">
        <v>34</v>
      </c>
      <c r="H249" s="763" t="s">
        <v>34</v>
      </c>
      <c r="I249" s="774" t="s">
        <v>34</v>
      </c>
      <c r="J249" s="774" t="s">
        <v>34</v>
      </c>
      <c r="K249" s="491">
        <f>7500</f>
        <v>7500</v>
      </c>
      <c r="L249" s="494">
        <v>900</v>
      </c>
      <c r="M249" s="509" t="s">
        <v>663</v>
      </c>
      <c r="N249" s="665" t="s">
        <v>1837</v>
      </c>
      <c r="O249" s="494">
        <v>40</v>
      </c>
      <c r="P249" s="494">
        <v>6</v>
      </c>
      <c r="Q249" s="494">
        <v>0</v>
      </c>
      <c r="R249">
        <f t="shared" si="160"/>
        <v>241</v>
      </c>
      <c r="S249" s="20" t="s">
        <v>577</v>
      </c>
      <c r="T249" s="20"/>
      <c r="U249" s="20"/>
      <c r="V249" t="s">
        <v>2637</v>
      </c>
      <c r="W249" s="551" t="s">
        <v>2638</v>
      </c>
      <c r="AF249" t="s">
        <v>34</v>
      </c>
      <c r="AL249" s="304">
        <f t="shared" si="191"/>
        <v>500.00000000000006</v>
      </c>
      <c r="AM249" s="304">
        <f t="shared" si="192"/>
        <v>30000.000000000004</v>
      </c>
      <c r="AN249" s="304">
        <f t="shared" si="193"/>
        <v>8.3333333333333339</v>
      </c>
    </row>
    <row r="250" spans="1:40" x14ac:dyDescent="0.35">
      <c r="A250">
        <f t="shared" si="159"/>
        <v>242</v>
      </c>
      <c r="B250" s="487" t="s">
        <v>702</v>
      </c>
      <c r="C250" s="488" t="s">
        <v>760</v>
      </c>
      <c r="D250" s="769">
        <v>16000000</v>
      </c>
      <c r="E250" s="769">
        <f t="shared" si="201"/>
        <v>1600</v>
      </c>
      <c r="F250" s="763" t="s">
        <v>34</v>
      </c>
      <c r="G250" s="763" t="s">
        <v>34</v>
      </c>
      <c r="H250" s="763" t="s">
        <v>34</v>
      </c>
      <c r="I250" s="774" t="s">
        <v>34</v>
      </c>
      <c r="J250" s="775" t="s">
        <v>34</v>
      </c>
      <c r="K250" s="491">
        <v>470</v>
      </c>
      <c r="L250" s="494">
        <v>315</v>
      </c>
      <c r="M250" s="509" t="s">
        <v>34</v>
      </c>
      <c r="N250" s="494">
        <v>1000</v>
      </c>
      <c r="O250" s="494" t="s">
        <v>440</v>
      </c>
      <c r="P250" s="494">
        <v>137</v>
      </c>
      <c r="Q250" s="494"/>
      <c r="R250">
        <f t="shared" si="160"/>
        <v>242</v>
      </c>
      <c r="S250" s="20" t="s">
        <v>592</v>
      </c>
      <c r="T250" s="20"/>
      <c r="U250" s="20"/>
      <c r="V250" t="s">
        <v>34</v>
      </c>
      <c r="W250" s="159" t="s">
        <v>34</v>
      </c>
      <c r="AF250" t="s">
        <v>34</v>
      </c>
      <c r="AL250" s="304"/>
      <c r="AM250" s="304"/>
      <c r="AN250" s="304"/>
    </row>
    <row r="251" spans="1:40" x14ac:dyDescent="0.35">
      <c r="A251">
        <f t="shared" si="159"/>
        <v>243</v>
      </c>
      <c r="B251" s="487" t="s">
        <v>585</v>
      </c>
      <c r="C251" s="488" t="s">
        <v>761</v>
      </c>
      <c r="D251" s="769">
        <v>50000</v>
      </c>
      <c r="E251" s="769">
        <f t="shared" si="201"/>
        <v>5</v>
      </c>
      <c r="F251" s="769">
        <f>D251*F$7/F$3</f>
        <v>50</v>
      </c>
      <c r="G251" s="769">
        <f>D251*G$7/F$3</f>
        <v>500</v>
      </c>
      <c r="H251" s="763" t="s">
        <v>34</v>
      </c>
      <c r="I251" s="774" t="s">
        <v>34</v>
      </c>
      <c r="J251" s="774" t="s">
        <v>34</v>
      </c>
      <c r="K251" s="491">
        <v>10</v>
      </c>
      <c r="L251" s="494">
        <v>1440</v>
      </c>
      <c r="M251" s="509" t="s">
        <v>857</v>
      </c>
      <c r="N251" s="497" t="s">
        <v>587</v>
      </c>
      <c r="O251" s="494" t="s">
        <v>364</v>
      </c>
      <c r="P251" s="494"/>
      <c r="Q251" s="494"/>
      <c r="R251">
        <f t="shared" si="160"/>
        <v>243</v>
      </c>
      <c r="S251" s="20" t="s">
        <v>586</v>
      </c>
      <c r="T251" s="20"/>
      <c r="U251" s="20"/>
      <c r="V251" t="s">
        <v>34</v>
      </c>
      <c r="W251" s="159" t="s">
        <v>34</v>
      </c>
      <c r="AF251" t="s">
        <v>34</v>
      </c>
      <c r="AG251" s="133">
        <f>P250+P253</f>
        <v>249</v>
      </c>
      <c r="AH251" t="s">
        <v>778</v>
      </c>
      <c r="AL251" s="304">
        <f>(K251/L251)*60</f>
        <v>0.41666666666666663</v>
      </c>
      <c r="AM251" s="304">
        <f>60*AL251</f>
        <v>24.999999999999996</v>
      </c>
      <c r="AN251" s="304">
        <f>AL251/60</f>
        <v>6.9444444444444441E-3</v>
      </c>
    </row>
    <row r="252" spans="1:40" x14ac:dyDescent="0.35">
      <c r="A252">
        <f t="shared" si="159"/>
        <v>244</v>
      </c>
      <c r="B252" s="487" t="s">
        <v>583</v>
      </c>
      <c r="C252" s="488" t="s">
        <v>762</v>
      </c>
      <c r="D252" s="769">
        <v>159750</v>
      </c>
      <c r="E252" s="769">
        <f t="shared" si="201"/>
        <v>15.975</v>
      </c>
      <c r="F252" s="769">
        <f>D252*F$7/F$3</f>
        <v>159.75</v>
      </c>
      <c r="G252" s="769">
        <f>D252*G$7/F$3</f>
        <v>1597.5</v>
      </c>
      <c r="H252" s="763" t="s">
        <v>34</v>
      </c>
      <c r="I252" s="774" t="s">
        <v>34</v>
      </c>
      <c r="J252" s="774" t="s">
        <v>34</v>
      </c>
      <c r="K252" s="491">
        <v>15</v>
      </c>
      <c r="L252" s="494">
        <v>828</v>
      </c>
      <c r="M252" s="509" t="s">
        <v>856</v>
      </c>
      <c r="N252" s="497" t="s">
        <v>591</v>
      </c>
      <c r="O252" s="494" t="s">
        <v>516</v>
      </c>
      <c r="P252" s="494"/>
      <c r="Q252" s="494"/>
      <c r="R252">
        <f t="shared" si="160"/>
        <v>244</v>
      </c>
      <c r="S252" s="395" t="s">
        <v>589</v>
      </c>
      <c r="T252" s="395"/>
      <c r="U252" s="395"/>
      <c r="V252" t="s">
        <v>34</v>
      </c>
      <c r="W252" s="159" t="s">
        <v>34</v>
      </c>
      <c r="AF252" t="s">
        <v>34</v>
      </c>
      <c r="AG252" s="133">
        <f>P259+P260</f>
        <v>832</v>
      </c>
      <c r="AH252" t="s">
        <v>779</v>
      </c>
      <c r="AL252" s="304">
        <f>(K252/L252)*60</f>
        <v>1.0869565217391304</v>
      </c>
      <c r="AM252" s="304">
        <f>60*AL252</f>
        <v>65.217391304347828</v>
      </c>
      <c r="AN252" s="304">
        <f>AL252/60</f>
        <v>1.8115942028985508E-2</v>
      </c>
    </row>
    <row r="253" spans="1:40" x14ac:dyDescent="0.35">
      <c r="A253">
        <f t="shared" si="159"/>
        <v>245</v>
      </c>
      <c r="B253" s="487" t="s">
        <v>701</v>
      </c>
      <c r="C253" s="488" t="s">
        <v>763</v>
      </c>
      <c r="D253" s="769">
        <v>16000000</v>
      </c>
      <c r="E253" s="769">
        <f t="shared" si="201"/>
        <v>1600</v>
      </c>
      <c r="F253" s="763" t="s">
        <v>34</v>
      </c>
      <c r="G253" s="763" t="s">
        <v>34</v>
      </c>
      <c r="H253" s="763" t="s">
        <v>34</v>
      </c>
      <c r="I253" s="774" t="s">
        <v>34</v>
      </c>
      <c r="J253" s="775" t="s">
        <v>34</v>
      </c>
      <c r="K253" s="491">
        <v>400</v>
      </c>
      <c r="L253" s="494">
        <v>320</v>
      </c>
      <c r="M253" s="509" t="s">
        <v>34</v>
      </c>
      <c r="N253" s="494">
        <v>1000</v>
      </c>
      <c r="O253" s="494" t="s">
        <v>594</v>
      </c>
      <c r="P253" s="494">
        <v>112</v>
      </c>
      <c r="Q253" s="494"/>
      <c r="R253">
        <f t="shared" si="160"/>
        <v>245</v>
      </c>
      <c r="S253" s="20" t="s">
        <v>595</v>
      </c>
      <c r="T253" s="20"/>
      <c r="U253" s="20"/>
      <c r="V253" t="s">
        <v>34</v>
      </c>
      <c r="W253" s="159" t="s">
        <v>34</v>
      </c>
      <c r="AF253" t="s">
        <v>34</v>
      </c>
      <c r="AG253" s="133">
        <f>SUM(AG251:AG252)</f>
        <v>1081</v>
      </c>
      <c r="AH253" t="s">
        <v>780</v>
      </c>
      <c r="AL253" s="304">
        <f t="shared" ref="AL253:AL254" si="202">(K253/L253)*60</f>
        <v>75</v>
      </c>
      <c r="AM253" s="304">
        <f t="shared" ref="AM253:AM260" si="203">60*AL253</f>
        <v>4500</v>
      </c>
      <c r="AN253" s="304">
        <f t="shared" ref="AN253:AN260" si="204">AL253/60</f>
        <v>1.25</v>
      </c>
    </row>
    <row r="254" spans="1:40" x14ac:dyDescent="0.35">
      <c r="A254">
        <f t="shared" si="159"/>
        <v>246</v>
      </c>
      <c r="B254" s="123" t="s">
        <v>1976</v>
      </c>
      <c r="C254" s="42" t="s">
        <v>853</v>
      </c>
      <c r="D254" s="667">
        <v>61000000</v>
      </c>
      <c r="E254" s="667">
        <f t="shared" si="201"/>
        <v>6100</v>
      </c>
      <c r="F254" s="666" t="s">
        <v>34</v>
      </c>
      <c r="G254" s="666" t="s">
        <v>34</v>
      </c>
      <c r="H254" s="666" t="s">
        <v>34</v>
      </c>
      <c r="I254" s="776" t="s">
        <v>34</v>
      </c>
      <c r="J254" s="776" t="s">
        <v>34</v>
      </c>
      <c r="K254" s="105">
        <v>480</v>
      </c>
      <c r="L254" s="392">
        <v>293</v>
      </c>
      <c r="M254" s="381" t="s">
        <v>712</v>
      </c>
      <c r="N254" s="392">
        <v>2000</v>
      </c>
      <c r="O254" s="392" t="s">
        <v>363</v>
      </c>
      <c r="P254" s="392">
        <v>1280</v>
      </c>
      <c r="Q254" s="392"/>
      <c r="R254">
        <f t="shared" si="160"/>
        <v>246</v>
      </c>
      <c r="S254" s="20" t="s">
        <v>852</v>
      </c>
      <c r="T254" s="20"/>
      <c r="U254" s="20"/>
      <c r="V254" t="s">
        <v>34</v>
      </c>
      <c r="W254" s="159" t="s">
        <v>34</v>
      </c>
      <c r="AF254" t="s">
        <v>34</v>
      </c>
      <c r="AG254" s="133"/>
      <c r="AL254" s="304">
        <f t="shared" si="202"/>
        <v>98.293515358361773</v>
      </c>
      <c r="AM254" s="304">
        <f t="shared" si="203"/>
        <v>5897.6109215017068</v>
      </c>
      <c r="AN254" s="304">
        <f t="shared" si="204"/>
        <v>1.6382252559726962</v>
      </c>
    </row>
    <row r="255" spans="1:40" x14ac:dyDescent="0.35">
      <c r="A255">
        <f t="shared" si="159"/>
        <v>247</v>
      </c>
      <c r="B255" s="123" t="s">
        <v>854</v>
      </c>
      <c r="C255" s="42" t="s">
        <v>810</v>
      </c>
      <c r="D255" s="667">
        <v>50</v>
      </c>
      <c r="E255" s="667"/>
      <c r="F255" s="666" t="s">
        <v>34</v>
      </c>
      <c r="G255" s="666" t="s">
        <v>34</v>
      </c>
      <c r="H255" s="667">
        <f>D255*H$7/F$3</f>
        <v>5</v>
      </c>
      <c r="I255" s="782">
        <f>D255*I$7/I$3</f>
        <v>0.05</v>
      </c>
      <c r="J255" s="783">
        <f>D255*J$7/I$3</f>
        <v>0.5</v>
      </c>
      <c r="K255" s="105">
        <v>4</v>
      </c>
      <c r="L255" s="392">
        <v>2898</v>
      </c>
      <c r="M255" s="381" t="s">
        <v>855</v>
      </c>
      <c r="N255" s="392" t="s">
        <v>34</v>
      </c>
      <c r="O255" s="392" t="s">
        <v>404</v>
      </c>
      <c r="P255" s="392"/>
      <c r="Q255" s="392"/>
      <c r="R255">
        <f t="shared" si="160"/>
        <v>247</v>
      </c>
      <c r="S255" s="20" t="s">
        <v>433</v>
      </c>
      <c r="T255" s="20"/>
      <c r="U255" s="20"/>
      <c r="V255" t="s">
        <v>34</v>
      </c>
      <c r="W255" s="159" t="s">
        <v>34</v>
      </c>
      <c r="AF255" t="s">
        <v>34</v>
      </c>
      <c r="AG255" s="133"/>
      <c r="AL255" s="304">
        <f t="shared" ref="AL255" si="205">(K255/L255)*60</f>
        <v>8.2815734989648032E-2</v>
      </c>
      <c r="AM255" s="304">
        <f t="shared" ref="AM255" si="206">60*AL255</f>
        <v>4.9689440993788816</v>
      </c>
      <c r="AN255" s="304">
        <f t="shared" ref="AN255" si="207">AL255/60</f>
        <v>1.3802622498274672E-3</v>
      </c>
    </row>
    <row r="256" spans="1:40" x14ac:dyDescent="0.35">
      <c r="A256">
        <f t="shared" si="159"/>
        <v>248</v>
      </c>
      <c r="B256" s="123" t="s">
        <v>617</v>
      </c>
      <c r="C256" s="42" t="s">
        <v>859</v>
      </c>
      <c r="D256" s="666" t="s">
        <v>34</v>
      </c>
      <c r="E256" s="666" t="s">
        <v>34</v>
      </c>
      <c r="F256" s="666" t="s">
        <v>34</v>
      </c>
      <c r="G256" s="666" t="s">
        <v>34</v>
      </c>
      <c r="H256" s="666" t="s">
        <v>34</v>
      </c>
      <c r="I256" s="776" t="s">
        <v>34</v>
      </c>
      <c r="J256" s="776" t="s">
        <v>34</v>
      </c>
      <c r="K256" s="105"/>
      <c r="L256" s="392"/>
      <c r="M256" s="381"/>
      <c r="N256" s="392"/>
      <c r="O256" s="392"/>
      <c r="P256" s="392"/>
      <c r="Q256" s="392"/>
      <c r="R256">
        <f t="shared" si="160"/>
        <v>248</v>
      </c>
      <c r="S256" s="20" t="s">
        <v>618</v>
      </c>
      <c r="T256" s="20"/>
      <c r="U256" s="20"/>
      <c r="V256" t="s">
        <v>34</v>
      </c>
      <c r="W256" s="159" t="s">
        <v>34</v>
      </c>
      <c r="AF256" t="s">
        <v>34</v>
      </c>
      <c r="AG256" s="133"/>
      <c r="AL256" s="304"/>
      <c r="AM256" s="304"/>
      <c r="AN256" s="304"/>
    </row>
    <row r="257" spans="1:40" x14ac:dyDescent="0.35">
      <c r="A257">
        <f t="shared" si="159"/>
        <v>249</v>
      </c>
      <c r="B257" s="123" t="s">
        <v>621</v>
      </c>
      <c r="C257" s="42" t="s">
        <v>859</v>
      </c>
      <c r="D257" s="666" t="s">
        <v>34</v>
      </c>
      <c r="E257" s="666" t="s">
        <v>34</v>
      </c>
      <c r="F257" s="666" t="s">
        <v>34</v>
      </c>
      <c r="G257" s="666" t="s">
        <v>34</v>
      </c>
      <c r="H257" s="666" t="s">
        <v>34</v>
      </c>
      <c r="I257" s="776" t="s">
        <v>34</v>
      </c>
      <c r="J257" s="776" t="s">
        <v>34</v>
      </c>
      <c r="K257" s="105"/>
      <c r="L257" s="392"/>
      <c r="M257" s="381"/>
      <c r="N257" s="392"/>
      <c r="O257" s="392"/>
      <c r="P257" s="392"/>
      <c r="Q257" s="392"/>
      <c r="R257">
        <f t="shared" si="160"/>
        <v>249</v>
      </c>
      <c r="S257" s="20" t="s">
        <v>622</v>
      </c>
      <c r="T257" s="20"/>
      <c r="U257" s="20"/>
      <c r="V257" t="s">
        <v>34</v>
      </c>
      <c r="W257" s="159" t="s">
        <v>34</v>
      </c>
      <c r="AF257" t="s">
        <v>34</v>
      </c>
      <c r="AG257" s="133"/>
      <c r="AL257" s="304"/>
      <c r="AM257" s="304"/>
      <c r="AN257" s="304"/>
    </row>
    <row r="258" spans="1:40" x14ac:dyDescent="0.35">
      <c r="A258">
        <f t="shared" si="159"/>
        <v>250</v>
      </c>
      <c r="B258" s="123" t="s">
        <v>1118</v>
      </c>
      <c r="C258" s="42" t="s">
        <v>1119</v>
      </c>
      <c r="D258" s="667">
        <f>25000000000/200</f>
        <v>125000000</v>
      </c>
      <c r="E258" s="667">
        <f t="shared" ref="E258" si="208">D258*E$7/F$3</f>
        <v>12500</v>
      </c>
      <c r="F258" s="666" t="s">
        <v>34</v>
      </c>
      <c r="G258" s="666" t="s">
        <v>34</v>
      </c>
      <c r="H258" s="666" t="s">
        <v>34</v>
      </c>
      <c r="I258" s="776" t="s">
        <v>34</v>
      </c>
      <c r="J258" s="776" t="s">
        <v>34</v>
      </c>
      <c r="K258" s="105">
        <f>660/2</f>
        <v>330</v>
      </c>
      <c r="L258" s="392">
        <v>280</v>
      </c>
      <c r="M258" s="381"/>
      <c r="N258" s="392">
        <v>16300</v>
      </c>
      <c r="O258" s="392" t="s">
        <v>1120</v>
      </c>
      <c r="P258" s="392"/>
      <c r="Q258" s="392"/>
      <c r="R258">
        <f t="shared" si="160"/>
        <v>250</v>
      </c>
      <c r="S258" s="20" t="s">
        <v>1117</v>
      </c>
      <c r="T258" s="20"/>
      <c r="U258" s="20"/>
      <c r="V258" t="s">
        <v>1121</v>
      </c>
      <c r="W258" s="159" t="s">
        <v>34</v>
      </c>
      <c r="AF258" t="s">
        <v>34</v>
      </c>
      <c r="AG258" s="159" t="s">
        <v>1122</v>
      </c>
      <c r="AL258" s="304"/>
      <c r="AM258" s="304"/>
      <c r="AN258" s="304"/>
    </row>
    <row r="259" spans="1:40" x14ac:dyDescent="0.35">
      <c r="A259">
        <f t="shared" si="159"/>
        <v>251</v>
      </c>
      <c r="B259" s="487" t="s">
        <v>764</v>
      </c>
      <c r="C259" s="488" t="s">
        <v>749</v>
      </c>
      <c r="D259" s="769">
        <v>25000000</v>
      </c>
      <c r="E259" s="769">
        <f t="shared" si="201"/>
        <v>2500</v>
      </c>
      <c r="F259" s="763" t="s">
        <v>34</v>
      </c>
      <c r="G259" s="763" t="s">
        <v>34</v>
      </c>
      <c r="H259" s="763" t="s">
        <v>34</v>
      </c>
      <c r="I259" s="774" t="s">
        <v>34</v>
      </c>
      <c r="J259" s="775" t="s">
        <v>34</v>
      </c>
      <c r="K259" s="491">
        <f>500/2</f>
        <v>250</v>
      </c>
      <c r="L259" s="494">
        <v>295</v>
      </c>
      <c r="M259" s="509" t="s">
        <v>766</v>
      </c>
      <c r="N259" s="494">
        <v>20000</v>
      </c>
      <c r="O259" s="494" t="s">
        <v>410</v>
      </c>
      <c r="P259" s="494">
        <v>44</v>
      </c>
      <c r="Q259" s="494"/>
      <c r="R259">
        <f t="shared" si="160"/>
        <v>251</v>
      </c>
      <c r="S259" s="20" t="s">
        <v>765</v>
      </c>
      <c r="T259" s="20"/>
      <c r="U259" s="20"/>
      <c r="V259" t="s">
        <v>34</v>
      </c>
      <c r="W259" s="159" t="s">
        <v>34</v>
      </c>
      <c r="AF259" t="s">
        <v>34</v>
      </c>
      <c r="AL259" s="304">
        <f>(K259/L259)*60</f>
        <v>50.847457627118644</v>
      </c>
      <c r="AM259" s="304">
        <f t="shared" si="203"/>
        <v>3050.8474576271187</v>
      </c>
      <c r="AN259" s="304">
        <f t="shared" si="204"/>
        <v>0.84745762711864403</v>
      </c>
    </row>
    <row r="260" spans="1:40" x14ac:dyDescent="0.35">
      <c r="A260">
        <f t="shared" si="159"/>
        <v>252</v>
      </c>
      <c r="B260" s="487" t="s">
        <v>777</v>
      </c>
      <c r="C260" s="488" t="s">
        <v>769</v>
      </c>
      <c r="D260" s="769">
        <v>18000000</v>
      </c>
      <c r="E260" s="769">
        <f t="shared" si="201"/>
        <v>1800</v>
      </c>
      <c r="F260" s="763" t="s">
        <v>34</v>
      </c>
      <c r="G260" s="763" t="s">
        <v>34</v>
      </c>
      <c r="H260" s="763" t="s">
        <v>34</v>
      </c>
      <c r="I260" s="774" t="s">
        <v>34</v>
      </c>
      <c r="J260" s="775" t="s">
        <v>34</v>
      </c>
      <c r="K260" s="491">
        <f>495/2</f>
        <v>247.5</v>
      </c>
      <c r="L260" s="494">
        <v>250</v>
      </c>
      <c r="M260" s="509" t="s">
        <v>601</v>
      </c>
      <c r="N260" s="494">
        <v>4000</v>
      </c>
      <c r="O260" s="494" t="s">
        <v>770</v>
      </c>
      <c r="P260" s="494">
        <v>788</v>
      </c>
      <c r="Q260" s="494"/>
      <c r="R260">
        <f t="shared" si="160"/>
        <v>252</v>
      </c>
      <c r="S260" t="s">
        <v>773</v>
      </c>
      <c r="V260" t="s">
        <v>771</v>
      </c>
      <c r="W260" s="159" t="s">
        <v>34</v>
      </c>
      <c r="AF260" t="s">
        <v>34</v>
      </c>
      <c r="AL260" s="304">
        <f>(K260/L260)*60</f>
        <v>59.4</v>
      </c>
      <c r="AM260" s="304">
        <f t="shared" si="203"/>
        <v>3564</v>
      </c>
      <c r="AN260" s="304">
        <f t="shared" si="204"/>
        <v>0.99</v>
      </c>
    </row>
    <row r="261" spans="1:40" x14ac:dyDescent="0.35">
      <c r="A261">
        <f t="shared" si="159"/>
        <v>253</v>
      </c>
      <c r="B261" s="123"/>
      <c r="C261" s="42"/>
      <c r="D261" s="667"/>
      <c r="E261" s="667"/>
      <c r="F261" s="666"/>
      <c r="G261" s="666"/>
      <c r="H261" s="666"/>
      <c r="I261" s="776"/>
      <c r="J261" s="777"/>
      <c r="K261" s="105"/>
      <c r="L261" s="392"/>
      <c r="M261" s="381"/>
      <c r="N261" s="392"/>
      <c r="O261" s="392"/>
      <c r="P261" s="392"/>
      <c r="Q261" s="392"/>
      <c r="R261">
        <f t="shared" si="160"/>
        <v>253</v>
      </c>
      <c r="W261" s="159" t="s">
        <v>34</v>
      </c>
      <c r="AF261" t="s">
        <v>34</v>
      </c>
      <c r="AL261" s="304"/>
      <c r="AM261" s="304"/>
      <c r="AN261" s="304"/>
    </row>
    <row r="262" spans="1:40" x14ac:dyDescent="0.35">
      <c r="A262">
        <f t="shared" si="159"/>
        <v>254</v>
      </c>
      <c r="B262" s="123"/>
      <c r="C262" s="42"/>
      <c r="D262" s="667"/>
      <c r="E262" s="667"/>
      <c r="F262" s="666"/>
      <c r="G262" s="666"/>
      <c r="H262" s="666"/>
      <c r="I262" s="776"/>
      <c r="J262" s="777"/>
      <c r="K262" s="105"/>
      <c r="L262" s="392"/>
      <c r="M262" s="381"/>
      <c r="N262" s="392"/>
      <c r="O262" s="392"/>
      <c r="P262" s="392"/>
      <c r="Q262" s="392"/>
      <c r="R262">
        <f t="shared" si="160"/>
        <v>254</v>
      </c>
      <c r="W262" s="159" t="s">
        <v>34</v>
      </c>
      <c r="AF262" t="s">
        <v>34</v>
      </c>
      <c r="AL262" s="304"/>
      <c r="AM262" s="304"/>
      <c r="AN262" s="304"/>
    </row>
    <row r="263" spans="1:40" x14ac:dyDescent="0.35">
      <c r="A263">
        <f t="shared" si="159"/>
        <v>255</v>
      </c>
      <c r="B263" s="104"/>
      <c r="C263" s="119"/>
      <c r="D263" s="667"/>
      <c r="E263" s="667"/>
      <c r="F263" s="667"/>
      <c r="G263" s="667"/>
      <c r="H263" s="667"/>
      <c r="I263" s="782"/>
      <c r="J263" s="783"/>
      <c r="K263" s="105"/>
      <c r="L263" s="105"/>
      <c r="M263" s="381"/>
      <c r="N263" s="392"/>
      <c r="O263" s="392"/>
      <c r="P263" s="392"/>
      <c r="Q263" s="392"/>
      <c r="R263">
        <f t="shared" si="160"/>
        <v>255</v>
      </c>
      <c r="V263" t="s">
        <v>34</v>
      </c>
      <c r="W263" s="159" t="s">
        <v>34</v>
      </c>
      <c r="AF263" t="s">
        <v>34</v>
      </c>
    </row>
    <row r="264" spans="1:40" x14ac:dyDescent="0.35">
      <c r="A264">
        <f t="shared" si="159"/>
        <v>256</v>
      </c>
      <c r="B264" s="123"/>
      <c r="C264" s="42"/>
      <c r="D264" s="667"/>
      <c r="E264" s="667"/>
      <c r="F264" s="667"/>
      <c r="G264" s="667"/>
      <c r="H264" s="667"/>
      <c r="I264" s="782"/>
      <c r="J264" s="783"/>
      <c r="K264" s="105"/>
      <c r="L264" s="392"/>
      <c r="M264" s="178"/>
      <c r="N264" s="178"/>
      <c r="O264" s="392"/>
      <c r="P264" s="392"/>
      <c r="Q264" s="392"/>
      <c r="R264">
        <f t="shared" si="160"/>
        <v>256</v>
      </c>
      <c r="V264" t="s">
        <v>34</v>
      </c>
      <c r="W264" s="159" t="s">
        <v>34</v>
      </c>
      <c r="AF264" t="s">
        <v>34</v>
      </c>
    </row>
    <row r="265" spans="1:40" ht="15" thickBot="1" x14ac:dyDescent="0.4">
      <c r="A265">
        <f t="shared" si="159"/>
        <v>257</v>
      </c>
      <c r="B265" s="112"/>
      <c r="C265" s="108"/>
      <c r="D265" s="668"/>
      <c r="E265" s="668"/>
      <c r="F265" s="668"/>
      <c r="G265" s="668"/>
      <c r="H265" s="668"/>
      <c r="I265" s="792"/>
      <c r="J265" s="793"/>
      <c r="K265" s="390"/>
      <c r="L265" s="394"/>
      <c r="M265" s="382"/>
      <c r="N265" s="382"/>
      <c r="O265" s="394"/>
      <c r="P265" s="394"/>
      <c r="Q265" s="394"/>
      <c r="R265">
        <f t="shared" si="160"/>
        <v>257</v>
      </c>
      <c r="V265" t="s">
        <v>34</v>
      </c>
      <c r="W265" s="159" t="s">
        <v>34</v>
      </c>
      <c r="AF265" t="s">
        <v>34</v>
      </c>
    </row>
    <row r="266" spans="1:40" ht="15" thickTop="1" x14ac:dyDescent="0.35"/>
    <row r="269" spans="1:40" ht="24" thickBot="1" x14ac:dyDescent="0.6">
      <c r="B269" s="572" t="s">
        <v>21</v>
      </c>
      <c r="C269" s="572"/>
      <c r="D269" s="572"/>
      <c r="E269" s="572"/>
      <c r="F269" s="568"/>
      <c r="G269" s="568"/>
      <c r="H269" s="568"/>
      <c r="I269" s="568"/>
      <c r="J269" s="568"/>
      <c r="K269" s="568"/>
      <c r="L269" s="568"/>
      <c r="M269" s="568"/>
      <c r="N269" s="568"/>
      <c r="O269" s="568"/>
      <c r="P269" s="568"/>
      <c r="Q269" s="568"/>
      <c r="R269" s="568"/>
      <c r="S269" s="568"/>
      <c r="T269" s="568"/>
      <c r="U269" s="568"/>
      <c r="V269" s="568"/>
      <c r="W269" s="613"/>
      <c r="X269" s="568"/>
      <c r="Y269" s="568"/>
      <c r="Z269" s="568"/>
      <c r="AA269" s="568"/>
      <c r="AB269" s="568"/>
      <c r="AC269" s="568"/>
      <c r="AD269" s="568"/>
      <c r="AE269" s="568"/>
      <c r="AF269" s="568"/>
    </row>
    <row r="270" spans="1:40" ht="15" thickTop="1" x14ac:dyDescent="0.35">
      <c r="B270" s="436"/>
      <c r="C270" s="436"/>
      <c r="D270" s="438" t="s">
        <v>160</v>
      </c>
      <c r="E270" s="438" t="s">
        <v>168</v>
      </c>
      <c r="F270" s="438" t="s">
        <v>162</v>
      </c>
      <c r="G270" s="438" t="s">
        <v>162</v>
      </c>
      <c r="H270" s="438" t="s">
        <v>162</v>
      </c>
      <c r="I270" s="438" t="s">
        <v>162</v>
      </c>
      <c r="J270" s="438" t="s">
        <v>168</v>
      </c>
      <c r="K270" s="439" t="str">
        <f t="shared" ref="K270:Q270" si="209">K6</f>
        <v xml:space="preserve">Range </v>
      </c>
      <c r="L270" s="439" t="str">
        <f t="shared" si="209"/>
        <v>Speed</v>
      </c>
      <c r="M270" s="439" t="str">
        <f t="shared" si="209"/>
        <v>Time</v>
      </c>
      <c r="N270" s="439" t="str">
        <f t="shared" si="209"/>
        <v>Warhead</v>
      </c>
      <c r="O270" s="439" t="str">
        <f t="shared" si="209"/>
        <v># build</v>
      </c>
      <c r="P270" s="437" t="str">
        <f t="shared" si="209"/>
        <v># in active</v>
      </c>
      <c r="Q270" s="439" t="str">
        <f t="shared" si="209"/>
        <v xml:space="preserve"># made </v>
      </c>
      <c r="R270" s="441"/>
      <c r="S270" s="441" t="str">
        <f>S6</f>
        <v>Main</v>
      </c>
      <c r="T270" s="441"/>
      <c r="U270" s="441" t="str">
        <f t="shared" ref="U270:X271" si="210">U6</f>
        <v xml:space="preserve">Main </v>
      </c>
      <c r="V270" s="441" t="str">
        <f t="shared" si="210"/>
        <v>Main</v>
      </c>
      <c r="W270" s="293" t="str">
        <f t="shared" si="210"/>
        <v xml:space="preserve">Total </v>
      </c>
      <c r="X270" s="441" t="str">
        <f t="shared" si="210"/>
        <v>Launch</v>
      </c>
      <c r="Y270" s="441"/>
      <c r="Z270" s="441" t="str">
        <f t="shared" ref="Z270:AC271" si="211">Z6</f>
        <v>Navigation</v>
      </c>
      <c r="AA270" s="441" t="str">
        <f t="shared" si="211"/>
        <v>Data-</v>
      </c>
      <c r="AB270" s="441" t="str">
        <f t="shared" si="211"/>
        <v xml:space="preserve">Terminal </v>
      </c>
      <c r="AC270" s="441" t="str">
        <f t="shared" si="211"/>
        <v>Target</v>
      </c>
      <c r="AD270" s="441"/>
      <c r="AE270" s="441"/>
      <c r="AF270" s="448"/>
    </row>
    <row r="271" spans="1:40" x14ac:dyDescent="0.35">
      <c r="B271" s="440"/>
      <c r="C271" s="440"/>
      <c r="D271" s="441"/>
      <c r="E271" s="441">
        <v>100</v>
      </c>
      <c r="F271" s="293">
        <v>1000</v>
      </c>
      <c r="G271" s="293">
        <v>10000</v>
      </c>
      <c r="H271" s="293">
        <v>100000</v>
      </c>
      <c r="I271" s="293">
        <v>1000000</v>
      </c>
      <c r="J271" s="293">
        <v>10000000</v>
      </c>
      <c r="K271" s="569" t="str">
        <f>K7</f>
        <v>in km</v>
      </c>
      <c r="L271" s="443" t="str">
        <f>L7</f>
        <v>in km/h</v>
      </c>
      <c r="M271" s="569" t="str">
        <f>M7</f>
        <v>Minutes</v>
      </c>
      <c r="N271" s="569" t="str">
        <f>N7</f>
        <v>kilograms</v>
      </c>
      <c r="O271" s="443"/>
      <c r="P271" s="564" t="str">
        <f>P7</f>
        <v>service</v>
      </c>
      <c r="Q271" s="443" t="str">
        <f>Q7</f>
        <v>per year</v>
      </c>
      <c r="R271" s="441"/>
      <c r="S271" s="441" t="str">
        <f>S7</f>
        <v>text</v>
      </c>
      <c r="T271" s="441"/>
      <c r="U271" s="441" t="str">
        <f t="shared" si="210"/>
        <v>video</v>
      </c>
      <c r="V271" s="441" t="str">
        <f t="shared" si="210"/>
        <v>notes</v>
      </c>
      <c r="W271" s="293" t="str">
        <f t="shared" si="210"/>
        <v>weight</v>
      </c>
      <c r="X271" s="441" t="str">
        <f t="shared" si="210"/>
        <v>platforms</v>
      </c>
      <c r="Y271" s="441"/>
      <c r="Z271" s="441" t="str">
        <f t="shared" si="211"/>
        <v>systems</v>
      </c>
      <c r="AA271" s="441" t="str">
        <f t="shared" si="211"/>
        <v xml:space="preserve">link </v>
      </c>
      <c r="AB271" s="441" t="str">
        <f t="shared" si="211"/>
        <v>homing</v>
      </c>
      <c r="AC271" s="441" t="str">
        <f t="shared" si="211"/>
        <v>acquisition</v>
      </c>
      <c r="AD271" s="441"/>
      <c r="AE271" s="441"/>
      <c r="AF271" s="448"/>
    </row>
    <row r="272" spans="1:40" ht="15" thickBot="1" x14ac:dyDescent="0.4">
      <c r="B272" s="444"/>
      <c r="C272" s="444"/>
      <c r="D272" s="445"/>
      <c r="E272" s="445" t="s">
        <v>165</v>
      </c>
      <c r="F272" s="445" t="s">
        <v>165</v>
      </c>
      <c r="G272" s="445" t="s">
        <v>165</v>
      </c>
      <c r="H272" s="445" t="s">
        <v>165</v>
      </c>
      <c r="I272" s="445" t="s">
        <v>158</v>
      </c>
      <c r="J272" s="445" t="s">
        <v>158</v>
      </c>
      <c r="K272" s="544"/>
      <c r="L272" s="544"/>
      <c r="M272" s="570" t="str">
        <f>M8</f>
        <v>Hour, Sec</v>
      </c>
      <c r="N272" s="570" t="str">
        <f>N8</f>
        <v>all/explosives</v>
      </c>
      <c r="O272" s="544"/>
      <c r="P272" s="571"/>
      <c r="Q272" s="544"/>
      <c r="R272" s="441"/>
      <c r="S272" s="441" t="str">
        <f>S8</f>
        <v>source</v>
      </c>
      <c r="T272" s="441"/>
      <c r="U272" s="441" t="str">
        <f>U8</f>
        <v>source</v>
      </c>
      <c r="V272" s="448"/>
      <c r="W272" s="293" t="str">
        <f>W8</f>
        <v>kg</v>
      </c>
      <c r="X272" s="448"/>
      <c r="Y272" s="448"/>
      <c r="Z272" s="448"/>
      <c r="AA272" s="441" t="str">
        <f>AA8</f>
        <v>systems</v>
      </c>
      <c r="AB272" s="441" t="str">
        <f>AB8</f>
        <v>systems</v>
      </c>
      <c r="AC272" s="448"/>
      <c r="AD272" s="448"/>
      <c r="AE272" s="448"/>
      <c r="AF272" s="448"/>
    </row>
    <row r="273" spans="1:35" ht="15" thickTop="1" x14ac:dyDescent="0.35">
      <c r="A273">
        <v>1</v>
      </c>
      <c r="B273" s="181" t="s">
        <v>161</v>
      </c>
      <c r="C273" s="385"/>
      <c r="D273" s="193"/>
      <c r="E273" s="193"/>
      <c r="F273" s="188"/>
      <c r="G273" s="188"/>
      <c r="H273" s="188"/>
      <c r="I273" s="192"/>
      <c r="J273" s="192"/>
      <c r="K273" s="185"/>
      <c r="L273" s="185"/>
      <c r="M273" s="185"/>
      <c r="N273" s="385"/>
      <c r="O273" s="385"/>
      <c r="P273" s="433"/>
      <c r="Q273" s="185"/>
      <c r="R273">
        <v>1</v>
      </c>
      <c r="V273" s="3" t="s">
        <v>34</v>
      </c>
      <c r="W273" s="159" t="s">
        <v>34</v>
      </c>
      <c r="AF273" t="s">
        <v>34</v>
      </c>
    </row>
    <row r="274" spans="1:35" x14ac:dyDescent="0.35">
      <c r="A274">
        <f>A273+1</f>
        <v>2</v>
      </c>
      <c r="B274" s="477" t="str">
        <f t="shared" ref="B274:B281" si="212">B10</f>
        <v>MAGURA V5 UKR navy drone</v>
      </c>
      <c r="C274" s="477" t="s">
        <v>164</v>
      </c>
      <c r="D274" s="518" t="s">
        <v>164</v>
      </c>
      <c r="E274" s="486" t="s">
        <v>35</v>
      </c>
      <c r="F274" s="486" t="s">
        <v>35</v>
      </c>
      <c r="G274" s="504" t="s">
        <v>34</v>
      </c>
      <c r="H274" s="504" t="s">
        <v>34</v>
      </c>
      <c r="I274" s="479" t="s">
        <v>34</v>
      </c>
      <c r="J274" s="480" t="s">
        <v>34</v>
      </c>
      <c r="K274" s="483" t="s">
        <v>164</v>
      </c>
      <c r="L274" s="513" t="s">
        <v>164</v>
      </c>
      <c r="M274" s="483" t="s">
        <v>35</v>
      </c>
      <c r="N274" s="512" t="s">
        <v>164</v>
      </c>
      <c r="O274" s="477" t="s">
        <v>180</v>
      </c>
      <c r="P274" s="477"/>
      <c r="Q274" s="483"/>
      <c r="R274">
        <f>R273+1</f>
        <v>2</v>
      </c>
      <c r="V274" s="3" t="s">
        <v>34</v>
      </c>
      <c r="W274" s="159" t="s">
        <v>34</v>
      </c>
      <c r="AF274" t="s">
        <v>34</v>
      </c>
    </row>
    <row r="275" spans="1:35" x14ac:dyDescent="0.35">
      <c r="A275">
        <f t="shared" ref="A275:A345" si="213">A274+1</f>
        <v>3</v>
      </c>
      <c r="B275" s="477" t="str">
        <f t="shared" si="212"/>
        <v>R-360 UKR Neptune anti-ship cruise missile</v>
      </c>
      <c r="C275" s="477" t="s">
        <v>1053</v>
      </c>
      <c r="D275" s="502"/>
      <c r="E275" s="486" t="s">
        <v>35</v>
      </c>
      <c r="F275" s="486" t="s">
        <v>35</v>
      </c>
      <c r="G275" s="504" t="s">
        <v>34</v>
      </c>
      <c r="H275" s="504" t="s">
        <v>34</v>
      </c>
      <c r="I275" s="479" t="s">
        <v>34</v>
      </c>
      <c r="J275" s="480" t="s">
        <v>34</v>
      </c>
      <c r="K275" s="483"/>
      <c r="L275" s="502"/>
      <c r="M275" s="483" t="s">
        <v>35</v>
      </c>
      <c r="N275" s="512"/>
      <c r="O275" s="519"/>
      <c r="P275" s="519"/>
      <c r="Q275" s="520"/>
      <c r="R275">
        <f t="shared" ref="R275:R338" si="214">R274+1</f>
        <v>3</v>
      </c>
      <c r="S275" s="451"/>
      <c r="T275" s="451"/>
      <c r="U275" s="451"/>
      <c r="V275" s="3" t="s">
        <v>34</v>
      </c>
      <c r="W275" s="159" t="s">
        <v>34</v>
      </c>
      <c r="AF275" t="s">
        <v>34</v>
      </c>
    </row>
    <row r="276" spans="1:35" x14ac:dyDescent="0.35">
      <c r="A276">
        <f t="shared" si="213"/>
        <v>4</v>
      </c>
      <c r="B276" s="505" t="str">
        <f t="shared" si="212"/>
        <v>Kh-22 anti-ship ballistic missile, can also hit ground targets</v>
      </c>
      <c r="C276" s="505" t="s">
        <v>1187</v>
      </c>
      <c r="D276" s="505" t="s">
        <v>1188</v>
      </c>
      <c r="E276" s="498" t="s">
        <v>35</v>
      </c>
      <c r="F276" s="498" t="s">
        <v>35</v>
      </c>
      <c r="G276" s="508" t="s">
        <v>34</v>
      </c>
      <c r="H276" s="508" t="s">
        <v>34</v>
      </c>
      <c r="I276" s="489" t="s">
        <v>34</v>
      </c>
      <c r="J276" s="490" t="s">
        <v>34</v>
      </c>
      <c r="K276" s="487" t="s">
        <v>1187</v>
      </c>
      <c r="L276" s="487" t="s">
        <v>1188</v>
      </c>
      <c r="M276" s="487" t="s">
        <v>35</v>
      </c>
      <c r="N276" s="487" t="s">
        <v>1189</v>
      </c>
      <c r="O276" s="487" t="s">
        <v>1190</v>
      </c>
      <c r="P276" s="566"/>
      <c r="Q276" s="567"/>
      <c r="R276">
        <f t="shared" si="214"/>
        <v>4</v>
      </c>
      <c r="S276" s="451"/>
      <c r="T276" s="451"/>
      <c r="U276" s="451"/>
      <c r="V276" s="3"/>
      <c r="W276" s="159" t="s">
        <v>34</v>
      </c>
      <c r="AF276" t="s">
        <v>34</v>
      </c>
    </row>
    <row r="277" spans="1:35" x14ac:dyDescent="0.35">
      <c r="A277">
        <f t="shared" si="213"/>
        <v>5</v>
      </c>
      <c r="B277" s="51" t="str">
        <f t="shared" si="212"/>
        <v>Harpoon US anti-ship missile</v>
      </c>
      <c r="C277" s="51" t="s">
        <v>170</v>
      </c>
      <c r="D277" s="122" t="s">
        <v>170</v>
      </c>
      <c r="E277" s="70" t="s">
        <v>35</v>
      </c>
      <c r="F277" s="70" t="s">
        <v>35</v>
      </c>
      <c r="G277" s="58" t="s">
        <v>34</v>
      </c>
      <c r="H277" s="58" t="s">
        <v>34</v>
      </c>
      <c r="I277" s="172" t="s">
        <v>34</v>
      </c>
      <c r="J277" s="176" t="s">
        <v>34</v>
      </c>
      <c r="K277" s="123" t="s">
        <v>170</v>
      </c>
      <c r="L277" s="123" t="s">
        <v>170</v>
      </c>
      <c r="M277" s="123" t="s">
        <v>35</v>
      </c>
      <c r="N277" t="s">
        <v>170</v>
      </c>
      <c r="O277" t="s">
        <v>170</v>
      </c>
      <c r="P277" s="51"/>
      <c r="Q277" s="123"/>
      <c r="R277">
        <f t="shared" si="214"/>
        <v>5</v>
      </c>
      <c r="V277" s="3" t="s">
        <v>34</v>
      </c>
      <c r="W277" s="159" t="s">
        <v>34</v>
      </c>
      <c r="AF277" t="s">
        <v>34</v>
      </c>
    </row>
    <row r="278" spans="1:35" x14ac:dyDescent="0.35">
      <c r="A278">
        <f t="shared" si="213"/>
        <v>6</v>
      </c>
      <c r="B278" s="123" t="str">
        <f t="shared" si="212"/>
        <v>AGM-158c LRASM stealth navy cruise m. The AGM-158d see below is also able to hit ships as well as land targets. Most likely only AGM-158c and d are now from 2024 and forward produced with ability to hit both sea and land targets as well as being launched from sea, air or land.</v>
      </c>
      <c r="C278" s="51" t="s">
        <v>792</v>
      </c>
      <c r="D278" s="4"/>
      <c r="E278" s="70" t="s">
        <v>35</v>
      </c>
      <c r="F278" s="70" t="s">
        <v>35</v>
      </c>
      <c r="G278" s="70" t="s">
        <v>34</v>
      </c>
      <c r="H278" s="70" t="s">
        <v>34</v>
      </c>
      <c r="I278" s="70" t="s">
        <v>34</v>
      </c>
      <c r="J278" s="70" t="s">
        <v>34</v>
      </c>
      <c r="K278" s="123" t="s">
        <v>796</v>
      </c>
      <c r="L278" s="123" t="s">
        <v>793</v>
      </c>
      <c r="M278" s="123" t="s">
        <v>35</v>
      </c>
      <c r="N278" s="123" t="s">
        <v>806</v>
      </c>
      <c r="O278" s="123" t="s">
        <v>794</v>
      </c>
      <c r="P278" s="51"/>
      <c r="Q278" s="123" t="s">
        <v>797</v>
      </c>
      <c r="R278">
        <f t="shared" si="214"/>
        <v>6</v>
      </c>
      <c r="V278" t="s">
        <v>798</v>
      </c>
      <c r="W278" s="159" t="s">
        <v>34</v>
      </c>
      <c r="AF278" t="s">
        <v>34</v>
      </c>
      <c r="AG278" t="s">
        <v>801</v>
      </c>
      <c r="AH278">
        <v>230</v>
      </c>
      <c r="AI278" t="s">
        <v>795</v>
      </c>
    </row>
    <row r="279" spans="1:35" x14ac:dyDescent="0.35">
      <c r="A279">
        <f t="shared" si="213"/>
        <v>7</v>
      </c>
      <c r="B279" s="615" t="str">
        <f t="shared" si="212"/>
        <v>Gabriel V, Israeli anti-ship cruise missile a version called Blue Spear is now in production that can also be used to hit land targets.</v>
      </c>
      <c r="C279" s="629" t="s">
        <v>1461</v>
      </c>
      <c r="D279" s="629" t="s">
        <v>1461</v>
      </c>
      <c r="E279" s="585" t="s">
        <v>35</v>
      </c>
      <c r="F279" s="585" t="s">
        <v>35</v>
      </c>
      <c r="G279" s="585" t="s">
        <v>34</v>
      </c>
      <c r="H279" s="585" t="s">
        <v>34</v>
      </c>
      <c r="I279" s="585" t="s">
        <v>34</v>
      </c>
      <c r="J279" s="585" t="s">
        <v>34</v>
      </c>
      <c r="K279" s="629" t="s">
        <v>1461</v>
      </c>
      <c r="L279" s="615" t="s">
        <v>1977</v>
      </c>
      <c r="M279" s="615" t="s">
        <v>35</v>
      </c>
      <c r="N279" s="615" t="s">
        <v>1464</v>
      </c>
      <c r="O279" s="615"/>
      <c r="P279" s="629"/>
      <c r="Q279" s="615"/>
      <c r="R279">
        <f t="shared" si="214"/>
        <v>7</v>
      </c>
    </row>
    <row r="280" spans="1:35" x14ac:dyDescent="0.35">
      <c r="A280">
        <f t="shared" si="213"/>
        <v>8</v>
      </c>
      <c r="B280" s="615" t="str">
        <f t="shared" si="212"/>
        <v>Popeye Turbo Israeli Submarine Launched Cruise Missile</v>
      </c>
      <c r="C280" s="629" t="s">
        <v>1468</v>
      </c>
      <c r="D280" s="629" t="s">
        <v>1471</v>
      </c>
      <c r="E280" s="585" t="s">
        <v>35</v>
      </c>
      <c r="F280" s="585" t="s">
        <v>35</v>
      </c>
      <c r="G280" s="585" t="s">
        <v>34</v>
      </c>
      <c r="H280" s="585" t="s">
        <v>34</v>
      </c>
      <c r="I280" s="585" t="s">
        <v>34</v>
      </c>
      <c r="J280" s="585" t="s">
        <v>34</v>
      </c>
      <c r="K280" s="629" t="s">
        <v>1468</v>
      </c>
      <c r="L280" s="615" t="s">
        <v>1977</v>
      </c>
      <c r="M280" s="615" t="s">
        <v>35</v>
      </c>
      <c r="N280" s="615"/>
      <c r="O280" s="615"/>
      <c r="P280" s="629"/>
      <c r="Q280" s="615"/>
      <c r="R280">
        <f t="shared" si="214"/>
        <v>8</v>
      </c>
    </row>
    <row r="281" spans="1:35" x14ac:dyDescent="0.35">
      <c r="A281">
        <f t="shared" si="213"/>
        <v>9</v>
      </c>
      <c r="B281" s="123" t="str">
        <f t="shared" si="212"/>
        <v>Virginia-class US submarine, nuclear powered</v>
      </c>
      <c r="C281" s="51" t="s">
        <v>1132</v>
      </c>
      <c r="D281" s="51" t="s">
        <v>1132</v>
      </c>
      <c r="E281" s="70" t="s">
        <v>35</v>
      </c>
      <c r="F281" s="70" t="s">
        <v>34</v>
      </c>
      <c r="G281" s="70" t="s">
        <v>34</v>
      </c>
      <c r="H281" s="70" t="s">
        <v>34</v>
      </c>
      <c r="I281" s="70" t="s">
        <v>34</v>
      </c>
      <c r="J281" s="70" t="s">
        <v>34</v>
      </c>
      <c r="K281" s="123" t="s">
        <v>1132</v>
      </c>
      <c r="L281" s="123" t="s">
        <v>1132</v>
      </c>
      <c r="M281" s="123" t="s">
        <v>1132</v>
      </c>
      <c r="N281" s="123" t="s">
        <v>1132</v>
      </c>
      <c r="O281" s="123" t="s">
        <v>1132</v>
      </c>
      <c r="P281" s="51"/>
      <c r="Q281" s="123"/>
      <c r="R281">
        <f t="shared" si="214"/>
        <v>9</v>
      </c>
      <c r="W281" s="159" t="s">
        <v>34</v>
      </c>
      <c r="AA281" s="395" t="s">
        <v>1223</v>
      </c>
      <c r="AF281" t="s">
        <v>34</v>
      </c>
    </row>
    <row r="282" spans="1:35" x14ac:dyDescent="0.35">
      <c r="A282">
        <f t="shared" si="213"/>
        <v>10</v>
      </c>
      <c r="B282" s="51"/>
      <c r="C282" s="51"/>
      <c r="E282" s="70"/>
      <c r="F282" s="70"/>
      <c r="G282" s="70"/>
      <c r="H282" s="70"/>
      <c r="I282" s="70"/>
      <c r="J282" s="70"/>
      <c r="K282" s="123"/>
      <c r="L282" s="123"/>
      <c r="M282" s="123"/>
      <c r="P282" s="51"/>
      <c r="Q282" s="123"/>
      <c r="R282">
        <f t="shared" si="214"/>
        <v>10</v>
      </c>
      <c r="AA282" s="395"/>
    </row>
    <row r="283" spans="1:35" x14ac:dyDescent="0.35">
      <c r="A283">
        <f t="shared" si="213"/>
        <v>11</v>
      </c>
      <c r="B283" s="51"/>
      <c r="C283" s="51"/>
      <c r="E283" s="70"/>
      <c r="F283" s="70"/>
      <c r="G283" s="70"/>
      <c r="H283" s="70"/>
      <c r="I283" s="70"/>
      <c r="J283" s="70"/>
      <c r="K283" s="123"/>
      <c r="L283" s="123"/>
      <c r="M283" s="123"/>
      <c r="P283" s="51"/>
      <c r="Q283" s="123"/>
      <c r="R283">
        <f t="shared" si="214"/>
        <v>11</v>
      </c>
      <c r="AA283" s="395"/>
    </row>
    <row r="284" spans="1:35" x14ac:dyDescent="0.35">
      <c r="A284">
        <f t="shared" si="213"/>
        <v>12</v>
      </c>
      <c r="B284" s="51"/>
      <c r="C284" s="51"/>
      <c r="E284" s="70"/>
      <c r="F284" s="70"/>
      <c r="G284" s="70"/>
      <c r="H284" s="70"/>
      <c r="I284" s="70"/>
      <c r="J284" s="70"/>
      <c r="K284" s="123"/>
      <c r="L284" s="123"/>
      <c r="M284" s="123"/>
      <c r="P284" s="51"/>
      <c r="Q284" s="123"/>
      <c r="R284">
        <f t="shared" si="214"/>
        <v>12</v>
      </c>
      <c r="AA284" s="395"/>
    </row>
    <row r="285" spans="1:35" x14ac:dyDescent="0.35">
      <c r="A285">
        <f t="shared" si="213"/>
        <v>13</v>
      </c>
      <c r="B285" s="51"/>
      <c r="C285" s="51"/>
      <c r="D285" s="122"/>
      <c r="E285" s="70"/>
      <c r="F285" s="70"/>
      <c r="G285" s="58"/>
      <c r="H285" s="58"/>
      <c r="I285" s="172"/>
      <c r="J285" s="423"/>
      <c r="K285" s="123"/>
      <c r="L285" s="123"/>
      <c r="M285" s="123"/>
      <c r="P285" s="51"/>
      <c r="Q285" s="123"/>
      <c r="R285">
        <f t="shared" si="214"/>
        <v>13</v>
      </c>
      <c r="V285" s="3"/>
      <c r="W285" s="159" t="s">
        <v>34</v>
      </c>
      <c r="AF285" t="s">
        <v>34</v>
      </c>
    </row>
    <row r="286" spans="1:35" x14ac:dyDescent="0.35">
      <c r="A286">
        <f t="shared" si="213"/>
        <v>14</v>
      </c>
      <c r="B286" s="181" t="s">
        <v>163</v>
      </c>
      <c r="C286" s="385"/>
      <c r="D286" s="188"/>
      <c r="E286" s="191"/>
      <c r="F286" s="191"/>
      <c r="G286" s="191"/>
      <c r="H286" s="191"/>
      <c r="I286" s="191"/>
      <c r="J286" s="191"/>
      <c r="K286" s="185"/>
      <c r="L286" s="185"/>
      <c r="M286" s="185"/>
      <c r="N286" s="385"/>
      <c r="O286" s="385"/>
      <c r="P286" s="385"/>
      <c r="Q286" s="185"/>
      <c r="R286">
        <f t="shared" si="214"/>
        <v>14</v>
      </c>
      <c r="V286" s="3" t="s">
        <v>34</v>
      </c>
      <c r="W286" s="159" t="s">
        <v>34</v>
      </c>
      <c r="AF286" t="s">
        <v>34</v>
      </c>
    </row>
    <row r="287" spans="1:35" x14ac:dyDescent="0.35">
      <c r="A287">
        <f t="shared" si="213"/>
        <v>15</v>
      </c>
      <c r="B287" s="123" t="str">
        <f t="shared" ref="B287:B324" si="215">B23</f>
        <v>M15 anti-tank mine</v>
      </c>
      <c r="C287" s="51" t="s">
        <v>166</v>
      </c>
      <c r="D287" s="4" t="s">
        <v>166</v>
      </c>
      <c r="E287" s="174" t="s">
        <v>34</v>
      </c>
      <c r="F287" s="174" t="s">
        <v>34</v>
      </c>
      <c r="G287" s="174" t="s">
        <v>34</v>
      </c>
      <c r="H287" s="174" t="s">
        <v>34</v>
      </c>
      <c r="I287" s="70" t="s">
        <v>35</v>
      </c>
      <c r="J287" s="70" t="s">
        <v>35</v>
      </c>
      <c r="K287" s="123" t="s">
        <v>34</v>
      </c>
      <c r="L287" s="123" t="s">
        <v>34</v>
      </c>
      <c r="M287" s="123" t="s">
        <v>34</v>
      </c>
      <c r="N287" s="31" t="s">
        <v>166</v>
      </c>
      <c r="O287" s="51" t="s">
        <v>180</v>
      </c>
      <c r="P287" s="51"/>
      <c r="Q287" s="123"/>
      <c r="R287">
        <f t="shared" si="214"/>
        <v>15</v>
      </c>
      <c r="V287" s="3" t="s">
        <v>34</v>
      </c>
      <c r="W287" s="159" t="s">
        <v>34</v>
      </c>
      <c r="AF287" t="s">
        <v>34</v>
      </c>
    </row>
    <row r="288" spans="1:35" x14ac:dyDescent="0.35">
      <c r="A288">
        <f t="shared" si="213"/>
        <v>16</v>
      </c>
      <c r="B288" s="123" t="str">
        <f t="shared" si="215"/>
        <v>Small anti-personnel mine VS-50 mine</v>
      </c>
      <c r="C288" s="51" t="s">
        <v>34</v>
      </c>
      <c r="D288" s="4" t="s">
        <v>171</v>
      </c>
      <c r="E288" s="174" t="s">
        <v>34</v>
      </c>
      <c r="F288" s="174" t="s">
        <v>34</v>
      </c>
      <c r="G288" s="174" t="s">
        <v>34</v>
      </c>
      <c r="H288" s="174" t="s">
        <v>34</v>
      </c>
      <c r="I288" s="70" t="s">
        <v>35</v>
      </c>
      <c r="J288" s="70" t="s">
        <v>35</v>
      </c>
      <c r="K288" s="123" t="s">
        <v>34</v>
      </c>
      <c r="L288" s="123" t="s">
        <v>34</v>
      </c>
      <c r="M288" s="123" t="s">
        <v>34</v>
      </c>
      <c r="N288" s="51" t="s">
        <v>171</v>
      </c>
      <c r="O288" s="90" t="s">
        <v>180</v>
      </c>
      <c r="P288" s="90"/>
      <c r="Q288" s="389"/>
      <c r="R288">
        <f t="shared" si="214"/>
        <v>16</v>
      </c>
      <c r="S288" s="451"/>
      <c r="T288" s="451"/>
      <c r="U288" s="451"/>
      <c r="V288" s="3" t="s">
        <v>34</v>
      </c>
      <c r="W288" s="159" t="s">
        <v>34</v>
      </c>
      <c r="AF288" t="s">
        <v>34</v>
      </c>
    </row>
    <row r="289" spans="1:33" x14ac:dyDescent="0.35">
      <c r="A289">
        <f t="shared" si="213"/>
        <v>17</v>
      </c>
      <c r="B289" s="123" t="str">
        <f t="shared" si="215"/>
        <v>Artillery shells 155mm, M107</v>
      </c>
      <c r="C289" s="31" t="s">
        <v>188</v>
      </c>
      <c r="D289" s="4" t="s">
        <v>172</v>
      </c>
      <c r="E289" s="174" t="s">
        <v>34</v>
      </c>
      <c r="F289" s="174" t="s">
        <v>34</v>
      </c>
      <c r="G289" s="174" t="s">
        <v>34</v>
      </c>
      <c r="H289" s="174" t="s">
        <v>34</v>
      </c>
      <c r="I289" s="70" t="s">
        <v>35</v>
      </c>
      <c r="J289" s="70" t="s">
        <v>35</v>
      </c>
      <c r="K289" s="149" t="s">
        <v>176</v>
      </c>
      <c r="L289" s="389" t="s">
        <v>355</v>
      </c>
      <c r="M289" s="149"/>
      <c r="N289" s="31" t="s">
        <v>188</v>
      </c>
      <c r="O289" s="90" t="s">
        <v>180</v>
      </c>
      <c r="P289" s="90"/>
      <c r="Q289" s="389"/>
      <c r="R289">
        <f t="shared" si="214"/>
        <v>17</v>
      </c>
      <c r="S289" s="451"/>
      <c r="T289" s="451"/>
      <c r="U289" s="451"/>
      <c r="V289" t="s">
        <v>195</v>
      </c>
      <c r="W289" s="159" t="s">
        <v>34</v>
      </c>
      <c r="AF289" t="s">
        <v>34</v>
      </c>
      <c r="AG289" t="s">
        <v>34</v>
      </c>
    </row>
    <row r="290" spans="1:33" x14ac:dyDescent="0.35">
      <c r="A290">
        <f t="shared" si="213"/>
        <v>18</v>
      </c>
      <c r="B290" s="123" t="str">
        <f t="shared" si="215"/>
        <v>Artillery shells 155mm, base bleed</v>
      </c>
      <c r="C290" s="31" t="s">
        <v>191</v>
      </c>
      <c r="D290" s="180" t="s">
        <v>202</v>
      </c>
      <c r="E290" s="174" t="s">
        <v>34</v>
      </c>
      <c r="F290" s="174" t="s">
        <v>34</v>
      </c>
      <c r="G290" s="174" t="s">
        <v>34</v>
      </c>
      <c r="H290" s="70"/>
      <c r="I290" s="70"/>
      <c r="J290" s="70"/>
      <c r="K290" s="149" t="s">
        <v>191</v>
      </c>
      <c r="L290" s="389" t="s">
        <v>355</v>
      </c>
      <c r="M290" s="149"/>
      <c r="N290" s="31"/>
      <c r="O290" s="90" t="s">
        <v>180</v>
      </c>
      <c r="P290" s="90"/>
      <c r="Q290" s="389"/>
      <c r="R290">
        <f t="shared" si="214"/>
        <v>18</v>
      </c>
      <c r="S290" s="451"/>
      <c r="T290" s="451"/>
      <c r="U290" s="451"/>
      <c r="V290" t="s">
        <v>195</v>
      </c>
      <c r="W290" s="159" t="s">
        <v>34</v>
      </c>
      <c r="AF290" t="s">
        <v>34</v>
      </c>
      <c r="AG290" t="s">
        <v>34</v>
      </c>
    </row>
    <row r="291" spans="1:33" x14ac:dyDescent="0.35">
      <c r="A291">
        <f t="shared" si="213"/>
        <v>19</v>
      </c>
      <c r="B291" s="123" t="str">
        <f t="shared" si="215"/>
        <v>Artillery shells 155mm, rocket assist, M549</v>
      </c>
      <c r="C291" s="51" t="s">
        <v>191</v>
      </c>
      <c r="D291" s="180" t="s">
        <v>202</v>
      </c>
      <c r="E291" s="174" t="s">
        <v>34</v>
      </c>
      <c r="F291" s="174" t="s">
        <v>34</v>
      </c>
      <c r="G291" s="70"/>
      <c r="H291" s="70"/>
      <c r="I291" s="70"/>
      <c r="J291" s="70"/>
      <c r="K291" s="123" t="s">
        <v>191</v>
      </c>
      <c r="L291" s="389" t="s">
        <v>355</v>
      </c>
      <c r="M291" s="123"/>
      <c r="N291" s="31" t="s">
        <v>201</v>
      </c>
      <c r="O291" s="90" t="s">
        <v>180</v>
      </c>
      <c r="P291" s="90"/>
      <c r="Q291" s="389"/>
      <c r="R291">
        <f t="shared" si="214"/>
        <v>19</v>
      </c>
      <c r="S291" s="451"/>
      <c r="T291" s="451"/>
      <c r="U291" s="451"/>
      <c r="V291" t="s">
        <v>195</v>
      </c>
      <c r="W291" s="159" t="s">
        <v>34</v>
      </c>
      <c r="AF291" t="s">
        <v>34</v>
      </c>
      <c r="AG291" t="s">
        <v>34</v>
      </c>
    </row>
    <row r="292" spans="1:33" x14ac:dyDescent="0.35">
      <c r="A292">
        <f t="shared" si="213"/>
        <v>20</v>
      </c>
      <c r="B292" s="123" t="str">
        <f t="shared" si="215"/>
        <v>Artillery shells 155mm, M982 GPS</v>
      </c>
      <c r="C292" s="51" t="s">
        <v>197</v>
      </c>
      <c r="D292" s="4" t="s">
        <v>197</v>
      </c>
      <c r="E292" s="70" t="s">
        <v>34</v>
      </c>
      <c r="F292" s="70" t="s">
        <v>35</v>
      </c>
      <c r="G292" s="70" t="s">
        <v>35</v>
      </c>
      <c r="H292" s="70"/>
      <c r="I292" s="70"/>
      <c r="J292" s="70"/>
      <c r="K292" s="123" t="s">
        <v>197</v>
      </c>
      <c r="L292" s="389" t="s">
        <v>355</v>
      </c>
      <c r="M292" s="123"/>
      <c r="N292" s="31" t="s">
        <v>197</v>
      </c>
      <c r="O292" s="90" t="s">
        <v>180</v>
      </c>
      <c r="P292" s="90"/>
      <c r="Q292" s="389"/>
      <c r="R292">
        <f t="shared" si="214"/>
        <v>20</v>
      </c>
      <c r="S292" s="451"/>
      <c r="T292" s="451"/>
      <c r="U292" s="451"/>
      <c r="V292" s="3" t="s">
        <v>34</v>
      </c>
      <c r="W292" s="159" t="s">
        <v>34</v>
      </c>
      <c r="AF292" t="s">
        <v>34</v>
      </c>
    </row>
    <row r="293" spans="1:33" x14ac:dyDescent="0.35">
      <c r="A293">
        <f t="shared" si="213"/>
        <v>21</v>
      </c>
      <c r="B293" s="123" t="str">
        <f t="shared" si="215"/>
        <v>Archer self-propelled howitzer, Swedish</v>
      </c>
      <c r="C293" s="51" t="s">
        <v>176</v>
      </c>
      <c r="D293" s="4" t="s">
        <v>176</v>
      </c>
      <c r="E293" s="70" t="s">
        <v>35</v>
      </c>
      <c r="F293" s="70" t="s">
        <v>35</v>
      </c>
      <c r="G293" s="172" t="s">
        <v>34</v>
      </c>
      <c r="H293" s="58" t="s">
        <v>34</v>
      </c>
      <c r="I293" s="58" t="s">
        <v>34</v>
      </c>
      <c r="J293" s="70" t="s">
        <v>34</v>
      </c>
      <c r="K293" s="123" t="s">
        <v>176</v>
      </c>
      <c r="L293" s="123" t="s">
        <v>176</v>
      </c>
      <c r="M293" s="123" t="s">
        <v>176</v>
      </c>
      <c r="N293" s="123" t="s">
        <v>176</v>
      </c>
      <c r="O293" s="51" t="s">
        <v>176</v>
      </c>
      <c r="P293" s="51"/>
      <c r="Q293" s="123"/>
      <c r="R293">
        <f t="shared" si="214"/>
        <v>21</v>
      </c>
      <c r="V293" s="3" t="s">
        <v>34</v>
      </c>
      <c r="W293" s="159" t="s">
        <v>34</v>
      </c>
      <c r="AF293" t="s">
        <v>34</v>
      </c>
    </row>
    <row r="294" spans="1:33" x14ac:dyDescent="0.35">
      <c r="A294">
        <f t="shared" si="213"/>
        <v>22</v>
      </c>
      <c r="B294" s="123" t="str">
        <f t="shared" si="215"/>
        <v>Panzerhaubitze 2000, German</v>
      </c>
      <c r="C294" s="31" t="s">
        <v>177</v>
      </c>
      <c r="D294" s="4" t="s">
        <v>177</v>
      </c>
      <c r="E294" s="70" t="s">
        <v>35</v>
      </c>
      <c r="F294" s="70" t="s">
        <v>35</v>
      </c>
      <c r="G294" s="172" t="s">
        <v>34</v>
      </c>
      <c r="H294" s="58" t="s">
        <v>34</v>
      </c>
      <c r="I294" s="58" t="s">
        <v>34</v>
      </c>
      <c r="J294" s="70" t="s">
        <v>34</v>
      </c>
      <c r="K294" s="149" t="s">
        <v>177</v>
      </c>
      <c r="L294" s="149" t="s">
        <v>177</v>
      </c>
      <c r="M294" s="149" t="s">
        <v>177</v>
      </c>
      <c r="N294" s="149" t="s">
        <v>177</v>
      </c>
      <c r="O294" t="s">
        <v>180</v>
      </c>
      <c r="P294" s="51"/>
      <c r="Q294" s="123"/>
      <c r="R294">
        <f t="shared" si="214"/>
        <v>22</v>
      </c>
      <c r="V294" s="3" t="s">
        <v>34</v>
      </c>
      <c r="W294" s="159" t="s">
        <v>34</v>
      </c>
      <c r="AF294" t="s">
        <v>34</v>
      </c>
    </row>
    <row r="295" spans="1:33" x14ac:dyDescent="0.35">
      <c r="A295">
        <f t="shared" si="213"/>
        <v>23</v>
      </c>
      <c r="B295" s="123" t="str">
        <f t="shared" si="215"/>
        <v>RCH155 Remote Controlled Howitzer155 mm German</v>
      </c>
      <c r="C295" s="31" t="s">
        <v>638</v>
      </c>
      <c r="D295" s="4" t="s">
        <v>638</v>
      </c>
      <c r="E295" s="70" t="s">
        <v>35</v>
      </c>
      <c r="F295" s="70" t="s">
        <v>35</v>
      </c>
      <c r="G295" s="172" t="s">
        <v>34</v>
      </c>
      <c r="H295" s="58" t="s">
        <v>34</v>
      </c>
      <c r="I295" s="58" t="s">
        <v>34</v>
      </c>
      <c r="J295" s="70" t="s">
        <v>34</v>
      </c>
      <c r="K295" s="149" t="s">
        <v>638</v>
      </c>
      <c r="L295" s="149" t="s">
        <v>639</v>
      </c>
      <c r="M295" s="149" t="s">
        <v>34</v>
      </c>
      <c r="N295" s="149"/>
      <c r="O295" t="s">
        <v>180</v>
      </c>
      <c r="P295" s="51"/>
      <c r="Q295" s="123"/>
      <c r="R295">
        <f t="shared" si="214"/>
        <v>23</v>
      </c>
      <c r="V295" s="3" t="s">
        <v>34</v>
      </c>
      <c r="W295" s="159" t="s">
        <v>34</v>
      </c>
      <c r="AF295" t="s">
        <v>34</v>
      </c>
    </row>
    <row r="296" spans="1:33" x14ac:dyDescent="0.35">
      <c r="A296">
        <f t="shared" si="213"/>
        <v>24</v>
      </c>
      <c r="B296" s="123" t="str">
        <f t="shared" si="215"/>
        <v>CAESAR self-propelled howitzer, French</v>
      </c>
      <c r="C296" s="31" t="s">
        <v>191</v>
      </c>
      <c r="D296" t="s">
        <v>88</v>
      </c>
      <c r="E296" s="70" t="s">
        <v>35</v>
      </c>
      <c r="F296" s="70" t="s">
        <v>35</v>
      </c>
      <c r="G296" s="70"/>
      <c r="H296" s="70"/>
      <c r="I296" s="70"/>
      <c r="J296" s="70"/>
      <c r="K296" s="149" t="s">
        <v>191</v>
      </c>
      <c r="L296" s="149" t="s">
        <v>191</v>
      </c>
      <c r="M296" s="149" t="s">
        <v>191</v>
      </c>
      <c r="N296" s="149" t="s">
        <v>191</v>
      </c>
      <c r="O296" t="s">
        <v>180</v>
      </c>
      <c r="P296" s="51"/>
      <c r="Q296" s="123"/>
      <c r="R296">
        <f t="shared" si="214"/>
        <v>24</v>
      </c>
      <c r="V296" s="3"/>
      <c r="W296" s="159" t="s">
        <v>34</v>
      </c>
      <c r="AF296" t="s">
        <v>34</v>
      </c>
    </row>
    <row r="297" spans="1:33" x14ac:dyDescent="0.35">
      <c r="A297">
        <f t="shared" si="213"/>
        <v>25</v>
      </c>
      <c r="B297" s="483" t="str">
        <f t="shared" si="215"/>
        <v>2S22 Bohdana self-propelled howitzer 155mm</v>
      </c>
      <c r="C297" s="540" t="s">
        <v>961</v>
      </c>
      <c r="D297" s="502"/>
      <c r="E297" s="70" t="s">
        <v>35</v>
      </c>
      <c r="F297" s="70" t="s">
        <v>35</v>
      </c>
      <c r="G297" s="70"/>
      <c r="H297" s="70"/>
      <c r="I297" s="70"/>
      <c r="J297" s="70"/>
      <c r="K297" s="513" t="s">
        <v>961</v>
      </c>
      <c r="L297" s="513" t="s">
        <v>961</v>
      </c>
      <c r="M297" s="510" t="s">
        <v>34</v>
      </c>
      <c r="N297" s="513" t="s">
        <v>961</v>
      </c>
      <c r="O297" s="513" t="s">
        <v>961</v>
      </c>
      <c r="P297" s="477"/>
      <c r="Q297" s="483"/>
      <c r="R297">
        <f t="shared" si="214"/>
        <v>25</v>
      </c>
      <c r="V297" s="3"/>
      <c r="W297" s="159" t="s">
        <v>34</v>
      </c>
      <c r="AF297" t="s">
        <v>34</v>
      </c>
    </row>
    <row r="298" spans="1:33" x14ac:dyDescent="0.35">
      <c r="A298">
        <f t="shared" si="213"/>
        <v>26</v>
      </c>
      <c r="B298" s="123" t="str">
        <f t="shared" si="215"/>
        <v>Mortar shells 60mm, M2 &amp; M224</v>
      </c>
      <c r="C298" s="395" t="s">
        <v>898</v>
      </c>
      <c r="D298" s="4" t="s">
        <v>175</v>
      </c>
      <c r="E298" s="70" t="s">
        <v>34</v>
      </c>
      <c r="F298" s="58" t="s">
        <v>34</v>
      </c>
      <c r="G298" s="58" t="s">
        <v>34</v>
      </c>
      <c r="H298" s="70" t="s">
        <v>35</v>
      </c>
      <c r="I298" s="70" t="s">
        <v>35</v>
      </c>
      <c r="J298" s="70" t="s">
        <v>35</v>
      </c>
      <c r="K298" s="389" t="s">
        <v>355</v>
      </c>
      <c r="L298" s="389" t="s">
        <v>355</v>
      </c>
      <c r="M298" s="381" t="s">
        <v>34</v>
      </c>
      <c r="N298" s="31" t="s">
        <v>175</v>
      </c>
      <c r="O298" t="s">
        <v>180</v>
      </c>
      <c r="P298" s="51"/>
      <c r="Q298" s="123"/>
      <c r="R298">
        <f t="shared" si="214"/>
        <v>26</v>
      </c>
      <c r="V298" s="3" t="s">
        <v>34</v>
      </c>
      <c r="W298" s="159" t="s">
        <v>34</v>
      </c>
      <c r="AF298" t="s">
        <v>34</v>
      </c>
    </row>
    <row r="299" spans="1:33" x14ac:dyDescent="0.35">
      <c r="A299">
        <f t="shared" si="213"/>
        <v>27</v>
      </c>
      <c r="B299" s="123" t="str">
        <f t="shared" si="215"/>
        <v>Mortar shells 81mm, M1 &amp; M252</v>
      </c>
      <c r="C299" s="85" t="s">
        <v>900</v>
      </c>
      <c r="D299" t="s">
        <v>175</v>
      </c>
      <c r="E299" s="70" t="s">
        <v>34</v>
      </c>
      <c r="F299" s="58" t="s">
        <v>34</v>
      </c>
      <c r="G299" s="58" t="s">
        <v>34</v>
      </c>
      <c r="H299" s="70" t="s">
        <v>35</v>
      </c>
      <c r="I299" s="70" t="s">
        <v>35</v>
      </c>
      <c r="J299" s="70" t="s">
        <v>35</v>
      </c>
      <c r="K299" s="389" t="s">
        <v>355</v>
      </c>
      <c r="L299" s="389" t="s">
        <v>355</v>
      </c>
      <c r="M299" s="381" t="s">
        <v>34</v>
      </c>
      <c r="N299" s="123" t="s">
        <v>175</v>
      </c>
      <c r="O299" s="51" t="s">
        <v>180</v>
      </c>
      <c r="P299" s="51"/>
      <c r="Q299" s="123"/>
      <c r="R299">
        <f t="shared" si="214"/>
        <v>27</v>
      </c>
      <c r="V299" s="3" t="s">
        <v>34</v>
      </c>
      <c r="W299" s="159" t="s">
        <v>34</v>
      </c>
      <c r="AF299" t="s">
        <v>34</v>
      </c>
    </row>
    <row r="300" spans="1:33" x14ac:dyDescent="0.35">
      <c r="A300">
        <f t="shared" si="213"/>
        <v>28</v>
      </c>
      <c r="B300" s="123" t="str">
        <f t="shared" si="215"/>
        <v>Mortar shells 120mm, M933, M934</v>
      </c>
      <c r="C300" s="85" t="s">
        <v>901</v>
      </c>
      <c r="D300" t="s">
        <v>175</v>
      </c>
      <c r="E300" s="70" t="s">
        <v>34</v>
      </c>
      <c r="F300" s="58" t="s">
        <v>34</v>
      </c>
      <c r="G300" s="58" t="s">
        <v>34</v>
      </c>
      <c r="H300" s="70" t="s">
        <v>35</v>
      </c>
      <c r="I300" s="70" t="s">
        <v>35</v>
      </c>
      <c r="J300" s="70" t="s">
        <v>35</v>
      </c>
      <c r="K300" s="389" t="s">
        <v>355</v>
      </c>
      <c r="L300" s="389" t="s">
        <v>355</v>
      </c>
      <c r="M300" s="381" t="s">
        <v>34</v>
      </c>
      <c r="N300" s="123" t="s">
        <v>175</v>
      </c>
      <c r="O300" s="51" t="s">
        <v>180</v>
      </c>
      <c r="P300" s="51"/>
      <c r="Q300" s="123"/>
      <c r="R300">
        <f t="shared" si="214"/>
        <v>28</v>
      </c>
      <c r="V300" s="3" t="s">
        <v>34</v>
      </c>
      <c r="W300" s="159" t="s">
        <v>34</v>
      </c>
      <c r="AF300" t="s">
        <v>34</v>
      </c>
    </row>
    <row r="301" spans="1:33" x14ac:dyDescent="0.35">
      <c r="A301">
        <f t="shared" si="213"/>
        <v>29</v>
      </c>
      <c r="B301" s="123" t="str">
        <f t="shared" si="215"/>
        <v>60mm M224 mortar launcher</v>
      </c>
      <c r="C301" s="31" t="s">
        <v>178</v>
      </c>
      <c r="D301" t="s">
        <v>178</v>
      </c>
      <c r="E301" s="70" t="s">
        <v>35</v>
      </c>
      <c r="F301" s="70" t="s">
        <v>35</v>
      </c>
      <c r="G301" s="70" t="s">
        <v>35</v>
      </c>
      <c r="H301" s="70" t="s">
        <v>34</v>
      </c>
      <c r="I301" s="70" t="s">
        <v>34</v>
      </c>
      <c r="J301" s="70" t="s">
        <v>34</v>
      </c>
      <c r="K301" s="149" t="s">
        <v>178</v>
      </c>
      <c r="L301" s="381" t="s">
        <v>34</v>
      </c>
      <c r="M301" s="381" t="s">
        <v>34</v>
      </c>
      <c r="N301" s="123"/>
      <c r="O301" s="51" t="s">
        <v>180</v>
      </c>
      <c r="P301" s="51"/>
      <c r="Q301" s="123"/>
      <c r="R301">
        <f t="shared" si="214"/>
        <v>29</v>
      </c>
      <c r="V301" s="3" t="s">
        <v>34</v>
      </c>
      <c r="W301" s="159" t="s">
        <v>34</v>
      </c>
      <c r="AF301" t="s">
        <v>34</v>
      </c>
    </row>
    <row r="302" spans="1:33" x14ac:dyDescent="0.35">
      <c r="A302">
        <f t="shared" si="213"/>
        <v>30</v>
      </c>
      <c r="B302" s="123" t="str">
        <f t="shared" si="215"/>
        <v>120mm Soltam K6 mortar launcher</v>
      </c>
      <c r="C302" s="31" t="s">
        <v>179</v>
      </c>
      <c r="D302" t="s">
        <v>180</v>
      </c>
      <c r="E302" s="70" t="s">
        <v>35</v>
      </c>
      <c r="F302" s="70" t="s">
        <v>35</v>
      </c>
      <c r="G302" s="70" t="s">
        <v>35</v>
      </c>
      <c r="H302" s="70" t="s">
        <v>34</v>
      </c>
      <c r="I302" s="70" t="s">
        <v>34</v>
      </c>
      <c r="J302" s="70" t="s">
        <v>34</v>
      </c>
      <c r="K302" s="149" t="s">
        <v>179</v>
      </c>
      <c r="L302" s="381" t="s">
        <v>34</v>
      </c>
      <c r="M302" s="381" t="s">
        <v>34</v>
      </c>
      <c r="N302" s="123"/>
      <c r="O302" s="51" t="s">
        <v>180</v>
      </c>
      <c r="P302" s="51"/>
      <c r="Q302" s="123"/>
      <c r="R302">
        <f t="shared" si="214"/>
        <v>30</v>
      </c>
      <c r="V302" s="3" t="s">
        <v>34</v>
      </c>
      <c r="W302" s="159" t="s">
        <v>34</v>
      </c>
      <c r="AF302" t="s">
        <v>34</v>
      </c>
    </row>
    <row r="303" spans="1:33" x14ac:dyDescent="0.35">
      <c r="A303">
        <f t="shared" si="213"/>
        <v>31</v>
      </c>
      <c r="B303" s="123" t="str">
        <f t="shared" si="215"/>
        <v>HIMARS M142/M270 rocket launchers</v>
      </c>
      <c r="C303" s="51" t="s">
        <v>384</v>
      </c>
      <c r="D303" s="4" t="s">
        <v>384</v>
      </c>
      <c r="E303" s="70" t="s">
        <v>35</v>
      </c>
      <c r="F303" s="70" t="s">
        <v>35</v>
      </c>
      <c r="G303" s="70" t="s">
        <v>34</v>
      </c>
      <c r="H303" s="70" t="s">
        <v>34</v>
      </c>
      <c r="I303" s="70" t="s">
        <v>34</v>
      </c>
      <c r="J303" s="70" t="s">
        <v>34</v>
      </c>
      <c r="K303" s="123" t="s">
        <v>384</v>
      </c>
      <c r="L303" s="123" t="s">
        <v>384</v>
      </c>
      <c r="M303" s="123" t="s">
        <v>34</v>
      </c>
      <c r="N303" s="123" t="s">
        <v>34</v>
      </c>
      <c r="O303" s="51" t="s">
        <v>384</v>
      </c>
      <c r="P303" s="51"/>
      <c r="Q303" s="123"/>
      <c r="R303">
        <f t="shared" si="214"/>
        <v>31</v>
      </c>
      <c r="V303" s="3" t="s">
        <v>34</v>
      </c>
      <c r="W303" s="159" t="s">
        <v>34</v>
      </c>
      <c r="AF303" t="s">
        <v>34</v>
      </c>
    </row>
    <row r="304" spans="1:33" x14ac:dyDescent="0.35">
      <c r="A304">
        <f t="shared" si="213"/>
        <v>32</v>
      </c>
      <c r="B304" s="123" t="str">
        <f t="shared" si="215"/>
        <v xml:space="preserve"> - 227 mm unguided rocket MLRS</v>
      </c>
      <c r="C304" s="395" t="s">
        <v>904</v>
      </c>
      <c r="D304" s="180" t="s">
        <v>202</v>
      </c>
      <c r="E304" s="70" t="s">
        <v>34</v>
      </c>
      <c r="F304" s="70" t="s">
        <v>35</v>
      </c>
      <c r="G304" s="70" t="s">
        <v>35</v>
      </c>
      <c r="H304" s="70" t="s">
        <v>34</v>
      </c>
      <c r="I304" s="70" t="s">
        <v>34</v>
      </c>
      <c r="J304" s="70" t="s">
        <v>34</v>
      </c>
      <c r="K304" s="420" t="s">
        <v>398</v>
      </c>
      <c r="L304" s="381" t="s">
        <v>34</v>
      </c>
      <c r="M304" s="381" t="s">
        <v>34</v>
      </c>
      <c r="N304" s="123" t="s">
        <v>384</v>
      </c>
      <c r="O304" s="51" t="s">
        <v>180</v>
      </c>
      <c r="P304" s="51"/>
      <c r="Q304" s="123"/>
      <c r="R304">
        <f t="shared" si="214"/>
        <v>32</v>
      </c>
      <c r="V304" s="3" t="s">
        <v>34</v>
      </c>
      <c r="W304" s="159" t="s">
        <v>34</v>
      </c>
      <c r="AF304" t="s">
        <v>34</v>
      </c>
    </row>
    <row r="305" spans="1:32" x14ac:dyDescent="0.35">
      <c r="A305">
        <f t="shared" si="213"/>
        <v>33</v>
      </c>
      <c r="B305" s="123" t="str">
        <f t="shared" si="215"/>
        <v xml:space="preserve"> - 227 mm guided rocket GMLRS, M31</v>
      </c>
      <c r="C305" s="395" t="s">
        <v>905</v>
      </c>
      <c r="D305" s="4" t="s">
        <v>903</v>
      </c>
      <c r="E305" s="70" t="s">
        <v>34</v>
      </c>
      <c r="F305" s="70" t="s">
        <v>35</v>
      </c>
      <c r="G305" s="70" t="s">
        <v>35</v>
      </c>
      <c r="H305" s="70" t="s">
        <v>34</v>
      </c>
      <c r="I305" s="70" t="s">
        <v>34</v>
      </c>
      <c r="J305" s="70" t="s">
        <v>34</v>
      </c>
      <c r="K305" s="149" t="s">
        <v>387</v>
      </c>
      <c r="L305" s="149" t="s">
        <v>393</v>
      </c>
      <c r="M305" s="381" t="s">
        <v>35</v>
      </c>
      <c r="N305" s="123"/>
      <c r="O305" s="51" t="s">
        <v>387</v>
      </c>
      <c r="P305" s="51"/>
      <c r="Q305" s="123"/>
      <c r="R305">
        <f t="shared" si="214"/>
        <v>33</v>
      </c>
      <c r="V305" s="3" t="s">
        <v>34</v>
      </c>
      <c r="W305" s="159" t="s">
        <v>34</v>
      </c>
      <c r="AF305" t="s">
        <v>34</v>
      </c>
    </row>
    <row r="306" spans="1:32" x14ac:dyDescent="0.35">
      <c r="A306">
        <f t="shared" si="213"/>
        <v>34</v>
      </c>
      <c r="B306" s="123" t="str">
        <f t="shared" si="215"/>
        <v xml:space="preserve"> - 227 mm guided rocket GLSDB/GBU-39</v>
      </c>
      <c r="C306" s="31" t="s">
        <v>388</v>
      </c>
      <c r="D306" t="s">
        <v>388</v>
      </c>
      <c r="E306" s="70" t="s">
        <v>34</v>
      </c>
      <c r="F306" s="70" t="s">
        <v>35</v>
      </c>
      <c r="G306" s="70" t="s">
        <v>35</v>
      </c>
      <c r="H306" s="70" t="s">
        <v>34</v>
      </c>
      <c r="I306" s="70" t="s">
        <v>34</v>
      </c>
      <c r="J306" s="70" t="s">
        <v>34</v>
      </c>
      <c r="K306" s="149" t="s">
        <v>388</v>
      </c>
      <c r="L306" s="381" t="s">
        <v>34</v>
      </c>
      <c r="M306" s="381" t="s">
        <v>34</v>
      </c>
      <c r="N306" s="123" t="s">
        <v>388</v>
      </c>
      <c r="O306" s="51" t="s">
        <v>180</v>
      </c>
      <c r="P306" s="51"/>
      <c r="Q306" s="123"/>
      <c r="R306">
        <f t="shared" si="214"/>
        <v>34</v>
      </c>
      <c r="V306" s="3" t="s">
        <v>34</v>
      </c>
      <c r="W306" s="159" t="s">
        <v>34</v>
      </c>
      <c r="AF306" t="s">
        <v>34</v>
      </c>
    </row>
    <row r="307" spans="1:32" x14ac:dyDescent="0.35">
      <c r="A307">
        <f t="shared" si="213"/>
        <v>35</v>
      </c>
      <c r="B307" s="615" t="str">
        <f t="shared" si="215"/>
        <v>PULS Rocket Artillery Systems Launcher vehicles like HIMARS, Israel</v>
      </c>
      <c r="C307" s="626" t="s">
        <v>2245</v>
      </c>
      <c r="D307" s="631"/>
      <c r="E307" s="585"/>
      <c r="F307" s="585"/>
      <c r="G307" s="585"/>
      <c r="H307" s="585"/>
      <c r="I307" s="585"/>
      <c r="J307" s="585"/>
      <c r="K307" s="628" t="s">
        <v>2245</v>
      </c>
      <c r="L307" s="628" t="s">
        <v>2245</v>
      </c>
      <c r="M307" s="628" t="s">
        <v>2245</v>
      </c>
      <c r="N307" s="628" t="s">
        <v>2245</v>
      </c>
      <c r="O307" s="629"/>
      <c r="P307" s="629"/>
      <c r="Q307" s="615"/>
      <c r="R307">
        <f t="shared" si="214"/>
        <v>35</v>
      </c>
      <c r="V307" s="3"/>
    </row>
    <row r="308" spans="1:32" x14ac:dyDescent="0.35">
      <c r="A308">
        <f t="shared" si="213"/>
        <v>36</v>
      </c>
      <c r="B308" s="615" t="str">
        <f t="shared" si="215"/>
        <v xml:space="preserve"> - GRAD 122mm</v>
      </c>
      <c r="C308" s="626" t="s">
        <v>2245</v>
      </c>
      <c r="D308" s="631"/>
      <c r="E308" s="585"/>
      <c r="F308" s="585"/>
      <c r="G308" s="585"/>
      <c r="H308" s="585"/>
      <c r="I308" s="585"/>
      <c r="J308" s="585"/>
      <c r="K308" s="628" t="s">
        <v>2245</v>
      </c>
      <c r="L308" s="628" t="s">
        <v>2245</v>
      </c>
      <c r="M308" s="628" t="s">
        <v>2245</v>
      </c>
      <c r="N308" s="628" t="s">
        <v>2245</v>
      </c>
      <c r="O308" s="628" t="s">
        <v>2245</v>
      </c>
      <c r="P308" s="629"/>
      <c r="Q308" s="615"/>
      <c r="R308">
        <f t="shared" si="214"/>
        <v>36</v>
      </c>
      <c r="V308" s="3"/>
    </row>
    <row r="309" spans="1:32" x14ac:dyDescent="0.35">
      <c r="A309">
        <f t="shared" si="213"/>
        <v>37</v>
      </c>
      <c r="B309" s="615" t="str">
        <f t="shared" si="215"/>
        <v xml:space="preserve"> - EXTRA/Rampage Israeli 306mm guided artillery rocket, ground, ship or air launched</v>
      </c>
      <c r="C309" s="629" t="s">
        <v>1472</v>
      </c>
      <c r="D309" s="629" t="s">
        <v>1472</v>
      </c>
      <c r="E309" s="585" t="s">
        <v>35</v>
      </c>
      <c r="F309" s="585" t="s">
        <v>35</v>
      </c>
      <c r="G309" s="585" t="s">
        <v>34</v>
      </c>
      <c r="H309" s="585" t="s">
        <v>34</v>
      </c>
      <c r="I309" s="585" t="s">
        <v>34</v>
      </c>
      <c r="J309" s="585" t="s">
        <v>34</v>
      </c>
      <c r="K309" s="615" t="s">
        <v>1472</v>
      </c>
      <c r="L309" s="615" t="s">
        <v>1472</v>
      </c>
      <c r="M309" s="615"/>
      <c r="N309" s="615" t="s">
        <v>1472</v>
      </c>
      <c r="O309" s="629"/>
      <c r="P309" s="629"/>
      <c r="Q309" s="615"/>
      <c r="R309">
        <f t="shared" si="214"/>
        <v>37</v>
      </c>
      <c r="V309" s="3"/>
    </row>
    <row r="310" spans="1:32" x14ac:dyDescent="0.35">
      <c r="A310">
        <f t="shared" si="213"/>
        <v>38</v>
      </c>
      <c r="B310" s="615" t="str">
        <f t="shared" si="215"/>
        <v xml:space="preserve"> - 370mm Predator Hawk</v>
      </c>
      <c r="C310" s="629" t="s">
        <v>2245</v>
      </c>
      <c r="D310" s="631"/>
      <c r="E310" s="585"/>
      <c r="F310" s="585"/>
      <c r="G310" s="585"/>
      <c r="H310" s="585"/>
      <c r="I310" s="585"/>
      <c r="J310" s="585"/>
      <c r="K310" s="615" t="s">
        <v>2245</v>
      </c>
      <c r="L310" s="615" t="s">
        <v>2245</v>
      </c>
      <c r="M310" s="615" t="s">
        <v>2245</v>
      </c>
      <c r="N310" s="615" t="s">
        <v>2245</v>
      </c>
      <c r="O310" s="629"/>
      <c r="P310" s="629"/>
      <c r="Q310" s="615"/>
      <c r="R310">
        <f t="shared" si="214"/>
        <v>38</v>
      </c>
      <c r="V310" s="3"/>
    </row>
    <row r="311" spans="1:32" x14ac:dyDescent="0.35">
      <c r="A311">
        <f t="shared" si="213"/>
        <v>39</v>
      </c>
      <c r="B311" s="487" t="str">
        <f t="shared" si="215"/>
        <v>RPG-7 rocket with armor p. grenade</v>
      </c>
      <c r="C311" s="507" t="s">
        <v>334</v>
      </c>
      <c r="D311" s="506" t="s">
        <v>181</v>
      </c>
      <c r="E311" s="489" t="s">
        <v>34</v>
      </c>
      <c r="F311" s="508" t="s">
        <v>34</v>
      </c>
      <c r="G311" s="508" t="s">
        <v>34</v>
      </c>
      <c r="H311" s="498" t="s">
        <v>35</v>
      </c>
      <c r="I311" s="498" t="s">
        <v>35</v>
      </c>
      <c r="J311" s="498" t="s">
        <v>35</v>
      </c>
      <c r="K311" s="521" t="s">
        <v>334</v>
      </c>
      <c r="L311" s="521" t="s">
        <v>334</v>
      </c>
      <c r="M311" s="509" t="s">
        <v>35</v>
      </c>
      <c r="N311" s="521" t="s">
        <v>334</v>
      </c>
      <c r="O311" s="505" t="s">
        <v>334</v>
      </c>
      <c r="P311" s="505"/>
      <c r="Q311" s="487"/>
      <c r="R311">
        <f t="shared" si="214"/>
        <v>39</v>
      </c>
      <c r="V311" s="3" t="s">
        <v>34</v>
      </c>
      <c r="W311" s="159" t="s">
        <v>34</v>
      </c>
      <c r="AF311" t="s">
        <v>34</v>
      </c>
    </row>
    <row r="312" spans="1:32" x14ac:dyDescent="0.35">
      <c r="A312">
        <f t="shared" si="213"/>
        <v>40</v>
      </c>
      <c r="B312" s="487" t="str">
        <f t="shared" si="215"/>
        <v>RPG-7 armor p. grenade only</v>
      </c>
      <c r="C312" s="522" t="s">
        <v>34</v>
      </c>
      <c r="D312" s="523" t="s">
        <v>181</v>
      </c>
      <c r="E312" s="489" t="s">
        <v>34</v>
      </c>
      <c r="F312" s="508" t="s">
        <v>34</v>
      </c>
      <c r="G312" s="508" t="s">
        <v>34</v>
      </c>
      <c r="H312" s="498" t="s">
        <v>35</v>
      </c>
      <c r="I312" s="498" t="s">
        <v>35</v>
      </c>
      <c r="J312" s="498" t="s">
        <v>35</v>
      </c>
      <c r="K312" s="494" t="s">
        <v>34</v>
      </c>
      <c r="L312" s="494" t="s">
        <v>34</v>
      </c>
      <c r="M312" s="496" t="s">
        <v>34</v>
      </c>
      <c r="N312" s="521" t="s">
        <v>334</v>
      </c>
      <c r="O312" s="505" t="s">
        <v>180</v>
      </c>
      <c r="P312" s="505"/>
      <c r="Q312" s="487"/>
      <c r="R312">
        <f t="shared" si="214"/>
        <v>40</v>
      </c>
      <c r="V312" s="3"/>
      <c r="W312" s="159" t="s">
        <v>34</v>
      </c>
      <c r="AF312" t="s">
        <v>34</v>
      </c>
    </row>
    <row r="313" spans="1:32" x14ac:dyDescent="0.35">
      <c r="A313">
        <f t="shared" si="213"/>
        <v>41</v>
      </c>
      <c r="B313" s="487" t="str">
        <f t="shared" si="215"/>
        <v>RPG-7 fragmentation grenade only</v>
      </c>
      <c r="C313" s="522" t="s">
        <v>34</v>
      </c>
      <c r="D313" s="506" t="s">
        <v>181</v>
      </c>
      <c r="E313" s="489" t="s">
        <v>34</v>
      </c>
      <c r="F313" s="508" t="s">
        <v>34</v>
      </c>
      <c r="G313" s="508" t="s">
        <v>34</v>
      </c>
      <c r="H313" s="498" t="s">
        <v>35</v>
      </c>
      <c r="I313" s="498" t="s">
        <v>35</v>
      </c>
      <c r="J313" s="498" t="s">
        <v>35</v>
      </c>
      <c r="K313" s="494" t="s">
        <v>34</v>
      </c>
      <c r="L313" s="494" t="s">
        <v>34</v>
      </c>
      <c r="M313" s="496" t="s">
        <v>34</v>
      </c>
      <c r="N313" s="521" t="s">
        <v>334</v>
      </c>
      <c r="O313" s="505" t="s">
        <v>180</v>
      </c>
      <c r="P313" s="505"/>
      <c r="Q313" s="487"/>
      <c r="R313">
        <f t="shared" si="214"/>
        <v>41</v>
      </c>
      <c r="V313" s="3"/>
      <c r="W313" s="159" t="s">
        <v>34</v>
      </c>
      <c r="AF313" t="s">
        <v>34</v>
      </c>
    </row>
    <row r="314" spans="1:32" x14ac:dyDescent="0.35">
      <c r="A314">
        <f t="shared" si="213"/>
        <v>42</v>
      </c>
      <c r="B314" s="487" t="str">
        <f t="shared" si="215"/>
        <v>RPG-7 launcher</v>
      </c>
      <c r="C314" s="522" t="s">
        <v>34</v>
      </c>
      <c r="D314" s="506" t="s">
        <v>181</v>
      </c>
      <c r="E314" s="489" t="s">
        <v>34</v>
      </c>
      <c r="F314" s="508" t="s">
        <v>34</v>
      </c>
      <c r="G314" s="498" t="s">
        <v>35</v>
      </c>
      <c r="H314" s="498" t="s">
        <v>35</v>
      </c>
      <c r="I314" s="498" t="s">
        <v>34</v>
      </c>
      <c r="J314" s="498" t="s">
        <v>34</v>
      </c>
      <c r="K314" s="494" t="s">
        <v>34</v>
      </c>
      <c r="L314" s="494" t="s">
        <v>34</v>
      </c>
      <c r="M314" s="496" t="s">
        <v>34</v>
      </c>
      <c r="N314" s="524" t="s">
        <v>34</v>
      </c>
      <c r="O314" s="505" t="s">
        <v>334</v>
      </c>
      <c r="P314" s="505"/>
      <c r="Q314" s="487"/>
      <c r="R314">
        <f t="shared" si="214"/>
        <v>42</v>
      </c>
      <c r="V314" s="3" t="s">
        <v>34</v>
      </c>
      <c r="W314" s="159" t="s">
        <v>34</v>
      </c>
      <c r="AF314" t="s">
        <v>34</v>
      </c>
    </row>
    <row r="315" spans="1:32" x14ac:dyDescent="0.35">
      <c r="A315">
        <f t="shared" si="213"/>
        <v>43</v>
      </c>
      <c r="B315" s="123" t="str">
        <f t="shared" si="215"/>
        <v>FGM-148 Javelin anti-tank launch unit</v>
      </c>
      <c r="C315" s="450" t="s">
        <v>34</v>
      </c>
      <c r="D315" t="s">
        <v>453</v>
      </c>
      <c r="E315" s="172" t="s">
        <v>34</v>
      </c>
      <c r="F315" s="70" t="s">
        <v>35</v>
      </c>
      <c r="G315" s="70" t="s">
        <v>35</v>
      </c>
      <c r="H315" s="70" t="s">
        <v>34</v>
      </c>
      <c r="I315" s="70" t="s">
        <v>34</v>
      </c>
      <c r="J315" s="70" t="s">
        <v>34</v>
      </c>
      <c r="K315" s="392" t="s">
        <v>34</v>
      </c>
      <c r="L315" s="392" t="s">
        <v>34</v>
      </c>
      <c r="M315" s="175" t="s">
        <v>34</v>
      </c>
      <c r="N315" s="417" t="s">
        <v>34</v>
      </c>
      <c r="O315" s="51" t="s">
        <v>453</v>
      </c>
      <c r="P315" s="51"/>
      <c r="Q315" s="123"/>
      <c r="R315">
        <f t="shared" si="214"/>
        <v>43</v>
      </c>
      <c r="V315" s="3" t="s">
        <v>34</v>
      </c>
      <c r="W315" s="159" t="s">
        <v>34</v>
      </c>
      <c r="AF315" t="s">
        <v>34</v>
      </c>
    </row>
    <row r="316" spans="1:32" x14ac:dyDescent="0.35">
      <c r="A316">
        <f t="shared" si="213"/>
        <v>44</v>
      </c>
      <c r="B316" s="123" t="str">
        <f t="shared" si="215"/>
        <v>Javelin anti-tank missile</v>
      </c>
      <c r="C316" s="51" t="s">
        <v>453</v>
      </c>
      <c r="D316" s="4" t="s">
        <v>453</v>
      </c>
      <c r="E316" s="172" t="s">
        <v>34</v>
      </c>
      <c r="F316" s="70" t="s">
        <v>35</v>
      </c>
      <c r="G316" s="70" t="s">
        <v>35</v>
      </c>
      <c r="H316" s="70" t="s">
        <v>34</v>
      </c>
      <c r="I316" s="70" t="s">
        <v>34</v>
      </c>
      <c r="J316" s="70" t="s">
        <v>34</v>
      </c>
      <c r="K316" s="123" t="s">
        <v>453</v>
      </c>
      <c r="L316" s="392" t="s">
        <v>34</v>
      </c>
      <c r="M316" s="175" t="s">
        <v>34</v>
      </c>
      <c r="N316" s="123" t="s">
        <v>453</v>
      </c>
      <c r="O316" s="51" t="s">
        <v>453</v>
      </c>
      <c r="P316" s="51"/>
      <c r="Q316" s="123"/>
      <c r="R316">
        <f t="shared" si="214"/>
        <v>44</v>
      </c>
      <c r="V316" t="s">
        <v>610</v>
      </c>
      <c r="W316" s="159" t="s">
        <v>34</v>
      </c>
      <c r="AF316" t="s">
        <v>34</v>
      </c>
    </row>
    <row r="317" spans="1:32" x14ac:dyDescent="0.35">
      <c r="A317">
        <f t="shared" si="213"/>
        <v>45</v>
      </c>
      <c r="B317" s="615" t="str">
        <f t="shared" si="215"/>
        <v>Spike SR Israeli anti-tank/personnel/structure 9.6kg</v>
      </c>
      <c r="C317" s="629" t="s">
        <v>611</v>
      </c>
      <c r="D317" s="627" t="s">
        <v>611</v>
      </c>
      <c r="E317" s="584" t="s">
        <v>34</v>
      </c>
      <c r="F317" s="585" t="s">
        <v>35</v>
      </c>
      <c r="G317" s="585" t="s">
        <v>35</v>
      </c>
      <c r="H317" s="585" t="s">
        <v>34</v>
      </c>
      <c r="I317" s="585" t="s">
        <v>34</v>
      </c>
      <c r="J317" s="585" t="s">
        <v>34</v>
      </c>
      <c r="K317" s="615" t="s">
        <v>611</v>
      </c>
      <c r="L317" s="615" t="s">
        <v>615</v>
      </c>
      <c r="M317" s="615" t="s">
        <v>35</v>
      </c>
      <c r="N317" s="615" t="s">
        <v>611</v>
      </c>
      <c r="O317" s="629" t="s">
        <v>611</v>
      </c>
      <c r="P317" s="629"/>
      <c r="Q317" s="615"/>
      <c r="R317">
        <f t="shared" si="214"/>
        <v>45</v>
      </c>
      <c r="V317" s="159" t="str">
        <f>V53</f>
        <v xml:space="preserve"> is fire and forget infrared seeker 8kg rocket, system 10 kg and disposable</v>
      </c>
      <c r="W317" s="159" t="s">
        <v>34</v>
      </c>
      <c r="X317" s="159"/>
      <c r="Y317" s="159"/>
      <c r="Z317" s="159"/>
      <c r="AA317" s="159"/>
      <c r="AB317" s="159"/>
      <c r="AC317" s="159"/>
      <c r="AD317" s="159"/>
      <c r="AE317" s="159"/>
      <c r="AF317" t="s">
        <v>34</v>
      </c>
    </row>
    <row r="318" spans="1:32" x14ac:dyDescent="0.35">
      <c r="A318">
        <f t="shared" si="213"/>
        <v>46</v>
      </c>
      <c r="B318" s="615" t="str">
        <f t="shared" si="215"/>
        <v>Spike LR Israeli anti-tank/personnel/structure</v>
      </c>
      <c r="C318" s="629" t="s">
        <v>611</v>
      </c>
      <c r="D318" s="627" t="s">
        <v>611</v>
      </c>
      <c r="E318" s="584" t="s">
        <v>34</v>
      </c>
      <c r="F318" s="585" t="s">
        <v>35</v>
      </c>
      <c r="G318" s="585" t="s">
        <v>35</v>
      </c>
      <c r="H318" s="585" t="s">
        <v>34</v>
      </c>
      <c r="I318" s="585" t="s">
        <v>34</v>
      </c>
      <c r="J318" s="585" t="s">
        <v>34</v>
      </c>
      <c r="K318" s="615" t="s">
        <v>611</v>
      </c>
      <c r="L318" s="615" t="s">
        <v>615</v>
      </c>
      <c r="M318" s="615" t="s">
        <v>35</v>
      </c>
      <c r="N318" s="615" t="s">
        <v>611</v>
      </c>
      <c r="O318" s="629" t="s">
        <v>611</v>
      </c>
      <c r="P318" s="629"/>
      <c r="Q318" s="615"/>
      <c r="R318">
        <f t="shared" si="214"/>
        <v>46</v>
      </c>
      <c r="V318" s="159" t="str">
        <f>V54</f>
        <v xml:space="preserve"> is fire and forget infrared seeker 9kg rocket</v>
      </c>
      <c r="W318" s="159" t="s">
        <v>34</v>
      </c>
      <c r="X318" s="159"/>
      <c r="Y318" s="159"/>
      <c r="Z318" s="159"/>
      <c r="AA318" s="159"/>
      <c r="AB318" s="159"/>
      <c r="AC318" s="159"/>
      <c r="AD318" s="159"/>
      <c r="AE318" s="159"/>
      <c r="AF318" t="s">
        <v>34</v>
      </c>
    </row>
    <row r="319" spans="1:32" x14ac:dyDescent="0.35">
      <c r="A319">
        <f t="shared" si="213"/>
        <v>47</v>
      </c>
      <c r="B319" s="615" t="str">
        <f t="shared" si="215"/>
        <v>Spike NLOS anti-tank/personnel/structure fire from ground vehicles or helicopters</v>
      </c>
      <c r="C319" s="629" t="s">
        <v>611</v>
      </c>
      <c r="D319" s="627" t="s">
        <v>611</v>
      </c>
      <c r="E319" s="584" t="s">
        <v>34</v>
      </c>
      <c r="F319" s="585" t="s">
        <v>35</v>
      </c>
      <c r="G319" s="585" t="s">
        <v>35</v>
      </c>
      <c r="H319" s="585" t="s">
        <v>34</v>
      </c>
      <c r="I319" s="585" t="s">
        <v>34</v>
      </c>
      <c r="J319" s="585" t="s">
        <v>34</v>
      </c>
      <c r="K319" s="615" t="s">
        <v>611</v>
      </c>
      <c r="L319" s="615" t="s">
        <v>615</v>
      </c>
      <c r="M319" s="615" t="s">
        <v>35</v>
      </c>
      <c r="N319" s="615" t="s">
        <v>611</v>
      </c>
      <c r="O319" s="629" t="s">
        <v>611</v>
      </c>
      <c r="P319" s="629"/>
      <c r="Q319" s="615"/>
      <c r="R319">
        <f t="shared" si="214"/>
        <v>47</v>
      </c>
      <c r="V319" s="159" t="str">
        <f>V55</f>
        <v>NLOS No line of sight. Target must be acquired by frontline infantry. Helicopter in the rear shot rocket that is optical wire guided for first 8 km then radio and my guess for final 2 km it is optical infrared with target info uploaded via radio.</v>
      </c>
      <c r="W319" s="159" t="s">
        <v>34</v>
      </c>
      <c r="X319" s="159"/>
      <c r="Y319" s="159"/>
      <c r="Z319" s="159"/>
      <c r="AA319" s="159"/>
      <c r="AB319" s="159"/>
      <c r="AC319" s="159"/>
      <c r="AD319" s="159"/>
      <c r="AE319" s="159"/>
      <c r="AF319" t="s">
        <v>34</v>
      </c>
    </row>
    <row r="320" spans="1:32" x14ac:dyDescent="0.35">
      <c r="A320">
        <f t="shared" si="213"/>
        <v>48</v>
      </c>
      <c r="B320" s="483" t="str">
        <f t="shared" si="215"/>
        <v>Stugna P launch unit anti-tank</v>
      </c>
      <c r="C320" s="525" t="s">
        <v>34</v>
      </c>
      <c r="D320" s="503" t="s">
        <v>202</v>
      </c>
      <c r="E320" s="479" t="s">
        <v>34</v>
      </c>
      <c r="F320" s="486" t="s">
        <v>35</v>
      </c>
      <c r="G320" s="486" t="s">
        <v>35</v>
      </c>
      <c r="H320" s="486" t="s">
        <v>34</v>
      </c>
      <c r="I320" s="486" t="s">
        <v>34</v>
      </c>
      <c r="J320" s="486" t="s">
        <v>34</v>
      </c>
      <c r="K320" s="484" t="s">
        <v>34</v>
      </c>
      <c r="L320" s="484" t="s">
        <v>34</v>
      </c>
      <c r="M320" s="482" t="s">
        <v>34</v>
      </c>
      <c r="N320" s="482" t="s">
        <v>34</v>
      </c>
      <c r="O320" s="477" t="s">
        <v>459</v>
      </c>
      <c r="P320" s="477"/>
      <c r="Q320" s="483"/>
      <c r="R320">
        <f t="shared" si="214"/>
        <v>48</v>
      </c>
      <c r="V320" s="3" t="s">
        <v>34</v>
      </c>
      <c r="W320" s="159" t="s">
        <v>34</v>
      </c>
      <c r="AF320" t="s">
        <v>34</v>
      </c>
    </row>
    <row r="321" spans="1:32" x14ac:dyDescent="0.35">
      <c r="A321">
        <f t="shared" si="213"/>
        <v>49</v>
      </c>
      <c r="B321" s="483" t="str">
        <f t="shared" si="215"/>
        <v>Stugna P anti-tank missile</v>
      </c>
      <c r="C321" s="477" t="s">
        <v>458</v>
      </c>
      <c r="D321" s="503" t="s">
        <v>202</v>
      </c>
      <c r="E321" s="479" t="s">
        <v>34</v>
      </c>
      <c r="F321" s="486" t="s">
        <v>35</v>
      </c>
      <c r="G321" s="486" t="s">
        <v>35</v>
      </c>
      <c r="H321" s="486" t="s">
        <v>34</v>
      </c>
      <c r="I321" s="486" t="s">
        <v>34</v>
      </c>
      <c r="J321" s="486" t="s">
        <v>34</v>
      </c>
      <c r="K321" s="483" t="s">
        <v>458</v>
      </c>
      <c r="L321" s="484" t="s">
        <v>34</v>
      </c>
      <c r="M321" s="482" t="s">
        <v>34</v>
      </c>
      <c r="N321" s="526" t="s">
        <v>913</v>
      </c>
      <c r="O321" s="477" t="s">
        <v>459</v>
      </c>
      <c r="P321" s="477"/>
      <c r="Q321" s="483"/>
      <c r="R321">
        <f t="shared" si="214"/>
        <v>49</v>
      </c>
      <c r="V321" s="3" t="s">
        <v>34</v>
      </c>
      <c r="W321" s="159" t="s">
        <v>34</v>
      </c>
      <c r="AF321" t="s">
        <v>34</v>
      </c>
    </row>
    <row r="322" spans="1:32" x14ac:dyDescent="0.35">
      <c r="A322">
        <f t="shared" si="213"/>
        <v>50</v>
      </c>
      <c r="B322" s="123" t="str">
        <f t="shared" si="215"/>
        <v>NLAW anti-tank missile</v>
      </c>
      <c r="C322" s="90" t="s">
        <v>465</v>
      </c>
      <c r="D322" t="s">
        <v>465</v>
      </c>
      <c r="E322" s="172" t="s">
        <v>34</v>
      </c>
      <c r="F322" s="70" t="s">
        <v>35</v>
      </c>
      <c r="G322" s="70" t="s">
        <v>35</v>
      </c>
      <c r="H322" s="70" t="s">
        <v>34</v>
      </c>
      <c r="I322" s="70" t="s">
        <v>34</v>
      </c>
      <c r="J322" s="70" t="s">
        <v>34</v>
      </c>
      <c r="K322" s="389" t="s">
        <v>465</v>
      </c>
      <c r="L322" s="389" t="s">
        <v>465</v>
      </c>
      <c r="M322" s="381" t="s">
        <v>35</v>
      </c>
      <c r="N322" s="123" t="s">
        <v>465</v>
      </c>
      <c r="O322" s="51" t="s">
        <v>465</v>
      </c>
      <c r="P322" s="51"/>
      <c r="Q322" s="123"/>
      <c r="R322">
        <f t="shared" si="214"/>
        <v>50</v>
      </c>
      <c r="V322" s="3" t="s">
        <v>34</v>
      </c>
      <c r="W322" s="159" t="s">
        <v>34</v>
      </c>
      <c r="AF322" t="s">
        <v>34</v>
      </c>
    </row>
    <row r="323" spans="1:32" x14ac:dyDescent="0.35">
      <c r="A323">
        <f t="shared" si="213"/>
        <v>51</v>
      </c>
      <c r="B323" s="123" t="str">
        <f t="shared" si="215"/>
        <v>Bradley armored fighting vehicle</v>
      </c>
      <c r="C323" s="51" t="s">
        <v>445</v>
      </c>
      <c r="D323" t="s">
        <v>445</v>
      </c>
      <c r="E323" s="70" t="s">
        <v>35</v>
      </c>
      <c r="F323" s="70" t="s">
        <v>35</v>
      </c>
      <c r="G323" s="70" t="s">
        <v>35</v>
      </c>
      <c r="H323" s="70" t="s">
        <v>34</v>
      </c>
      <c r="I323" s="70" t="s">
        <v>34</v>
      </c>
      <c r="J323" s="70" t="s">
        <v>34</v>
      </c>
      <c r="K323" s="123" t="s">
        <v>445</v>
      </c>
      <c r="L323" s="123" t="s">
        <v>445</v>
      </c>
      <c r="M323" s="175" t="s">
        <v>34</v>
      </c>
      <c r="N323" s="175" t="s">
        <v>34</v>
      </c>
      <c r="O323" s="51" t="s">
        <v>445</v>
      </c>
      <c r="P323" s="51"/>
      <c r="Q323" s="123"/>
      <c r="R323">
        <f t="shared" si="214"/>
        <v>51</v>
      </c>
      <c r="V323" s="3" t="s">
        <v>34</v>
      </c>
      <c r="W323" s="159" t="s">
        <v>34</v>
      </c>
      <c r="AF323" t="s">
        <v>34</v>
      </c>
    </row>
    <row r="324" spans="1:32" x14ac:dyDescent="0.35">
      <c r="A324">
        <f t="shared" si="213"/>
        <v>52</v>
      </c>
      <c r="B324" s="123" t="str">
        <f t="shared" si="215"/>
        <v>25mm M242 Bushmaster for Bradley</v>
      </c>
      <c r="C324" s="90" t="s">
        <v>447</v>
      </c>
      <c r="D324" t="s">
        <v>422</v>
      </c>
      <c r="E324" s="174" t="s">
        <v>34</v>
      </c>
      <c r="F324" s="174" t="s">
        <v>34</v>
      </c>
      <c r="G324" s="174" t="s">
        <v>34</v>
      </c>
      <c r="H324" s="174" t="s">
        <v>34</v>
      </c>
      <c r="I324" s="70" t="s">
        <v>35</v>
      </c>
      <c r="J324" s="70" t="s">
        <v>35</v>
      </c>
      <c r="K324" s="389" t="s">
        <v>447</v>
      </c>
      <c r="L324" s="389" t="s">
        <v>447</v>
      </c>
      <c r="M324" s="381" t="s">
        <v>35</v>
      </c>
      <c r="N324" s="418" t="s">
        <v>34</v>
      </c>
      <c r="O324" s="90" t="s">
        <v>202</v>
      </c>
      <c r="P324" s="90"/>
      <c r="Q324" s="389"/>
      <c r="R324">
        <f t="shared" si="214"/>
        <v>52</v>
      </c>
      <c r="S324" s="451"/>
      <c r="T324" s="451"/>
      <c r="U324" s="451"/>
      <c r="V324" s="3" t="s">
        <v>34</v>
      </c>
      <c r="W324" s="159" t="s">
        <v>34</v>
      </c>
      <c r="AF324" t="s">
        <v>34</v>
      </c>
    </row>
    <row r="325" spans="1:32" x14ac:dyDescent="0.35">
      <c r="A325">
        <f t="shared" si="213"/>
        <v>53</v>
      </c>
      <c r="B325" s="123"/>
      <c r="C325" s="90"/>
      <c r="E325" s="172"/>
      <c r="F325" s="58"/>
      <c r="G325" s="70"/>
      <c r="H325" s="70"/>
      <c r="I325" s="70"/>
      <c r="J325" s="70"/>
      <c r="K325" s="389"/>
      <c r="L325" s="389"/>
      <c r="M325" s="389"/>
      <c r="N325" s="389"/>
      <c r="O325" s="90"/>
      <c r="P325" s="90"/>
      <c r="Q325" s="389"/>
      <c r="R325">
        <f t="shared" si="214"/>
        <v>53</v>
      </c>
      <c r="S325" s="451"/>
      <c r="T325" s="451"/>
      <c r="U325" s="451"/>
      <c r="V325" s="3"/>
      <c r="W325" s="159" t="s">
        <v>34</v>
      </c>
      <c r="AF325" t="s">
        <v>34</v>
      </c>
    </row>
    <row r="326" spans="1:32" x14ac:dyDescent="0.35">
      <c r="A326">
        <f t="shared" si="213"/>
        <v>54</v>
      </c>
      <c r="B326" s="123"/>
      <c r="C326" s="90"/>
      <c r="E326" s="172"/>
      <c r="F326" s="58"/>
      <c r="G326" s="70"/>
      <c r="H326" s="70"/>
      <c r="I326" s="70"/>
      <c r="J326" s="70"/>
      <c r="K326" s="389"/>
      <c r="L326" s="389"/>
      <c r="M326" s="389"/>
      <c r="N326" s="389"/>
      <c r="O326" s="90"/>
      <c r="P326" s="90"/>
      <c r="Q326" s="389"/>
      <c r="R326">
        <f t="shared" si="214"/>
        <v>54</v>
      </c>
      <c r="S326" s="451"/>
      <c r="T326" s="451"/>
      <c r="U326" s="451"/>
      <c r="V326" s="3"/>
      <c r="W326" s="159" t="s">
        <v>34</v>
      </c>
      <c r="AF326" t="s">
        <v>34</v>
      </c>
    </row>
    <row r="327" spans="1:32" x14ac:dyDescent="0.35">
      <c r="A327">
        <f t="shared" si="213"/>
        <v>55</v>
      </c>
      <c r="B327" s="123"/>
      <c r="C327" s="31"/>
      <c r="E327" s="172"/>
      <c r="F327" s="58"/>
      <c r="G327" s="70"/>
      <c r="H327" s="70"/>
      <c r="I327" s="70"/>
      <c r="J327" s="70"/>
      <c r="K327" s="149"/>
      <c r="L327" s="149"/>
      <c r="M327" s="149"/>
      <c r="N327" s="123"/>
      <c r="O327" s="51"/>
      <c r="P327" s="51"/>
      <c r="Q327" s="123"/>
      <c r="R327">
        <f t="shared" si="214"/>
        <v>55</v>
      </c>
      <c r="V327" s="3"/>
      <c r="W327" s="159" t="s">
        <v>34</v>
      </c>
      <c r="AF327" t="s">
        <v>34</v>
      </c>
    </row>
    <row r="328" spans="1:32" x14ac:dyDescent="0.35">
      <c r="A328">
        <f t="shared" si="213"/>
        <v>56</v>
      </c>
      <c r="B328" s="189" t="str">
        <f>B64</f>
        <v>Short-range drone &lt;25km</v>
      </c>
      <c r="C328" s="385"/>
      <c r="D328" s="192"/>
      <c r="E328" s="192"/>
      <c r="F328" s="192"/>
      <c r="G328" s="192"/>
      <c r="H328" s="192"/>
      <c r="I328" s="192"/>
      <c r="J328" s="192"/>
      <c r="K328" s="185"/>
      <c r="L328" s="185"/>
      <c r="M328" s="185"/>
      <c r="N328" s="385"/>
      <c r="O328" s="385"/>
      <c r="P328" s="385"/>
      <c r="Q328" s="185"/>
      <c r="R328">
        <f t="shared" si="214"/>
        <v>56</v>
      </c>
      <c r="V328" s="3"/>
      <c r="W328" s="159" t="s">
        <v>34</v>
      </c>
      <c r="AF328" t="s">
        <v>34</v>
      </c>
    </row>
    <row r="329" spans="1:32" x14ac:dyDescent="0.35">
      <c r="A329">
        <f t="shared" si="213"/>
        <v>57</v>
      </c>
      <c r="B329" s="123" t="str">
        <f>B65</f>
        <v>FPV with RPG-7 cheap battery, 4.5kg=2+2+.05</v>
      </c>
      <c r="D329" s="4" t="s">
        <v>181</v>
      </c>
      <c r="E329" s="172" t="s">
        <v>34</v>
      </c>
      <c r="F329" s="58" t="s">
        <v>34</v>
      </c>
      <c r="G329" s="70" t="s">
        <v>34</v>
      </c>
      <c r="H329" s="70" t="s">
        <v>35</v>
      </c>
      <c r="I329" s="70" t="s">
        <v>35</v>
      </c>
      <c r="J329" s="70" t="s">
        <v>35</v>
      </c>
      <c r="L329" s="123"/>
      <c r="M329" s="123"/>
      <c r="N329" s="31" t="s">
        <v>185</v>
      </c>
      <c r="O329" s="31" t="s">
        <v>405</v>
      </c>
      <c r="P329" s="31"/>
      <c r="Q329" s="149"/>
      <c r="R329">
        <f t="shared" si="214"/>
        <v>57</v>
      </c>
      <c r="S329" s="20"/>
      <c r="T329" s="20"/>
      <c r="U329" s="20"/>
      <c r="V329" s="3" t="s">
        <v>34</v>
      </c>
      <c r="W329" s="159" t="s">
        <v>34</v>
      </c>
      <c r="AF329" t="s">
        <v>34</v>
      </c>
    </row>
    <row r="330" spans="1:32" x14ac:dyDescent="0.35">
      <c r="A330">
        <f t="shared" si="213"/>
        <v>58</v>
      </c>
      <c r="B330" s="123" t="str">
        <f>B66</f>
        <v>FPV with RPG-7 expensive battery, 4.5kg total</v>
      </c>
      <c r="C330" s="51"/>
      <c r="D330" s="4" t="s">
        <v>182</v>
      </c>
      <c r="E330" s="172" t="s">
        <v>34</v>
      </c>
      <c r="F330" s="58" t="s">
        <v>34</v>
      </c>
      <c r="G330" s="70" t="s">
        <v>34</v>
      </c>
      <c r="H330" s="70" t="s">
        <v>35</v>
      </c>
      <c r="I330" s="70" t="s">
        <v>35</v>
      </c>
      <c r="J330" s="70" t="s">
        <v>35</v>
      </c>
      <c r="K330" s="123"/>
      <c r="L330" s="123"/>
      <c r="M330" s="123"/>
      <c r="N330" s="51"/>
      <c r="O330" s="51" t="s">
        <v>405</v>
      </c>
      <c r="P330" s="51"/>
      <c r="Q330" s="123"/>
      <c r="R330">
        <f t="shared" si="214"/>
        <v>58</v>
      </c>
      <c r="V330" s="3" t="s">
        <v>34</v>
      </c>
      <c r="W330" s="159" t="s">
        <v>34</v>
      </c>
      <c r="AF330" t="s">
        <v>34</v>
      </c>
    </row>
    <row r="331" spans="1:32" x14ac:dyDescent="0.35">
      <c r="A331">
        <f t="shared" si="213"/>
        <v>59</v>
      </c>
      <c r="B331" s="483" t="str">
        <f>B67</f>
        <v>Baba Yaga FPV bomber, 35kg=15+15+5</v>
      </c>
      <c r="C331" s="477" t="s">
        <v>937</v>
      </c>
      <c r="D331" s="502" t="s">
        <v>180</v>
      </c>
      <c r="E331" s="479" t="s">
        <v>34</v>
      </c>
      <c r="F331" s="504" t="s">
        <v>34</v>
      </c>
      <c r="G331" s="486" t="s">
        <v>34</v>
      </c>
      <c r="H331" s="486" t="s">
        <v>35</v>
      </c>
      <c r="I331" s="486" t="s">
        <v>35</v>
      </c>
      <c r="J331" s="486" t="s">
        <v>34</v>
      </c>
      <c r="K331" s="483" t="s">
        <v>180</v>
      </c>
      <c r="L331" s="483"/>
      <c r="M331" s="483"/>
      <c r="N331" s="477" t="s">
        <v>937</v>
      </c>
      <c r="O331" t="s">
        <v>180</v>
      </c>
      <c r="P331" s="477"/>
      <c r="Q331" s="483"/>
      <c r="R331">
        <f t="shared" si="214"/>
        <v>59</v>
      </c>
      <c r="V331" s="3" t="s">
        <v>34</v>
      </c>
      <c r="W331" s="159" t="s">
        <v>34</v>
      </c>
      <c r="AF331" t="s">
        <v>34</v>
      </c>
    </row>
    <row r="332" spans="1:32" x14ac:dyDescent="0.35">
      <c r="A332">
        <f t="shared" si="213"/>
        <v>60</v>
      </c>
      <c r="B332" s="123" t="str">
        <f>B68</f>
        <v>DJI Mavic 3 pro FPV for surveillance, 1 kg</v>
      </c>
      <c r="C332" s="51"/>
      <c r="D332" s="4" t="s">
        <v>931</v>
      </c>
      <c r="E332" s="70" t="s">
        <v>35</v>
      </c>
      <c r="F332" s="70" t="s">
        <v>35</v>
      </c>
      <c r="G332" s="70" t="s">
        <v>35</v>
      </c>
      <c r="H332" s="70" t="s">
        <v>34</v>
      </c>
      <c r="I332" s="70" t="s">
        <v>34</v>
      </c>
      <c r="J332" s="70" t="s">
        <v>34</v>
      </c>
      <c r="K332" s="123"/>
      <c r="L332" s="123"/>
      <c r="M332" s="123"/>
      <c r="N332" s="51"/>
      <c r="O332" s="51"/>
      <c r="P332" s="51"/>
      <c r="Q332" s="123"/>
      <c r="R332">
        <f t="shared" si="214"/>
        <v>60</v>
      </c>
      <c r="V332" s="3"/>
      <c r="W332" s="159" t="s">
        <v>34</v>
      </c>
      <c r="AF332" t="s">
        <v>34</v>
      </c>
    </row>
    <row r="333" spans="1:32" x14ac:dyDescent="0.35">
      <c r="A333">
        <f t="shared" si="213"/>
        <v>61</v>
      </c>
      <c r="B333" s="123"/>
      <c r="C333" s="51"/>
      <c r="D333" s="4"/>
      <c r="K333" s="123"/>
      <c r="L333" s="123"/>
      <c r="M333" s="123"/>
      <c r="O333" s="51"/>
      <c r="P333" s="51"/>
      <c r="Q333" s="123"/>
      <c r="R333">
        <f t="shared" si="214"/>
        <v>61</v>
      </c>
      <c r="V333" s="3"/>
      <c r="W333" s="159" t="s">
        <v>34</v>
      </c>
      <c r="AF333" t="s">
        <v>34</v>
      </c>
    </row>
    <row r="334" spans="1:32" x14ac:dyDescent="0.35">
      <c r="A334">
        <f t="shared" si="213"/>
        <v>62</v>
      </c>
      <c r="B334" s="123"/>
      <c r="C334" s="51"/>
      <c r="E334" s="180"/>
      <c r="F334" s="58"/>
      <c r="G334" s="70"/>
      <c r="H334" s="70"/>
      <c r="I334" s="70"/>
      <c r="J334" s="70"/>
      <c r="K334" s="123"/>
      <c r="L334" s="123"/>
      <c r="M334" s="123"/>
      <c r="N334" s="180"/>
      <c r="O334" s="51"/>
      <c r="P334" s="51"/>
      <c r="Q334" s="123"/>
      <c r="R334">
        <f t="shared" si="214"/>
        <v>62</v>
      </c>
      <c r="V334" s="3"/>
      <c r="W334" s="159" t="s">
        <v>34</v>
      </c>
      <c r="AF334" t="s">
        <v>34</v>
      </c>
    </row>
    <row r="335" spans="1:32" x14ac:dyDescent="0.35">
      <c r="A335">
        <f t="shared" si="213"/>
        <v>63</v>
      </c>
      <c r="B335" s="189" t="str">
        <f>B71</f>
        <v>Mid-range drone 25&lt;x&lt;100km</v>
      </c>
      <c r="C335" s="181"/>
      <c r="D335" s="473"/>
      <c r="E335" s="474"/>
      <c r="F335" s="475"/>
      <c r="G335" s="476"/>
      <c r="H335" s="476"/>
      <c r="I335" s="476"/>
      <c r="J335" s="476"/>
      <c r="K335" s="189"/>
      <c r="L335" s="189"/>
      <c r="M335" s="189"/>
      <c r="N335" s="474"/>
      <c r="O335" s="181"/>
      <c r="P335" s="181"/>
      <c r="Q335" s="189"/>
      <c r="R335">
        <f t="shared" si="214"/>
        <v>63</v>
      </c>
      <c r="V335" s="3"/>
      <c r="W335" s="159" t="s">
        <v>34</v>
      </c>
      <c r="AF335" t="s">
        <v>34</v>
      </c>
    </row>
    <row r="336" spans="1:32" x14ac:dyDescent="0.35">
      <c r="A336">
        <f t="shared" si="213"/>
        <v>64</v>
      </c>
      <c r="B336" s="487" t="str">
        <f>B72</f>
        <v>Lancet FPV attack drone, radio range 40km, 12 kg takeoff weight</v>
      </c>
      <c r="C336" s="505" t="s">
        <v>339</v>
      </c>
      <c r="D336" s="506" t="s">
        <v>338</v>
      </c>
      <c r="E336" s="498" t="s">
        <v>35</v>
      </c>
      <c r="F336" s="498" t="s">
        <v>35</v>
      </c>
      <c r="G336" s="498" t="s">
        <v>35</v>
      </c>
      <c r="H336" s="498" t="s">
        <v>34</v>
      </c>
      <c r="I336" s="498" t="s">
        <v>34</v>
      </c>
      <c r="J336" s="498" t="s">
        <v>34</v>
      </c>
      <c r="K336" s="487" t="s">
        <v>339</v>
      </c>
      <c r="L336" s="487" t="s">
        <v>339</v>
      </c>
      <c r="M336" s="487" t="s">
        <v>338</v>
      </c>
      <c r="N336" s="507" t="s">
        <v>338</v>
      </c>
      <c r="O336" s="505" t="s">
        <v>408</v>
      </c>
      <c r="P336" s="505"/>
      <c r="Q336" s="487"/>
      <c r="R336">
        <f t="shared" si="214"/>
        <v>64</v>
      </c>
      <c r="V336" s="3" t="s">
        <v>34</v>
      </c>
      <c r="W336" s="159" t="s">
        <v>34</v>
      </c>
      <c r="AF336" t="s">
        <v>34</v>
      </c>
    </row>
    <row r="337" spans="1:32" x14ac:dyDescent="0.35">
      <c r="A337">
        <f t="shared" si="213"/>
        <v>65</v>
      </c>
      <c r="B337" s="487" t="str">
        <f>B73</f>
        <v>Lancet when mass produced like a car</v>
      </c>
      <c r="C337" s="505" t="s">
        <v>302</v>
      </c>
      <c r="D337" s="506" t="s">
        <v>500</v>
      </c>
      <c r="E337" s="489" t="s">
        <v>34</v>
      </c>
      <c r="F337" s="508" t="s">
        <v>34</v>
      </c>
      <c r="G337" s="498" t="s">
        <v>34</v>
      </c>
      <c r="H337" s="498" t="s">
        <v>35</v>
      </c>
      <c r="I337" s="498" t="s">
        <v>35</v>
      </c>
      <c r="J337" s="498" t="s">
        <v>34</v>
      </c>
      <c r="K337" s="487" t="s">
        <v>302</v>
      </c>
      <c r="L337" s="487" t="s">
        <v>302</v>
      </c>
      <c r="M337" s="487" t="s">
        <v>302</v>
      </c>
      <c r="N337" s="487" t="s">
        <v>302</v>
      </c>
      <c r="O337" s="505" t="s">
        <v>501</v>
      </c>
      <c r="P337" s="505"/>
      <c r="Q337" s="487"/>
      <c r="R337">
        <f t="shared" si="214"/>
        <v>65</v>
      </c>
      <c r="V337" s="3"/>
      <c r="W337" s="159" t="s">
        <v>34</v>
      </c>
      <c r="AF337" t="s">
        <v>34</v>
      </c>
    </row>
    <row r="338" spans="1:32" x14ac:dyDescent="0.35">
      <c r="A338">
        <f t="shared" si="213"/>
        <v>66</v>
      </c>
      <c r="B338" s="483" t="str">
        <f>B74</f>
        <v>Shark FPV surveillance drone, 12.5kg, radio 80km</v>
      </c>
      <c r="C338" s="477" t="s">
        <v>933</v>
      </c>
      <c r="D338" s="502" t="s">
        <v>933</v>
      </c>
      <c r="E338" s="503"/>
      <c r="F338" s="504"/>
      <c r="G338" s="486"/>
      <c r="H338" s="486"/>
      <c r="I338" s="486"/>
      <c r="J338" s="486"/>
      <c r="K338" s="483" t="s">
        <v>933</v>
      </c>
      <c r="L338" s="483" t="s">
        <v>933</v>
      </c>
      <c r="M338" s="123" t="s">
        <v>35</v>
      </c>
      <c r="N338" s="503" t="s">
        <v>933</v>
      </c>
      <c r="O338" s="477"/>
      <c r="P338" s="477"/>
      <c r="Q338" s="483"/>
      <c r="R338">
        <f t="shared" si="214"/>
        <v>66</v>
      </c>
      <c r="V338" s="3"/>
      <c r="W338" s="159" t="s">
        <v>34</v>
      </c>
      <c r="AF338" t="s">
        <v>34</v>
      </c>
    </row>
    <row r="339" spans="1:32" x14ac:dyDescent="0.35">
      <c r="A339">
        <f t="shared" si="213"/>
        <v>67</v>
      </c>
      <c r="B339" s="123" t="str">
        <f>B75</f>
        <v>PPDS, Australian foamboard attack, 13kg</v>
      </c>
      <c r="C339" s="51" t="s">
        <v>940</v>
      </c>
      <c r="D339" t="s">
        <v>940</v>
      </c>
      <c r="E339" s="70" t="s">
        <v>35</v>
      </c>
      <c r="F339" s="70" t="s">
        <v>35</v>
      </c>
      <c r="G339" s="70" t="s">
        <v>35</v>
      </c>
      <c r="H339" s="70" t="s">
        <v>34</v>
      </c>
      <c r="I339" s="70" t="s">
        <v>34</v>
      </c>
      <c r="J339" s="70" t="s">
        <v>34</v>
      </c>
      <c r="K339" s="123" t="s">
        <v>940</v>
      </c>
      <c r="L339" s="123" t="s">
        <v>940</v>
      </c>
      <c r="M339" s="123" t="s">
        <v>35</v>
      </c>
      <c r="N339" s="123" t="s">
        <v>940</v>
      </c>
      <c r="O339" s="51" t="s">
        <v>180</v>
      </c>
      <c r="P339" s="51"/>
      <c r="Q339" s="123"/>
      <c r="R339">
        <f t="shared" ref="R339:R403" si="216">R338+1</f>
        <v>67</v>
      </c>
      <c r="V339" s="3"/>
      <c r="W339" s="159" t="s">
        <v>34</v>
      </c>
      <c r="AF339" t="s">
        <v>34</v>
      </c>
    </row>
    <row r="340" spans="1:32" x14ac:dyDescent="0.35">
      <c r="A340">
        <f t="shared" si="213"/>
        <v>68</v>
      </c>
      <c r="B340" s="123"/>
      <c r="C340" s="51"/>
      <c r="D340" s="4"/>
      <c r="K340" s="123"/>
      <c r="L340" s="123"/>
      <c r="M340" s="123"/>
      <c r="N340" s="51"/>
      <c r="O340" s="51"/>
      <c r="P340" s="51"/>
      <c r="Q340" s="123"/>
      <c r="R340">
        <f t="shared" si="216"/>
        <v>68</v>
      </c>
      <c r="V340" s="3"/>
      <c r="W340" s="159" t="s">
        <v>34</v>
      </c>
      <c r="AF340" t="s">
        <v>34</v>
      </c>
    </row>
    <row r="341" spans="1:32" x14ac:dyDescent="0.35">
      <c r="A341">
        <f t="shared" si="213"/>
        <v>69</v>
      </c>
      <c r="B341" s="189" t="str">
        <f t="shared" ref="B341:B360" si="217">B77</f>
        <v>Long-range drone &gt;100kilometers</v>
      </c>
      <c r="C341" s="385"/>
      <c r="D341" s="192"/>
      <c r="E341" s="192"/>
      <c r="F341" s="192"/>
      <c r="G341" s="192"/>
      <c r="H341" s="192"/>
      <c r="I341" s="192"/>
      <c r="J341" s="192"/>
      <c r="K341" s="185"/>
      <c r="L341" s="185"/>
      <c r="M341" s="185"/>
      <c r="N341" s="385"/>
      <c r="O341" s="385"/>
      <c r="P341" s="385"/>
      <c r="Q341" s="185"/>
      <c r="R341">
        <f t="shared" si="216"/>
        <v>69</v>
      </c>
      <c r="V341" s="3"/>
      <c r="W341" s="159" t="s">
        <v>34</v>
      </c>
      <c r="AF341" t="s">
        <v>34</v>
      </c>
    </row>
    <row r="342" spans="1:32" x14ac:dyDescent="0.35">
      <c r="A342">
        <f t="shared" si="213"/>
        <v>70</v>
      </c>
      <c r="B342" s="487" t="str">
        <f t="shared" si="217"/>
        <v>Shahed 136, attack</v>
      </c>
      <c r="C342" s="505" t="s">
        <v>341</v>
      </c>
      <c r="D342" s="506" t="s">
        <v>340</v>
      </c>
      <c r="E342" s="498" t="s">
        <v>35</v>
      </c>
      <c r="F342" s="498" t="s">
        <v>35</v>
      </c>
      <c r="G342" s="498" t="s">
        <v>35</v>
      </c>
      <c r="H342" s="498" t="s">
        <v>34</v>
      </c>
      <c r="I342" s="498" t="s">
        <v>34</v>
      </c>
      <c r="J342" s="498" t="s">
        <v>34</v>
      </c>
      <c r="K342" s="487" t="s">
        <v>341</v>
      </c>
      <c r="L342" s="487" t="s">
        <v>342</v>
      </c>
      <c r="M342" s="487" t="s">
        <v>35</v>
      </c>
      <c r="N342" s="507" t="s">
        <v>340</v>
      </c>
      <c r="O342" s="505" t="s">
        <v>406</v>
      </c>
      <c r="P342" s="505"/>
      <c r="Q342" s="487"/>
      <c r="R342">
        <f t="shared" si="216"/>
        <v>70</v>
      </c>
      <c r="V342" s="3" t="s">
        <v>34</v>
      </c>
      <c r="W342" s="159" t="s">
        <v>34</v>
      </c>
      <c r="AF342" t="s">
        <v>34</v>
      </c>
    </row>
    <row r="343" spans="1:32" x14ac:dyDescent="0.35">
      <c r="A343">
        <f t="shared" si="213"/>
        <v>71</v>
      </c>
      <c r="B343" s="487" t="str">
        <f t="shared" si="217"/>
        <v>Shahed when mass produced like a car</v>
      </c>
      <c r="C343" s="505" t="s">
        <v>302</v>
      </c>
      <c r="D343" s="506" t="s">
        <v>500</v>
      </c>
      <c r="E343" s="489" t="s">
        <v>34</v>
      </c>
      <c r="F343" s="508" t="s">
        <v>34</v>
      </c>
      <c r="G343" s="498" t="s">
        <v>34</v>
      </c>
      <c r="H343" s="498" t="s">
        <v>35</v>
      </c>
      <c r="I343" s="498" t="s">
        <v>35</v>
      </c>
      <c r="J343" s="498" t="s">
        <v>34</v>
      </c>
      <c r="K343" s="487" t="s">
        <v>302</v>
      </c>
      <c r="L343" s="487" t="s">
        <v>302</v>
      </c>
      <c r="M343" s="487" t="s">
        <v>302</v>
      </c>
      <c r="N343" s="487" t="s">
        <v>302</v>
      </c>
      <c r="O343" s="505" t="s">
        <v>501</v>
      </c>
      <c r="P343" s="505"/>
      <c r="Q343" s="487"/>
      <c r="R343">
        <f t="shared" si="216"/>
        <v>71</v>
      </c>
      <c r="V343" s="3"/>
      <c r="W343" s="159" t="s">
        <v>34</v>
      </c>
      <c r="AF343" t="s">
        <v>34</v>
      </c>
    </row>
    <row r="344" spans="1:32" x14ac:dyDescent="0.35">
      <c r="A344">
        <f t="shared" si="213"/>
        <v>72</v>
      </c>
      <c r="B344" s="483" t="str">
        <f t="shared" si="217"/>
        <v xml:space="preserve">Palianytsia "mini" </v>
      </c>
      <c r="C344" s="477" t="s">
        <v>1995</v>
      </c>
      <c r="D344" s="502" t="s">
        <v>1996</v>
      </c>
      <c r="E344" s="503" t="s">
        <v>1978</v>
      </c>
      <c r="F344" s="504" t="s">
        <v>34</v>
      </c>
      <c r="G344" s="486" t="s">
        <v>34</v>
      </c>
      <c r="H344" s="486" t="s">
        <v>34</v>
      </c>
      <c r="I344" s="486" t="s">
        <v>34</v>
      </c>
      <c r="J344" s="486" t="s">
        <v>34</v>
      </c>
      <c r="K344" s="483" t="s">
        <v>871</v>
      </c>
      <c r="L344" s="483" t="s">
        <v>1979</v>
      </c>
      <c r="M344" s="483" t="s">
        <v>872</v>
      </c>
      <c r="N344" s="503" t="s">
        <v>1980</v>
      </c>
      <c r="O344" s="477" t="s">
        <v>180</v>
      </c>
      <c r="P344" s="477"/>
      <c r="Q344" s="483"/>
      <c r="R344">
        <f t="shared" si="216"/>
        <v>72</v>
      </c>
      <c r="V344" s="3"/>
      <c r="W344" s="159" t="s">
        <v>34</v>
      </c>
      <c r="AF344" t="s">
        <v>34</v>
      </c>
    </row>
    <row r="345" spans="1:32" x14ac:dyDescent="0.35">
      <c r="A345">
        <f t="shared" si="213"/>
        <v>73</v>
      </c>
      <c r="B345" s="483" t="str">
        <f t="shared" si="217"/>
        <v>Enterprise by AeroDrone UKR drone</v>
      </c>
      <c r="C345" s="477" t="s">
        <v>343</v>
      </c>
      <c r="D345" s="502" t="s">
        <v>343</v>
      </c>
      <c r="E345" s="486" t="s">
        <v>35</v>
      </c>
      <c r="F345" s="486" t="s">
        <v>35</v>
      </c>
      <c r="G345" s="486" t="s">
        <v>35</v>
      </c>
      <c r="H345" s="486" t="s">
        <v>35</v>
      </c>
      <c r="I345" s="486" t="s">
        <v>34</v>
      </c>
      <c r="J345" s="486" t="s">
        <v>34</v>
      </c>
      <c r="K345" s="483" t="s">
        <v>343</v>
      </c>
      <c r="L345" s="483" t="s">
        <v>180</v>
      </c>
      <c r="M345" s="483" t="s">
        <v>35</v>
      </c>
      <c r="N345" s="477" t="s">
        <v>343</v>
      </c>
      <c r="O345" s="477" t="s">
        <v>411</v>
      </c>
      <c r="P345" s="477"/>
      <c r="Q345" s="483"/>
      <c r="R345">
        <f t="shared" si="216"/>
        <v>73</v>
      </c>
      <c r="V345" s="3" t="s">
        <v>34</v>
      </c>
      <c r="W345" s="159" t="s">
        <v>34</v>
      </c>
      <c r="AF345" t="s">
        <v>34</v>
      </c>
    </row>
    <row r="346" spans="1:32" x14ac:dyDescent="0.35">
      <c r="A346">
        <f t="shared" ref="A346:A414" si="218">A345+1</f>
        <v>74</v>
      </c>
      <c r="B346" s="483" t="str">
        <f t="shared" si="217"/>
        <v xml:space="preserve">Liutyi UAV, attack, </v>
      </c>
      <c r="C346" s="512" t="s">
        <v>344</v>
      </c>
      <c r="D346" s="511" t="s">
        <v>491</v>
      </c>
      <c r="E346" s="486" t="s">
        <v>35</v>
      </c>
      <c r="F346" s="486" t="s">
        <v>35</v>
      </c>
      <c r="G346" s="486" t="s">
        <v>35</v>
      </c>
      <c r="H346" s="486" t="s">
        <v>35</v>
      </c>
      <c r="I346" s="486" t="s">
        <v>34</v>
      </c>
      <c r="J346" s="486" t="s">
        <v>34</v>
      </c>
      <c r="K346" s="513" t="s">
        <v>344</v>
      </c>
      <c r="L346" s="483" t="s">
        <v>180</v>
      </c>
      <c r="M346" s="483" t="s">
        <v>35</v>
      </c>
      <c r="N346" s="477" t="s">
        <v>491</v>
      </c>
      <c r="O346" s="477" t="s">
        <v>1981</v>
      </c>
      <c r="P346" s="477"/>
      <c r="Q346" s="483"/>
      <c r="R346">
        <f t="shared" si="216"/>
        <v>74</v>
      </c>
      <c r="V346" s="3" t="s">
        <v>34</v>
      </c>
      <c r="W346" s="159" t="s">
        <v>34</v>
      </c>
      <c r="AF346" t="s">
        <v>34</v>
      </c>
    </row>
    <row r="347" spans="1:32" x14ac:dyDescent="0.35">
      <c r="A347">
        <f t="shared" si="218"/>
        <v>75</v>
      </c>
      <c r="B347" s="483" t="str">
        <f t="shared" si="217"/>
        <v>Beaver Bober attack</v>
      </c>
      <c r="C347" s="512" t="s">
        <v>944</v>
      </c>
      <c r="D347" s="511" t="s">
        <v>491</v>
      </c>
      <c r="E347" s="486" t="s">
        <v>35</v>
      </c>
      <c r="F347" s="486" t="s">
        <v>35</v>
      </c>
      <c r="G347" s="486" t="s">
        <v>35</v>
      </c>
      <c r="H347" s="486" t="s">
        <v>35</v>
      </c>
      <c r="I347" s="486" t="s">
        <v>34</v>
      </c>
      <c r="J347" s="486" t="s">
        <v>34</v>
      </c>
      <c r="K347" s="513" t="s">
        <v>944</v>
      </c>
      <c r="L347" s="483" t="s">
        <v>945</v>
      </c>
      <c r="M347" s="483" t="s">
        <v>35</v>
      </c>
      <c r="N347" s="477" t="s">
        <v>945</v>
      </c>
      <c r="O347" s="477" t="s">
        <v>180</v>
      </c>
      <c r="P347" s="477"/>
      <c r="Q347" s="483"/>
      <c r="R347">
        <f t="shared" si="216"/>
        <v>75</v>
      </c>
      <c r="V347" s="3"/>
      <c r="W347" s="159" t="s">
        <v>34</v>
      </c>
      <c r="AF347" t="s">
        <v>34</v>
      </c>
    </row>
    <row r="348" spans="1:32" x14ac:dyDescent="0.35">
      <c r="A348">
        <f t="shared" si="218"/>
        <v>76</v>
      </c>
      <c r="B348" s="483" t="str">
        <f t="shared" si="217"/>
        <v xml:space="preserve">AQ-400 Scythe attack, </v>
      </c>
      <c r="C348" s="512" t="s">
        <v>952</v>
      </c>
      <c r="D348" s="511" t="s">
        <v>952</v>
      </c>
      <c r="E348" s="486" t="s">
        <v>35</v>
      </c>
      <c r="F348" s="486" t="s">
        <v>35</v>
      </c>
      <c r="G348" s="486" t="s">
        <v>35</v>
      </c>
      <c r="H348" s="486" t="s">
        <v>35</v>
      </c>
      <c r="I348" s="486" t="s">
        <v>34</v>
      </c>
      <c r="J348" s="486" t="s">
        <v>34</v>
      </c>
      <c r="K348" s="513" t="s">
        <v>950</v>
      </c>
      <c r="L348" s="513" t="s">
        <v>950</v>
      </c>
      <c r="M348" s="483" t="s">
        <v>35</v>
      </c>
      <c r="N348" s="477" t="s">
        <v>949</v>
      </c>
      <c r="O348" s="477" t="s">
        <v>950</v>
      </c>
      <c r="P348" s="477"/>
      <c r="Q348" s="483" t="s">
        <v>950</v>
      </c>
      <c r="R348">
        <f t="shared" si="216"/>
        <v>76</v>
      </c>
      <c r="V348" s="3" t="s">
        <v>34</v>
      </c>
      <c r="W348" s="159" t="s">
        <v>34</v>
      </c>
      <c r="AF348" t="s">
        <v>34</v>
      </c>
    </row>
    <row r="349" spans="1:32" x14ac:dyDescent="0.35">
      <c r="A349">
        <f t="shared" si="218"/>
        <v>77</v>
      </c>
      <c r="B349" s="483" t="str">
        <f t="shared" si="217"/>
        <v>UJ-22 Airborne attack</v>
      </c>
      <c r="C349" s="512" t="s">
        <v>991</v>
      </c>
      <c r="D349" s="503" t="s">
        <v>994</v>
      </c>
      <c r="E349" s="486" t="s">
        <v>35</v>
      </c>
      <c r="F349" s="486" t="s">
        <v>34</v>
      </c>
      <c r="G349" s="486" t="s">
        <v>34</v>
      </c>
      <c r="H349" s="486" t="s">
        <v>34</v>
      </c>
      <c r="I349" s="486" t="s">
        <v>34</v>
      </c>
      <c r="J349" s="486" t="s">
        <v>34</v>
      </c>
      <c r="K349" s="513" t="s">
        <v>991</v>
      </c>
      <c r="L349" s="513" t="s">
        <v>991</v>
      </c>
      <c r="M349" s="483" t="s">
        <v>35</v>
      </c>
      <c r="N349" s="513" t="s">
        <v>991</v>
      </c>
      <c r="O349" s="513" t="s">
        <v>991</v>
      </c>
      <c r="P349" s="477"/>
      <c r="Q349" s="483"/>
      <c r="R349">
        <f t="shared" si="216"/>
        <v>77</v>
      </c>
      <c r="V349" s="3"/>
      <c r="W349" s="159" t="s">
        <v>34</v>
      </c>
      <c r="AF349" t="s">
        <v>34</v>
      </c>
    </row>
    <row r="350" spans="1:32" x14ac:dyDescent="0.35">
      <c r="A350">
        <f t="shared" si="218"/>
        <v>78</v>
      </c>
      <c r="B350" s="483" t="str">
        <f t="shared" si="217"/>
        <v>Sokil-300/Falcon-300 attack drone that fire missiles</v>
      </c>
      <c r="C350" s="512" t="s">
        <v>966</v>
      </c>
      <c r="D350" s="503" t="s">
        <v>988</v>
      </c>
      <c r="E350" s="486" t="s">
        <v>35</v>
      </c>
      <c r="F350" s="486" t="s">
        <v>35</v>
      </c>
      <c r="G350" s="486" t="s">
        <v>35</v>
      </c>
      <c r="H350" s="486" t="s">
        <v>35</v>
      </c>
      <c r="I350" s="486" t="s">
        <v>34</v>
      </c>
      <c r="J350" s="486" t="s">
        <v>34</v>
      </c>
      <c r="K350" s="513" t="s">
        <v>966</v>
      </c>
      <c r="L350" s="513" t="s">
        <v>967</v>
      </c>
      <c r="M350" s="483" t="s">
        <v>35</v>
      </c>
      <c r="N350" s="513" t="s">
        <v>968</v>
      </c>
      <c r="O350" s="513" t="s">
        <v>969</v>
      </c>
      <c r="P350" s="513" t="s">
        <v>970</v>
      </c>
      <c r="Q350" s="513" t="s">
        <v>971</v>
      </c>
      <c r="R350">
        <f t="shared" si="216"/>
        <v>78</v>
      </c>
      <c r="V350" s="3" t="s">
        <v>34</v>
      </c>
      <c r="W350" s="159" t="s">
        <v>34</v>
      </c>
      <c r="AF350" t="s">
        <v>34</v>
      </c>
    </row>
    <row r="351" spans="1:32" x14ac:dyDescent="0.35">
      <c r="A351">
        <f t="shared" si="218"/>
        <v>79</v>
      </c>
      <c r="B351" s="123" t="str">
        <f t="shared" si="217"/>
        <v>Bayraktar TB2, Turkish attack drone that fire missiles</v>
      </c>
      <c r="C351" s="85" t="s">
        <v>984</v>
      </c>
      <c r="D351" s="395" t="s">
        <v>983</v>
      </c>
      <c r="E351" s="70" t="s">
        <v>35</v>
      </c>
      <c r="F351" s="70" t="s">
        <v>34</v>
      </c>
      <c r="G351" s="70" t="s">
        <v>34</v>
      </c>
      <c r="H351" s="70" t="s">
        <v>34</v>
      </c>
      <c r="I351" s="70" t="s">
        <v>34</v>
      </c>
      <c r="J351" s="70" t="s">
        <v>34</v>
      </c>
      <c r="K351" s="420" t="s">
        <v>984</v>
      </c>
      <c r="L351" s="420" t="s">
        <v>985</v>
      </c>
      <c r="M351" s="123" t="s">
        <v>35</v>
      </c>
      <c r="N351" s="420" t="s">
        <v>986</v>
      </c>
      <c r="O351" s="420" t="s">
        <v>987</v>
      </c>
      <c r="P351" s="51"/>
      <c r="Q351" s="123"/>
      <c r="R351">
        <f t="shared" si="216"/>
        <v>79</v>
      </c>
      <c r="V351" s="3" t="s">
        <v>34</v>
      </c>
      <c r="W351" s="159" t="s">
        <v>34</v>
      </c>
      <c r="AF351" t="s">
        <v>34</v>
      </c>
    </row>
    <row r="352" spans="1:32" x14ac:dyDescent="0.35">
      <c r="A352">
        <f t="shared" si="218"/>
        <v>80</v>
      </c>
      <c r="B352" s="615" t="str">
        <f t="shared" si="217"/>
        <v>IAI Heron Israeli armed drone</v>
      </c>
      <c r="C352" s="626" t="s">
        <v>608</v>
      </c>
      <c r="D352" s="627" t="s">
        <v>626</v>
      </c>
      <c r="E352" s="585" t="s">
        <v>35</v>
      </c>
      <c r="F352" s="585" t="s">
        <v>34</v>
      </c>
      <c r="G352" s="585" t="s">
        <v>34</v>
      </c>
      <c r="H352" s="585" t="s">
        <v>34</v>
      </c>
      <c r="I352" s="585" t="s">
        <v>34</v>
      </c>
      <c r="J352" s="585" t="s">
        <v>34</v>
      </c>
      <c r="K352" s="615" t="s">
        <v>35</v>
      </c>
      <c r="L352" s="628" t="s">
        <v>608</v>
      </c>
      <c r="M352" s="628" t="s">
        <v>608</v>
      </c>
      <c r="N352" s="628" t="s">
        <v>608</v>
      </c>
      <c r="O352" s="628" t="s">
        <v>608</v>
      </c>
      <c r="P352" s="629"/>
      <c r="Q352" s="615"/>
      <c r="R352">
        <f t="shared" si="216"/>
        <v>80</v>
      </c>
      <c r="V352" s="3" t="s">
        <v>34</v>
      </c>
      <c r="W352" s="159" t="s">
        <v>34</v>
      </c>
      <c r="AF352" t="s">
        <v>34</v>
      </c>
    </row>
    <row r="353" spans="1:32" x14ac:dyDescent="0.35">
      <c r="A353">
        <f t="shared" si="218"/>
        <v>81</v>
      </c>
      <c r="B353" s="615" t="str">
        <f t="shared" si="217"/>
        <v>IAI Eitan or Heron TP stealth drone, internal weapons bay 1 ton</v>
      </c>
      <c r="C353" s="626" t="s">
        <v>1512</v>
      </c>
      <c r="D353" s="626" t="s">
        <v>1508</v>
      </c>
      <c r="E353" s="585" t="s">
        <v>35</v>
      </c>
      <c r="F353" s="585" t="s">
        <v>35</v>
      </c>
      <c r="G353" s="585" t="s">
        <v>34</v>
      </c>
      <c r="H353" s="585" t="s">
        <v>34</v>
      </c>
      <c r="I353" s="585" t="s">
        <v>34</v>
      </c>
      <c r="J353" s="585" t="s">
        <v>34</v>
      </c>
      <c r="K353" s="615" t="s">
        <v>1508</v>
      </c>
      <c r="L353" s="638" t="s">
        <v>1997</v>
      </c>
      <c r="M353" s="123" t="s">
        <v>35</v>
      </c>
      <c r="N353" s="628" t="s">
        <v>1509</v>
      </c>
      <c r="O353" s="638" t="s">
        <v>1510</v>
      </c>
      <c r="P353" s="629"/>
      <c r="Q353" s="615"/>
      <c r="R353">
        <f t="shared" si="216"/>
        <v>81</v>
      </c>
      <c r="V353" s="3"/>
    </row>
    <row r="354" spans="1:32" x14ac:dyDescent="0.35">
      <c r="A354">
        <f t="shared" si="218"/>
        <v>82</v>
      </c>
      <c r="B354" s="615" t="str">
        <f t="shared" si="217"/>
        <v>Elbit Hermes 900 Israeli attack and surveillance drone</v>
      </c>
      <c r="C354" s="626" t="s">
        <v>1525</v>
      </c>
      <c r="D354" s="639" t="s">
        <v>1526</v>
      </c>
      <c r="E354" s="585" t="s">
        <v>35</v>
      </c>
      <c r="F354" s="585" t="s">
        <v>35</v>
      </c>
      <c r="G354" s="585" t="s">
        <v>34</v>
      </c>
      <c r="H354" s="585" t="s">
        <v>34</v>
      </c>
      <c r="I354" s="585" t="s">
        <v>34</v>
      </c>
      <c r="J354" s="585" t="s">
        <v>34</v>
      </c>
      <c r="K354" s="615" t="s">
        <v>1525</v>
      </c>
      <c r="L354" s="615" t="s">
        <v>1525</v>
      </c>
      <c r="M354" s="123" t="s">
        <v>35</v>
      </c>
      <c r="N354" s="615" t="s">
        <v>1525</v>
      </c>
      <c r="O354" s="638"/>
      <c r="P354" s="629"/>
      <c r="Q354" s="615"/>
      <c r="R354">
        <f t="shared" si="216"/>
        <v>82</v>
      </c>
      <c r="V354" s="3"/>
    </row>
    <row r="355" spans="1:32" x14ac:dyDescent="0.35">
      <c r="A355">
        <f t="shared" si="218"/>
        <v>83</v>
      </c>
      <c r="B355" s="615" t="str">
        <f t="shared" si="217"/>
        <v>Hermes 650 or Spark cheap alternative to Hermes 900</v>
      </c>
      <c r="C355" s="626" t="s">
        <v>1530</v>
      </c>
      <c r="D355" s="640" t="s">
        <v>1982</v>
      </c>
      <c r="E355" s="585" t="s">
        <v>35</v>
      </c>
      <c r="F355" s="585" t="s">
        <v>35</v>
      </c>
      <c r="G355" s="585" t="s">
        <v>34</v>
      </c>
      <c r="H355" s="585" t="s">
        <v>34</v>
      </c>
      <c r="I355" s="585" t="s">
        <v>34</v>
      </c>
      <c r="J355" s="585" t="s">
        <v>34</v>
      </c>
      <c r="K355" s="615" t="s">
        <v>1530</v>
      </c>
      <c r="L355" s="615" t="s">
        <v>1530</v>
      </c>
      <c r="M355" s="123" t="s">
        <v>35</v>
      </c>
      <c r="N355" s="615" t="s">
        <v>1530</v>
      </c>
      <c r="O355" s="638"/>
      <c r="P355" s="629"/>
      <c r="Q355" s="615"/>
      <c r="R355">
        <f t="shared" si="216"/>
        <v>83</v>
      </c>
      <c r="V355" s="3"/>
    </row>
    <row r="356" spans="1:32" x14ac:dyDescent="0.35">
      <c r="A356">
        <f t="shared" si="218"/>
        <v>84</v>
      </c>
      <c r="B356" s="615" t="str">
        <f t="shared" si="217"/>
        <v>Delilah Israeli cruise missile/drone to hit moving targets. Can be remote controlled like an FPV drone</v>
      </c>
      <c r="C356" s="629" t="s">
        <v>1474</v>
      </c>
      <c r="D356" s="637" t="s">
        <v>422</v>
      </c>
      <c r="E356" s="585" t="s">
        <v>35</v>
      </c>
      <c r="F356" s="585" t="s">
        <v>35</v>
      </c>
      <c r="G356" s="585" t="s">
        <v>35</v>
      </c>
      <c r="H356" s="585" t="s">
        <v>34</v>
      </c>
      <c r="I356" s="585" t="s">
        <v>34</v>
      </c>
      <c r="J356" s="585" t="s">
        <v>34</v>
      </c>
      <c r="K356" s="615" t="s">
        <v>1474</v>
      </c>
      <c r="L356" s="615" t="s">
        <v>1474</v>
      </c>
      <c r="M356" s="123" t="s">
        <v>35</v>
      </c>
      <c r="N356" s="615" t="s">
        <v>1474</v>
      </c>
      <c r="O356" s="638" t="s">
        <v>422</v>
      </c>
      <c r="P356" s="629"/>
      <c r="Q356" s="615"/>
      <c r="R356">
        <f t="shared" si="216"/>
        <v>84</v>
      </c>
      <c r="V356" s="3"/>
    </row>
    <row r="357" spans="1:32" x14ac:dyDescent="0.35">
      <c r="A357">
        <f t="shared" si="218"/>
        <v>85</v>
      </c>
      <c r="B357" s="123" t="str">
        <f t="shared" si="217"/>
        <v>MQ-1 Predator US attack drone that fire missiles</v>
      </c>
      <c r="C357" s="85" t="s">
        <v>977</v>
      </c>
      <c r="D357" s="395" t="s">
        <v>983</v>
      </c>
      <c r="E357" s="70" t="s">
        <v>35</v>
      </c>
      <c r="F357" s="70" t="s">
        <v>34</v>
      </c>
      <c r="G357" s="70" t="s">
        <v>34</v>
      </c>
      <c r="H357" s="70" t="s">
        <v>34</v>
      </c>
      <c r="I357" s="70" t="s">
        <v>34</v>
      </c>
      <c r="J357" s="70" t="s">
        <v>34</v>
      </c>
      <c r="K357" s="420" t="s">
        <v>977</v>
      </c>
      <c r="L357" s="420" t="s">
        <v>977</v>
      </c>
      <c r="M357" s="123" t="s">
        <v>35</v>
      </c>
      <c r="N357" s="420" t="s">
        <v>977</v>
      </c>
      <c r="O357" s="420" t="s">
        <v>977</v>
      </c>
      <c r="P357" s="51"/>
      <c r="Q357" s="123"/>
      <c r="R357">
        <f t="shared" si="216"/>
        <v>85</v>
      </c>
      <c r="V357" s="3" t="s">
        <v>34</v>
      </c>
      <c r="W357" s="159" t="s">
        <v>34</v>
      </c>
      <c r="AF357" t="s">
        <v>34</v>
      </c>
    </row>
    <row r="358" spans="1:32" x14ac:dyDescent="0.35">
      <c r="A358">
        <f t="shared" si="218"/>
        <v>86</v>
      </c>
      <c r="B358" s="123" t="str">
        <f t="shared" si="217"/>
        <v>MQ-1C Gray Eagle replacement for Predator</v>
      </c>
      <c r="C358" s="85" t="s">
        <v>978</v>
      </c>
      <c r="D358" s="395" t="s">
        <v>982</v>
      </c>
      <c r="E358" s="70" t="s">
        <v>35</v>
      </c>
      <c r="F358" s="70" t="s">
        <v>34</v>
      </c>
      <c r="G358" s="70" t="s">
        <v>34</v>
      </c>
      <c r="H358" s="70" t="s">
        <v>34</v>
      </c>
      <c r="I358" s="70" t="s">
        <v>34</v>
      </c>
      <c r="J358" s="70" t="s">
        <v>34</v>
      </c>
      <c r="K358" s="420" t="s">
        <v>978</v>
      </c>
      <c r="L358" s="420" t="s">
        <v>978</v>
      </c>
      <c r="M358" s="123" t="s">
        <v>35</v>
      </c>
      <c r="N358" s="420" t="s">
        <v>978</v>
      </c>
      <c r="O358" s="420" t="s">
        <v>978</v>
      </c>
      <c r="P358" s="51"/>
      <c r="Q358" s="123"/>
      <c r="R358">
        <f t="shared" si="216"/>
        <v>86</v>
      </c>
      <c r="V358" s="3" t="s">
        <v>34</v>
      </c>
      <c r="W358" s="159" t="s">
        <v>34</v>
      </c>
      <c r="AF358" t="s">
        <v>34</v>
      </c>
    </row>
    <row r="359" spans="1:32" x14ac:dyDescent="0.35">
      <c r="A359">
        <f t="shared" si="218"/>
        <v>87</v>
      </c>
      <c r="B359" s="123" t="str">
        <f t="shared" si="217"/>
        <v>RQ-4 Global Hawk, US surveillance 14.6ton</v>
      </c>
      <c r="C359" s="85" t="s">
        <v>1009</v>
      </c>
      <c r="D359" s="20" t="s">
        <v>1009</v>
      </c>
      <c r="E359" s="70" t="s">
        <v>35</v>
      </c>
      <c r="F359" s="70" t="s">
        <v>34</v>
      </c>
      <c r="G359" s="70" t="s">
        <v>34</v>
      </c>
      <c r="H359" s="70" t="s">
        <v>34</v>
      </c>
      <c r="I359" s="70" t="s">
        <v>34</v>
      </c>
      <c r="J359" s="70" t="s">
        <v>34</v>
      </c>
      <c r="K359" s="420" t="s">
        <v>1009</v>
      </c>
      <c r="L359" s="420" t="s">
        <v>1009</v>
      </c>
      <c r="M359" s="123" t="s">
        <v>35</v>
      </c>
      <c r="N359" s="462" t="s">
        <v>1983</v>
      </c>
      <c r="O359" s="85"/>
      <c r="P359" s="51"/>
      <c r="Q359" s="123"/>
      <c r="R359">
        <f t="shared" si="216"/>
        <v>87</v>
      </c>
      <c r="V359" s="3" t="s">
        <v>34</v>
      </c>
      <c r="W359" s="159" t="s">
        <v>34</v>
      </c>
      <c r="AF359" t="s">
        <v>34</v>
      </c>
    </row>
    <row r="360" spans="1:32" x14ac:dyDescent="0.35">
      <c r="A360">
        <f t="shared" si="218"/>
        <v>88</v>
      </c>
      <c r="B360" s="123" t="str">
        <f t="shared" si="217"/>
        <v>RQ-180 US surveillance stealth drone</v>
      </c>
      <c r="C360" s="51" t="s">
        <v>605</v>
      </c>
      <c r="D360" t="s">
        <v>628</v>
      </c>
      <c r="E360" s="70" t="s">
        <v>34</v>
      </c>
      <c r="F360" s="70" t="s">
        <v>34</v>
      </c>
      <c r="G360" s="70" t="s">
        <v>34</v>
      </c>
      <c r="H360" s="70" t="s">
        <v>34</v>
      </c>
      <c r="I360" s="70" t="s">
        <v>34</v>
      </c>
      <c r="J360" s="70" t="s">
        <v>34</v>
      </c>
      <c r="K360" s="123" t="s">
        <v>605</v>
      </c>
      <c r="L360" s="123" t="s">
        <v>180</v>
      </c>
      <c r="M360" s="123" t="s">
        <v>35</v>
      </c>
      <c r="N360" s="51" t="s">
        <v>604</v>
      </c>
      <c r="O360" s="51" t="s">
        <v>180</v>
      </c>
      <c r="P360" s="51"/>
      <c r="Q360" s="123"/>
      <c r="R360">
        <f t="shared" si="216"/>
        <v>88</v>
      </c>
      <c r="V360" s="3" t="s">
        <v>34</v>
      </c>
      <c r="W360" s="159" t="s">
        <v>34</v>
      </c>
      <c r="AF360" t="s">
        <v>34</v>
      </c>
    </row>
    <row r="361" spans="1:32" x14ac:dyDescent="0.35">
      <c r="A361">
        <f t="shared" si="218"/>
        <v>89</v>
      </c>
      <c r="B361" s="123"/>
      <c r="C361" s="51"/>
      <c r="K361" s="123"/>
      <c r="L361" s="123"/>
      <c r="M361" s="123" t="s">
        <v>35</v>
      </c>
      <c r="N361" s="51"/>
      <c r="O361" s="51"/>
      <c r="P361" s="51"/>
      <c r="Q361" s="123"/>
      <c r="R361">
        <f t="shared" si="216"/>
        <v>89</v>
      </c>
      <c r="V361" s="3" t="s">
        <v>34</v>
      </c>
      <c r="W361" s="159" t="s">
        <v>34</v>
      </c>
      <c r="AF361" t="s">
        <v>34</v>
      </c>
    </row>
    <row r="362" spans="1:32" x14ac:dyDescent="0.35">
      <c r="A362">
        <f t="shared" si="218"/>
        <v>90</v>
      </c>
      <c r="B362" s="123"/>
      <c r="C362" s="51"/>
      <c r="K362" s="123"/>
      <c r="L362" s="123"/>
      <c r="M362" s="123" t="s">
        <v>35</v>
      </c>
      <c r="N362" s="51"/>
      <c r="O362" s="51"/>
      <c r="P362" s="51"/>
      <c r="Q362" s="123"/>
      <c r="R362">
        <f t="shared" si="216"/>
        <v>90</v>
      </c>
      <c r="V362" s="3" t="s">
        <v>34</v>
      </c>
      <c r="W362" s="159" t="s">
        <v>34</v>
      </c>
      <c r="AF362" t="s">
        <v>34</v>
      </c>
    </row>
    <row r="363" spans="1:32" x14ac:dyDescent="0.35">
      <c r="A363">
        <f t="shared" si="218"/>
        <v>91</v>
      </c>
      <c r="B363" s="189" t="str">
        <f t="shared" ref="B363:B396" si="219">B99</f>
        <v>Large long-range missiles (ground attack)</v>
      </c>
      <c r="C363" s="460"/>
      <c r="D363" s="183"/>
      <c r="E363" s="183"/>
      <c r="F363" s="188"/>
      <c r="G363" s="188"/>
      <c r="H363" s="188"/>
      <c r="I363" s="183"/>
      <c r="J363" s="184"/>
      <c r="K363" s="383"/>
      <c r="L363" s="383"/>
      <c r="M363" s="185" t="s">
        <v>35</v>
      </c>
      <c r="N363" s="386"/>
      <c r="O363" s="386"/>
      <c r="P363" s="386"/>
      <c r="Q363" s="384"/>
      <c r="R363">
        <f t="shared" si="216"/>
        <v>91</v>
      </c>
      <c r="S363" s="453"/>
      <c r="T363" s="453"/>
      <c r="U363" s="453"/>
      <c r="V363" s="3" t="s">
        <v>34</v>
      </c>
      <c r="W363" s="159" t="s">
        <v>34</v>
      </c>
      <c r="AF363" t="s">
        <v>34</v>
      </c>
    </row>
    <row r="364" spans="1:32" x14ac:dyDescent="0.35">
      <c r="A364">
        <f t="shared" si="218"/>
        <v>92</v>
      </c>
      <c r="B364" s="123" t="str">
        <f t="shared" si="219"/>
        <v>Storm Shadow UK air launched cruise m.</v>
      </c>
      <c r="C364" s="31" t="s">
        <v>336</v>
      </c>
      <c r="D364" s="4" t="s">
        <v>336</v>
      </c>
      <c r="E364" s="70" t="s">
        <v>35</v>
      </c>
      <c r="F364" s="70" t="s">
        <v>35</v>
      </c>
      <c r="G364" s="70" t="s">
        <v>34</v>
      </c>
      <c r="H364" s="70" t="s">
        <v>34</v>
      </c>
      <c r="I364" s="70" t="s">
        <v>34</v>
      </c>
      <c r="J364" s="70" t="s">
        <v>34</v>
      </c>
      <c r="K364" s="149" t="s">
        <v>336</v>
      </c>
      <c r="L364" s="123" t="s">
        <v>336</v>
      </c>
      <c r="M364" s="123" t="s">
        <v>35</v>
      </c>
      <c r="N364" s="149" t="s">
        <v>2623</v>
      </c>
      <c r="O364" s="31" t="s">
        <v>402</v>
      </c>
      <c r="P364" s="51" t="s">
        <v>2623</v>
      </c>
      <c r="Q364" s="123" t="s">
        <v>2623</v>
      </c>
      <c r="R364">
        <f t="shared" si="216"/>
        <v>92</v>
      </c>
      <c r="V364" s="3" t="s">
        <v>34</v>
      </c>
      <c r="W364" s="159" t="s">
        <v>34</v>
      </c>
      <c r="AF364" t="s">
        <v>34</v>
      </c>
    </row>
    <row r="365" spans="1:32" x14ac:dyDescent="0.35">
      <c r="A365">
        <f t="shared" si="218"/>
        <v>93</v>
      </c>
      <c r="B365" s="123" t="str">
        <f t="shared" si="219"/>
        <v>AGM-86 ALCM-B/C/D US air to ground cruise missile 1430 kg, now replaced by JASSM fired from B52</v>
      </c>
      <c r="C365" s="51" t="s">
        <v>1125</v>
      </c>
      <c r="D365" s="4"/>
      <c r="E365" s="70" t="s">
        <v>35</v>
      </c>
      <c r="F365" s="70" t="s">
        <v>35</v>
      </c>
      <c r="G365" s="70" t="s">
        <v>34</v>
      </c>
      <c r="H365" s="70" t="s">
        <v>34</v>
      </c>
      <c r="I365" s="70" t="s">
        <v>34</v>
      </c>
      <c r="J365" s="70" t="s">
        <v>34</v>
      </c>
      <c r="K365" s="123" t="s">
        <v>1125</v>
      </c>
      <c r="L365" s="123" t="s">
        <v>1125</v>
      </c>
      <c r="M365" s="123" t="s">
        <v>1125</v>
      </c>
      <c r="N365" s="123" t="s">
        <v>1125</v>
      </c>
      <c r="O365" s="123" t="s">
        <v>1125</v>
      </c>
      <c r="P365" s="51"/>
      <c r="Q365" s="123"/>
      <c r="R365">
        <f t="shared" si="216"/>
        <v>93</v>
      </c>
      <c r="W365" s="159" t="s">
        <v>34</v>
      </c>
      <c r="AF365" t="s">
        <v>34</v>
      </c>
    </row>
    <row r="366" spans="1:32" x14ac:dyDescent="0.35">
      <c r="A366">
        <f t="shared" si="218"/>
        <v>94</v>
      </c>
      <c r="B366" s="123" t="str">
        <f t="shared" si="219"/>
        <v>Typhon or MRC Mk 70 Mod 1 ground launcher, for Tomahawk &amp; SM-6 &amp; and most likely LRASM or AGM-158c-ER because the Mk 70 Mod 1 is a variant of the Mk41 that is confirmed to launch LRASMs. See https://youtu.be/XqZZk5x5KIQ?si=Bts8I8_cIVkkJftY&amp;t=273</v>
      </c>
      <c r="C366" s="51" t="s">
        <v>1102</v>
      </c>
      <c r="D366" s="180" t="s">
        <v>1984</v>
      </c>
      <c r="E366" s="70" t="s">
        <v>35</v>
      </c>
      <c r="F366" s="70" t="s">
        <v>35</v>
      </c>
      <c r="G366" s="70" t="s">
        <v>34</v>
      </c>
      <c r="H366" s="70" t="s">
        <v>34</v>
      </c>
      <c r="I366" s="70" t="s">
        <v>34</v>
      </c>
      <c r="J366" s="70" t="s">
        <v>34</v>
      </c>
      <c r="K366" s="123" t="s">
        <v>1102</v>
      </c>
      <c r="L366" s="123" t="s">
        <v>1102</v>
      </c>
      <c r="M366" s="123" t="s">
        <v>1102</v>
      </c>
      <c r="N366" s="123" t="s">
        <v>1102</v>
      </c>
      <c r="O366" s="149" t="s">
        <v>2582</v>
      </c>
      <c r="P366" s="149" t="s">
        <v>2582</v>
      </c>
      <c r="Q366" s="123" t="s">
        <v>2658</v>
      </c>
      <c r="R366">
        <f t="shared" si="216"/>
        <v>94</v>
      </c>
      <c r="W366" s="159" t="s">
        <v>34</v>
      </c>
      <c r="AF366" t="s">
        <v>34</v>
      </c>
    </row>
    <row r="367" spans="1:32" x14ac:dyDescent="0.35">
      <c r="A367">
        <f t="shared" si="218"/>
        <v>95</v>
      </c>
      <c r="B367" s="123" t="str">
        <f t="shared" si="219"/>
        <v xml:space="preserve"> - Tomahawk Block V US navy cruise missile, 1300kg and 1600 kg, 6.25m with booster. It can't be launched from F16 and a reason given is that it is too heavy at 1300 kg. It may also be because no one have tried to do so because of alternatives like JASSM that weight less</v>
      </c>
      <c r="C367" s="51" t="s">
        <v>399</v>
      </c>
      <c r="D367" s="4" t="s">
        <v>399</v>
      </c>
      <c r="E367" s="70" t="s">
        <v>35</v>
      </c>
      <c r="F367" s="70" t="s">
        <v>35</v>
      </c>
      <c r="G367" s="70" t="s">
        <v>34</v>
      </c>
      <c r="H367" s="70" t="s">
        <v>34</v>
      </c>
      <c r="I367" s="70" t="s">
        <v>34</v>
      </c>
      <c r="J367" s="70" t="s">
        <v>34</v>
      </c>
      <c r="K367" s="123" t="s">
        <v>399</v>
      </c>
      <c r="L367" s="123" t="s">
        <v>399</v>
      </c>
      <c r="M367" s="123" t="s">
        <v>35</v>
      </c>
      <c r="N367" s="123" t="s">
        <v>399</v>
      </c>
      <c r="O367" s="51" t="s">
        <v>180</v>
      </c>
      <c r="P367" s="51"/>
      <c r="Q367" s="123" t="s">
        <v>2590</v>
      </c>
      <c r="R367">
        <f t="shared" si="216"/>
        <v>95</v>
      </c>
      <c r="V367" t="s">
        <v>469</v>
      </c>
      <c r="W367" s="159" t="s">
        <v>34</v>
      </c>
      <c r="Y367" t="s">
        <v>1846</v>
      </c>
      <c r="AF367" t="s">
        <v>34</v>
      </c>
    </row>
    <row r="368" spans="1:32" x14ac:dyDescent="0.35">
      <c r="A368">
        <f t="shared" si="218"/>
        <v>96</v>
      </c>
      <c r="B368" s="123" t="str">
        <f t="shared" si="219"/>
        <v xml:space="preserve"> - RIM-174 US (SM-6) ballistic missile to hit air, sea &amp; land targets, 370 km range on air targets and 500km for land targets</v>
      </c>
      <c r="C368" s="51" t="s">
        <v>1104</v>
      </c>
      <c r="D368" s="4"/>
      <c r="E368" s="70" t="s">
        <v>35</v>
      </c>
      <c r="F368" s="70" t="s">
        <v>35</v>
      </c>
      <c r="G368" s="70" t="s">
        <v>34</v>
      </c>
      <c r="H368" s="70" t="s">
        <v>34</v>
      </c>
      <c r="I368" s="70" t="s">
        <v>34</v>
      </c>
      <c r="J368" s="70" t="s">
        <v>34</v>
      </c>
      <c r="K368" s="123" t="s">
        <v>1229</v>
      </c>
      <c r="L368" s="123" t="s">
        <v>1104</v>
      </c>
      <c r="M368" s="123" t="s">
        <v>1104</v>
      </c>
      <c r="N368" s="123" t="s">
        <v>1104</v>
      </c>
      <c r="O368" s="123" t="s">
        <v>1104</v>
      </c>
      <c r="P368" s="123" t="s">
        <v>1104</v>
      </c>
      <c r="Q368" s="149" t="s">
        <v>1195</v>
      </c>
      <c r="R368">
        <f t="shared" si="216"/>
        <v>96</v>
      </c>
      <c r="W368" s="159" t="s">
        <v>1235</v>
      </c>
      <c r="AF368" t="s">
        <v>34</v>
      </c>
    </row>
    <row r="369" spans="1:32" x14ac:dyDescent="0.35">
      <c r="A369">
        <f t="shared" si="218"/>
        <v>97</v>
      </c>
      <c r="B369" s="123" t="str">
        <f t="shared" si="219"/>
        <v>AGM-158a JASSM stealth cruise m., 1021kg, can be launched from air only specifically B1, B2, B52, F15, F16, F18 and in process to be certified for launch with F35, B21 and P8 Poseidon</v>
      </c>
      <c r="C369" s="51" t="s">
        <v>1139</v>
      </c>
      <c r="D369" s="4" t="s">
        <v>597</v>
      </c>
      <c r="E369" s="70" t="s">
        <v>35</v>
      </c>
      <c r="F369" s="70" t="s">
        <v>35</v>
      </c>
      <c r="G369" s="70" t="s">
        <v>34</v>
      </c>
      <c r="H369" s="70" t="s">
        <v>34</v>
      </c>
      <c r="I369" s="70" t="s">
        <v>34</v>
      </c>
      <c r="J369" s="70" t="s">
        <v>34</v>
      </c>
      <c r="K369" s="123" t="s">
        <v>597</v>
      </c>
      <c r="L369" s="123" t="s">
        <v>1985</v>
      </c>
      <c r="M369" s="123" t="s">
        <v>35</v>
      </c>
      <c r="N369" s="123" t="s">
        <v>803</v>
      </c>
      <c r="O369" s="51" t="s">
        <v>597</v>
      </c>
      <c r="P369" s="51"/>
      <c r="Q369" s="123"/>
      <c r="R369">
        <f t="shared" si="216"/>
        <v>97</v>
      </c>
      <c r="V369" s="3" t="s">
        <v>34</v>
      </c>
      <c r="W369" s="159" t="s">
        <v>34</v>
      </c>
      <c r="Y369" t="s">
        <v>597</v>
      </c>
      <c r="AF369" t="s">
        <v>34</v>
      </c>
    </row>
    <row r="370" spans="1:32" x14ac:dyDescent="0.35">
      <c r="A370">
        <f t="shared" si="218"/>
        <v>98</v>
      </c>
      <c r="B370" s="123" t="str">
        <f t="shared" si="219"/>
        <v>AGM-158b JASSM-ER stealth cruise, 1200kg, can be launched from air only specifically B1, B2, B52, F15, F16, F18 and in process to be certified for launch with F35, B21 and P8 Poseidon</v>
      </c>
      <c r="C370" s="51" t="s">
        <v>597</v>
      </c>
      <c r="D370" s="4" t="s">
        <v>844</v>
      </c>
      <c r="E370" s="70" t="s">
        <v>35</v>
      </c>
      <c r="F370" s="70" t="s">
        <v>35</v>
      </c>
      <c r="G370" s="70" t="s">
        <v>34</v>
      </c>
      <c r="H370" s="70" t="s">
        <v>34</v>
      </c>
      <c r="I370" s="70" t="s">
        <v>34</v>
      </c>
      <c r="J370" s="70" t="s">
        <v>34</v>
      </c>
      <c r="K370" s="123" t="s">
        <v>597</v>
      </c>
      <c r="L370" s="123" t="s">
        <v>599</v>
      </c>
      <c r="M370" s="123" t="s">
        <v>35</v>
      </c>
      <c r="N370" s="123" t="s">
        <v>804</v>
      </c>
      <c r="O370" s="51" t="s">
        <v>597</v>
      </c>
      <c r="P370" s="51"/>
      <c r="Q370" s="123"/>
      <c r="R370">
        <f t="shared" si="216"/>
        <v>98</v>
      </c>
      <c r="V370" s="3" t="s">
        <v>34</v>
      </c>
      <c r="W370" s="159" t="s">
        <v>34</v>
      </c>
      <c r="Y370" t="s">
        <v>597</v>
      </c>
      <c r="AF370" t="s">
        <v>34</v>
      </c>
    </row>
    <row r="371" spans="1:32" x14ac:dyDescent="0.35">
      <c r="A371">
        <f t="shared" si="218"/>
        <v>99</v>
      </c>
      <c r="B371" s="123" t="str">
        <f t="shared" si="219"/>
        <v xml:space="preserve">AGM-158c - LRASM stealth navy cruise missile can only hit ships not ground targets 1250kg, air launch limited to F15, F16, F18, B-1B, Boing P-8 currently but in process of being expanded to other airplanes, part of JASSMs family. Also ground fired from ships using Mk 41,and most likely also land using Typhon Mk 70 Mod 1 </v>
      </c>
      <c r="C371" s="90" t="s">
        <v>873</v>
      </c>
      <c r="D371" s="4"/>
      <c r="E371" s="70"/>
      <c r="F371" s="70"/>
      <c r="G371" s="70"/>
      <c r="H371" s="70"/>
      <c r="I371" s="70"/>
      <c r="J371" s="70"/>
      <c r="K371" s="123"/>
      <c r="L371" s="123"/>
      <c r="M371" s="123"/>
      <c r="N371" s="123"/>
      <c r="O371" s="51"/>
      <c r="P371" s="51"/>
      <c r="R371">
        <f t="shared" si="216"/>
        <v>99</v>
      </c>
      <c r="V371" s="3"/>
      <c r="W371" s="159" t="s">
        <v>34</v>
      </c>
      <c r="X371" s="4" t="s">
        <v>1297</v>
      </c>
      <c r="Y371" t="s">
        <v>597</v>
      </c>
      <c r="AF371" t="s">
        <v>34</v>
      </c>
    </row>
    <row r="372" spans="1:32" x14ac:dyDescent="0.35">
      <c r="A372">
        <f t="shared" si="218"/>
        <v>100</v>
      </c>
      <c r="B372" s="123" t="str">
        <f t="shared" si="219"/>
        <v>AGM-158c - ER stealth cruise missile can hit ground targets and ships 1250kg, air launch limited to F15, F16, F18, B-1B, Boing P-8 currently but in process of being expanded to other airplanes, part of JASSMs family. Also ground fired from ships using Mk 41,and most likely also land using Typhon Mk 70 Mod 1</v>
      </c>
      <c r="C372" s="90"/>
      <c r="D372" s="4"/>
      <c r="E372" s="70"/>
      <c r="F372" s="70"/>
      <c r="G372" s="70"/>
      <c r="H372" s="70"/>
      <c r="I372" s="70"/>
      <c r="J372" s="70"/>
      <c r="K372" s="123"/>
      <c r="L372" s="123"/>
      <c r="M372" s="123"/>
      <c r="N372" s="123"/>
      <c r="O372" s="51"/>
      <c r="P372" s="51"/>
      <c r="R372">
        <f t="shared" si="216"/>
        <v>100</v>
      </c>
      <c r="V372" s="3"/>
      <c r="W372" s="159" t="s">
        <v>34</v>
      </c>
      <c r="X372" s="4" t="s">
        <v>1297</v>
      </c>
      <c r="Y372" t="s">
        <v>597</v>
      </c>
      <c r="AF372" t="s">
        <v>34</v>
      </c>
    </row>
    <row r="373" spans="1:32" x14ac:dyDescent="0.35">
      <c r="A373">
        <f t="shared" si="218"/>
        <v>101</v>
      </c>
      <c r="B373" s="123" t="str">
        <f t="shared" si="219"/>
        <v>AGM-158d - XR stealth cruise missile, can hit moving or stationary targets at sea or land. Can be launched from ships, airplanes F15, F18, B-1B, Boing P-8 and likely also from the Typhon ground launcher</v>
      </c>
      <c r="C373" s="51" t="s">
        <v>807</v>
      </c>
      <c r="D373" s="4" t="s">
        <v>844</v>
      </c>
      <c r="E373" s="70" t="s">
        <v>35</v>
      </c>
      <c r="F373" s="70" t="s">
        <v>35</v>
      </c>
      <c r="G373" s="70" t="s">
        <v>34</v>
      </c>
      <c r="H373" s="70" t="s">
        <v>34</v>
      </c>
      <c r="I373" s="70" t="s">
        <v>34</v>
      </c>
      <c r="J373" s="70" t="s">
        <v>34</v>
      </c>
      <c r="K373" s="123" t="s">
        <v>807</v>
      </c>
      <c r="L373" s="123" t="s">
        <v>599</v>
      </c>
      <c r="M373" s="123" t="s">
        <v>35</v>
      </c>
      <c r="N373" s="149" t="s">
        <v>805</v>
      </c>
      <c r="O373" s="51"/>
      <c r="P373" s="51"/>
      <c r="R373">
        <f t="shared" si="216"/>
        <v>101</v>
      </c>
      <c r="V373" s="3" t="s">
        <v>800</v>
      </c>
      <c r="W373" s="159" t="s">
        <v>34</v>
      </c>
      <c r="X373" t="s">
        <v>1296</v>
      </c>
      <c r="Y373" t="s">
        <v>597</v>
      </c>
      <c r="AF373" t="s">
        <v>34</v>
      </c>
    </row>
    <row r="374" spans="1:32" x14ac:dyDescent="0.35">
      <c r="A374">
        <f t="shared" si="218"/>
        <v>102</v>
      </c>
      <c r="B374" s="123" t="str">
        <f t="shared" si="219"/>
        <v xml:space="preserve"> - Rapid Dragon JASSM launcher by C17, C130</v>
      </c>
      <c r="C374" s="51" t="s">
        <v>838</v>
      </c>
      <c r="D374" s="467" t="s">
        <v>1986</v>
      </c>
      <c r="E374" s="70" t="s">
        <v>35</v>
      </c>
      <c r="F374" s="70" t="s">
        <v>35</v>
      </c>
      <c r="G374" s="70" t="s">
        <v>34</v>
      </c>
      <c r="H374" s="70" t="s">
        <v>34</v>
      </c>
      <c r="I374" s="70" t="s">
        <v>34</v>
      </c>
      <c r="J374" s="70"/>
      <c r="K374" s="123" t="s">
        <v>34</v>
      </c>
      <c r="L374" s="123" t="s">
        <v>34</v>
      </c>
      <c r="M374" s="123" t="s">
        <v>34</v>
      </c>
      <c r="N374" s="123" t="s">
        <v>34</v>
      </c>
      <c r="O374" s="51" t="s">
        <v>180</v>
      </c>
      <c r="P374" s="51" t="s">
        <v>34</v>
      </c>
      <c r="Q374" s="123" t="s">
        <v>34</v>
      </c>
      <c r="R374">
        <f t="shared" si="216"/>
        <v>102</v>
      </c>
      <c r="W374" s="159" t="s">
        <v>34</v>
      </c>
      <c r="AF374" t="s">
        <v>34</v>
      </c>
    </row>
    <row r="375" spans="1:32" x14ac:dyDescent="0.35">
      <c r="A375">
        <f t="shared" si="218"/>
        <v>103</v>
      </c>
      <c r="B375" s="123" t="str">
        <f t="shared" si="219"/>
        <v xml:space="preserve"> - Mark 41 VLS vertical launching system, 15 tons 8 missile navy ship launcher for LRASM, Tomahawk, others 7.7 meters tall *5*5 meters for largest rockets</v>
      </c>
      <c r="C375" s="51"/>
      <c r="D375" s="467" t="s">
        <v>1880</v>
      </c>
      <c r="E375" s="70" t="s">
        <v>35</v>
      </c>
      <c r="F375" s="70" t="s">
        <v>35</v>
      </c>
      <c r="G375" s="70" t="s">
        <v>34</v>
      </c>
      <c r="H375" s="70" t="s">
        <v>34</v>
      </c>
      <c r="I375" s="70" t="s">
        <v>34</v>
      </c>
      <c r="J375" s="70"/>
      <c r="K375" s="123"/>
      <c r="L375" s="123"/>
      <c r="M375" s="123"/>
      <c r="N375" s="123"/>
      <c r="O375" s="51"/>
      <c r="P375" s="51"/>
      <c r="Q375" s="123"/>
      <c r="R375">
        <f t="shared" si="216"/>
        <v>103</v>
      </c>
      <c r="W375" s="159" t="s">
        <v>34</v>
      </c>
      <c r="AF375" t="s">
        <v>34</v>
      </c>
    </row>
    <row r="376" spans="1:32" x14ac:dyDescent="0.35">
      <c r="A376">
        <f t="shared" si="218"/>
        <v>104</v>
      </c>
      <c r="B376" s="123" t="str">
        <f t="shared" si="219"/>
        <v xml:space="preserve"> - M1000 Heavy Equipment Transport Semi-Trailer</v>
      </c>
      <c r="C376" s="51" t="s">
        <v>1112</v>
      </c>
      <c r="D376" s="467" t="s">
        <v>180</v>
      </c>
      <c r="E376" s="70" t="s">
        <v>35</v>
      </c>
      <c r="F376" s="70" t="s">
        <v>35</v>
      </c>
      <c r="G376" s="70" t="s">
        <v>34</v>
      </c>
      <c r="H376" s="70" t="s">
        <v>34</v>
      </c>
      <c r="I376" s="70" t="s">
        <v>34</v>
      </c>
      <c r="J376" s="70"/>
      <c r="K376" s="123" t="s">
        <v>180</v>
      </c>
      <c r="L376" s="123" t="s">
        <v>1114</v>
      </c>
      <c r="M376" s="123"/>
      <c r="N376" s="123" t="s">
        <v>1112</v>
      </c>
      <c r="O376" s="123" t="s">
        <v>1112</v>
      </c>
      <c r="P376" s="123" t="s">
        <v>1112</v>
      </c>
      <c r="Q376" s="123"/>
      <c r="R376">
        <f t="shared" si="216"/>
        <v>104</v>
      </c>
      <c r="W376" s="159" t="s">
        <v>34</v>
      </c>
      <c r="AF376" t="s">
        <v>34</v>
      </c>
    </row>
    <row r="377" spans="1:32" x14ac:dyDescent="0.35">
      <c r="A377">
        <f t="shared" si="218"/>
        <v>105</v>
      </c>
      <c r="B377" s="123" t="str">
        <f t="shared" si="219"/>
        <v>HIMARS M142/M270 rocket launchers</v>
      </c>
      <c r="C377" s="51" t="s">
        <v>384</v>
      </c>
      <c r="D377" s="4" t="s">
        <v>384</v>
      </c>
      <c r="E377" s="70" t="s">
        <v>35</v>
      </c>
      <c r="F377" s="70" t="s">
        <v>35</v>
      </c>
      <c r="G377" s="70" t="s">
        <v>34</v>
      </c>
      <c r="H377" s="70" t="s">
        <v>34</v>
      </c>
      <c r="I377" s="70" t="s">
        <v>34</v>
      </c>
      <c r="J377" s="70" t="s">
        <v>34</v>
      </c>
      <c r="K377" s="123" t="s">
        <v>384</v>
      </c>
      <c r="L377" s="123" t="s">
        <v>384</v>
      </c>
      <c r="M377" s="123" t="s">
        <v>34</v>
      </c>
      <c r="N377" s="123" t="s">
        <v>34</v>
      </c>
      <c r="O377" s="51" t="s">
        <v>384</v>
      </c>
      <c r="P377" s="51"/>
      <c r="Q377" s="123"/>
      <c r="R377">
        <f t="shared" si="216"/>
        <v>105</v>
      </c>
      <c r="V377" s="3" t="s">
        <v>34</v>
      </c>
      <c r="W377" s="159" t="s">
        <v>34</v>
      </c>
      <c r="AF377" t="s">
        <v>34</v>
      </c>
    </row>
    <row r="378" spans="1:32" x14ac:dyDescent="0.35">
      <c r="A378">
        <f t="shared" si="218"/>
        <v>106</v>
      </c>
      <c r="B378" s="123" t="str">
        <f t="shared" si="219"/>
        <v xml:space="preserve"> - 610mm MGM-140 ATACMS, land launched bal. missile</v>
      </c>
      <c r="C378" s="31" t="s">
        <v>395</v>
      </c>
      <c r="D378" s="4" t="s">
        <v>395</v>
      </c>
      <c r="E378" s="70" t="s">
        <v>34</v>
      </c>
      <c r="F378" s="70" t="s">
        <v>35</v>
      </c>
      <c r="G378" s="70" t="s">
        <v>35</v>
      </c>
      <c r="H378" s="70" t="s">
        <v>34</v>
      </c>
      <c r="I378" s="70" t="s">
        <v>34</v>
      </c>
      <c r="J378" s="70" t="s">
        <v>34</v>
      </c>
      <c r="K378" s="149" t="s">
        <v>395</v>
      </c>
      <c r="L378" s="123" t="s">
        <v>395</v>
      </c>
      <c r="M378" s="123" t="s">
        <v>35</v>
      </c>
      <c r="N378" s="123" t="s">
        <v>395</v>
      </c>
      <c r="O378" s="51" t="s">
        <v>395</v>
      </c>
      <c r="P378" s="51"/>
      <c r="Q378" s="123"/>
      <c r="R378">
        <f t="shared" si="216"/>
        <v>106</v>
      </c>
      <c r="V378" s="3" t="s">
        <v>34</v>
      </c>
      <c r="W378" s="159" t="s">
        <v>34</v>
      </c>
      <c r="AF378" t="s">
        <v>34</v>
      </c>
    </row>
    <row r="379" spans="1:32" x14ac:dyDescent="0.35">
      <c r="A379">
        <f t="shared" si="218"/>
        <v>107</v>
      </c>
      <c r="B379" s="123" t="str">
        <f t="shared" si="219"/>
        <v xml:space="preserve"> - 430mm PrSM (ATACMS replacement) US ballistic missile</v>
      </c>
      <c r="C379" s="31" t="s">
        <v>384</v>
      </c>
      <c r="D379" t="s">
        <v>156</v>
      </c>
      <c r="E379" s="70" t="s">
        <v>34</v>
      </c>
      <c r="F379" s="70" t="s">
        <v>35</v>
      </c>
      <c r="G379" s="70" t="s">
        <v>35</v>
      </c>
      <c r="H379" s="70" t="s">
        <v>34</v>
      </c>
      <c r="I379" s="70" t="s">
        <v>34</v>
      </c>
      <c r="J379" s="425" t="s">
        <v>609</v>
      </c>
      <c r="K379" s="149" t="s">
        <v>384</v>
      </c>
      <c r="L379" s="123" t="s">
        <v>180</v>
      </c>
      <c r="M379" s="123" t="s">
        <v>35</v>
      </c>
      <c r="N379" s="123" t="s">
        <v>180</v>
      </c>
      <c r="O379" s="51" t="s">
        <v>387</v>
      </c>
      <c r="P379" s="51"/>
      <c r="Q379" s="123"/>
      <c r="R379">
        <f t="shared" si="216"/>
        <v>107</v>
      </c>
      <c r="V379" s="3" t="s">
        <v>34</v>
      </c>
      <c r="W379" s="159" t="s">
        <v>34</v>
      </c>
      <c r="AF379" t="s">
        <v>34</v>
      </c>
    </row>
    <row r="380" spans="1:32" x14ac:dyDescent="0.35">
      <c r="A380">
        <f t="shared" si="218"/>
        <v>108</v>
      </c>
      <c r="B380" s="123" t="str">
        <f t="shared" si="219"/>
        <v xml:space="preserve"> - PrSM Increment 4 MRBM US ballistic missile </v>
      </c>
      <c r="C380" s="31" t="s">
        <v>1184</v>
      </c>
      <c r="E380" s="70" t="s">
        <v>35</v>
      </c>
      <c r="F380" s="70" t="s">
        <v>35</v>
      </c>
      <c r="G380" s="70" t="s">
        <v>34</v>
      </c>
      <c r="H380" s="70" t="s">
        <v>34</v>
      </c>
      <c r="I380" s="70" t="s">
        <v>34</v>
      </c>
      <c r="J380" s="70" t="s">
        <v>34</v>
      </c>
      <c r="K380" s="149" t="s">
        <v>1184</v>
      </c>
      <c r="L380" s="149" t="s">
        <v>1184</v>
      </c>
      <c r="M380" s="149" t="s">
        <v>1184</v>
      </c>
      <c r="N380" s="149" t="s">
        <v>1184</v>
      </c>
      <c r="O380" s="149" t="s">
        <v>1184</v>
      </c>
      <c r="P380" s="51"/>
      <c r="Q380" s="123"/>
      <c r="R380">
        <f t="shared" si="216"/>
        <v>108</v>
      </c>
      <c r="V380" s="3"/>
      <c r="W380" s="159" t="s">
        <v>34</v>
      </c>
      <c r="AF380" t="s">
        <v>34</v>
      </c>
    </row>
    <row r="381" spans="1:32" x14ac:dyDescent="0.35">
      <c r="A381">
        <f t="shared" si="218"/>
        <v>109</v>
      </c>
      <c r="B381" s="615" t="str">
        <f t="shared" si="219"/>
        <v>LORA Israeli ballistic missile, ship or ground launch from inside standard shipping container. air launched from 2024</v>
      </c>
      <c r="C381" s="626" t="s">
        <v>1476</v>
      </c>
      <c r="D381" t="s">
        <v>202</v>
      </c>
      <c r="E381" s="585" t="s">
        <v>35</v>
      </c>
      <c r="F381" s="585" t="s">
        <v>35</v>
      </c>
      <c r="G381" s="585" t="s">
        <v>34</v>
      </c>
      <c r="H381" s="585" t="s">
        <v>34</v>
      </c>
      <c r="I381" s="585" t="s">
        <v>34</v>
      </c>
      <c r="J381" s="585" t="s">
        <v>34</v>
      </c>
      <c r="K381" s="628" t="s">
        <v>1476</v>
      </c>
      <c r="L381" s="628" t="s">
        <v>1484</v>
      </c>
      <c r="M381" s="615" t="s">
        <v>35</v>
      </c>
      <c r="N381" s="628" t="s">
        <v>1476</v>
      </c>
      <c r="O381" s="51" t="s">
        <v>180</v>
      </c>
      <c r="P381" s="629"/>
      <c r="Q381" s="615"/>
      <c r="R381">
        <f t="shared" si="216"/>
        <v>109</v>
      </c>
      <c r="V381" s="3"/>
      <c r="X381" t="s">
        <v>1511</v>
      </c>
      <c r="Y381" t="s">
        <v>1476</v>
      </c>
    </row>
    <row r="382" spans="1:32" x14ac:dyDescent="0.35">
      <c r="A382">
        <f t="shared" si="218"/>
        <v>110</v>
      </c>
      <c r="B382" s="615" t="str">
        <f t="shared" si="219"/>
        <v>Jericho III Israeli ICBM ballistic missile</v>
      </c>
      <c r="C382" s="626" t="s">
        <v>1478</v>
      </c>
      <c r="D382" s="631" t="s">
        <v>2534</v>
      </c>
      <c r="E382" s="585" t="s">
        <v>35</v>
      </c>
      <c r="F382" s="585" t="s">
        <v>35</v>
      </c>
      <c r="G382" s="585" t="s">
        <v>34</v>
      </c>
      <c r="H382" s="585" t="s">
        <v>34</v>
      </c>
      <c r="I382" s="585" t="s">
        <v>34</v>
      </c>
      <c r="J382" s="585" t="s">
        <v>34</v>
      </c>
      <c r="K382" s="628" t="s">
        <v>1478</v>
      </c>
      <c r="L382" s="628" t="s">
        <v>1519</v>
      </c>
      <c r="M382" s="615" t="s">
        <v>35</v>
      </c>
      <c r="N382" s="628" t="s">
        <v>1478</v>
      </c>
      <c r="O382" s="51" t="s">
        <v>180</v>
      </c>
      <c r="P382" s="629"/>
      <c r="Q382" s="615"/>
      <c r="R382">
        <f t="shared" si="216"/>
        <v>110</v>
      </c>
      <c r="V382" s="3"/>
    </row>
    <row r="383" spans="1:32" x14ac:dyDescent="0.35">
      <c r="A383">
        <f t="shared" si="218"/>
        <v>111</v>
      </c>
      <c r="B383" s="123" t="str">
        <f t="shared" si="219"/>
        <v>Sky Spear, ballistic missile ground to ground Taiwan made</v>
      </c>
      <c r="C383" s="85" t="s">
        <v>2515</v>
      </c>
      <c r="E383" s="70"/>
      <c r="F383" s="70"/>
      <c r="G383" s="70"/>
      <c r="H383" s="70"/>
      <c r="I383" s="70"/>
      <c r="J383" s="70"/>
      <c r="K383" s="420" t="s">
        <v>2515</v>
      </c>
      <c r="L383" s="420" t="s">
        <v>2515</v>
      </c>
      <c r="M383" s="420" t="s">
        <v>2515</v>
      </c>
      <c r="N383" s="420" t="s">
        <v>2515</v>
      </c>
      <c r="O383" s="51"/>
      <c r="P383" s="51"/>
      <c r="Q383" s="123"/>
      <c r="R383">
        <f t="shared" si="216"/>
        <v>111</v>
      </c>
      <c r="V383" s="3"/>
    </row>
    <row r="384" spans="1:32" x14ac:dyDescent="0.35">
      <c r="A384">
        <f t="shared" si="218"/>
        <v>112</v>
      </c>
      <c r="B384" s="123" t="str">
        <f t="shared" si="219"/>
        <v>Hsiung Feng IIE cruise missile ground to ground Taiwan made</v>
      </c>
      <c r="C384" s="85" t="s">
        <v>2511</v>
      </c>
      <c r="D384" s="85" t="s">
        <v>2511</v>
      </c>
      <c r="E384" s="70"/>
      <c r="F384" s="70"/>
      <c r="G384" s="70"/>
      <c r="H384" s="70"/>
      <c r="I384" s="70"/>
      <c r="J384" s="70"/>
      <c r="K384" s="420" t="s">
        <v>2511</v>
      </c>
      <c r="L384" s="420" t="s">
        <v>2511</v>
      </c>
      <c r="M384" s="420" t="s">
        <v>2511</v>
      </c>
      <c r="N384" s="420" t="s">
        <v>2511</v>
      </c>
      <c r="O384" s="420" t="s">
        <v>2511</v>
      </c>
      <c r="P384" s="420" t="s">
        <v>2511</v>
      </c>
      <c r="Q384" s="420" t="s">
        <v>2511</v>
      </c>
      <c r="R384">
        <f t="shared" si="216"/>
        <v>112</v>
      </c>
      <c r="V384" s="3"/>
    </row>
    <row r="385" spans="1:32" x14ac:dyDescent="0.35">
      <c r="A385">
        <f t="shared" si="218"/>
        <v>113</v>
      </c>
      <c r="B385" s="123" t="str">
        <f t="shared" si="219"/>
        <v>LGM-30G Minuteman III US ICBM nuclear armed</v>
      </c>
      <c r="C385" s="85" t="s">
        <v>1523</v>
      </c>
      <c r="D385" s="85" t="s">
        <v>1523</v>
      </c>
      <c r="E385" s="70" t="s">
        <v>35</v>
      </c>
      <c r="F385" s="70" t="s">
        <v>35</v>
      </c>
      <c r="G385" s="70" t="s">
        <v>34</v>
      </c>
      <c r="H385" s="70" t="s">
        <v>34</v>
      </c>
      <c r="I385" s="70" t="s">
        <v>34</v>
      </c>
      <c r="J385" s="70" t="s">
        <v>34</v>
      </c>
      <c r="K385" s="420" t="s">
        <v>1523</v>
      </c>
      <c r="L385" s="420" t="s">
        <v>1523</v>
      </c>
      <c r="M385" s="123" t="s">
        <v>35</v>
      </c>
      <c r="N385" s="420" t="s">
        <v>1523</v>
      </c>
      <c r="O385" s="420" t="s">
        <v>1523</v>
      </c>
      <c r="P385" s="420" t="s">
        <v>1523</v>
      </c>
      <c r="Q385" s="123"/>
      <c r="R385">
        <f t="shared" si="216"/>
        <v>113</v>
      </c>
      <c r="V385" s="3"/>
      <c r="W385" s="159" t="s">
        <v>1818</v>
      </c>
      <c r="X385" t="s">
        <v>1813</v>
      </c>
    </row>
    <row r="386" spans="1:32" x14ac:dyDescent="0.35">
      <c r="A386">
        <f t="shared" si="218"/>
        <v>114</v>
      </c>
      <c r="B386" s="123" t="str">
        <f t="shared" si="219"/>
        <v>Project Sundial doomsday US fusion bomb</v>
      </c>
      <c r="C386" s="51" t="s">
        <v>2403</v>
      </c>
      <c r="D386" s="51" t="s">
        <v>2403</v>
      </c>
      <c r="E386" s="70"/>
      <c r="F386" s="70"/>
      <c r="G386" s="70"/>
      <c r="H386" s="70"/>
      <c r="I386" s="70"/>
      <c r="J386" s="70"/>
      <c r="K386" s="123"/>
      <c r="L386" s="123"/>
      <c r="M386" s="123"/>
      <c r="N386" t="s">
        <v>2403</v>
      </c>
      <c r="P386" s="51"/>
      <c r="Q386" s="123"/>
      <c r="R386">
        <f t="shared" si="216"/>
        <v>114</v>
      </c>
      <c r="W386" s="159" t="s">
        <v>34</v>
      </c>
      <c r="AF386" t="s">
        <v>34</v>
      </c>
    </row>
    <row r="387" spans="1:32" x14ac:dyDescent="0.35">
      <c r="A387">
        <f t="shared" si="218"/>
        <v>115</v>
      </c>
      <c r="B387" s="487" t="str">
        <f t="shared" si="219"/>
        <v>Tsar Bomba Russian fusion bomb</v>
      </c>
      <c r="C387" s="505" t="s">
        <v>2403</v>
      </c>
      <c r="D387" s="523"/>
      <c r="E387" s="498"/>
      <c r="F387" s="498"/>
      <c r="G387" s="498"/>
      <c r="H387" s="498"/>
      <c r="I387" s="498"/>
      <c r="J387" s="498"/>
      <c r="K387" s="487"/>
      <c r="L387" s="487"/>
      <c r="M387" s="487"/>
      <c r="N387" s="506" t="s">
        <v>2403</v>
      </c>
      <c r="O387" s="506"/>
      <c r="P387" s="505"/>
      <c r="Q387" s="487"/>
      <c r="R387">
        <f t="shared" si="216"/>
        <v>115</v>
      </c>
      <c r="W387" s="159" t="s">
        <v>34</v>
      </c>
      <c r="AF387" t="s">
        <v>34</v>
      </c>
    </row>
    <row r="388" spans="1:32" x14ac:dyDescent="0.35">
      <c r="A388">
        <f t="shared" si="218"/>
        <v>116</v>
      </c>
      <c r="B388" s="123" t="str">
        <f t="shared" si="219"/>
        <v>Hiroshima, nuclear fission bomb</v>
      </c>
      <c r="C388" s="51" t="s">
        <v>2408</v>
      </c>
      <c r="D388" s="4"/>
      <c r="E388" s="70"/>
      <c r="F388" s="70"/>
      <c r="G388" s="70"/>
      <c r="H388" s="70"/>
      <c r="I388" s="70"/>
      <c r="J388" s="70"/>
      <c r="K388" s="123"/>
      <c r="L388" s="123"/>
      <c r="M388" s="123"/>
      <c r="N388" t="s">
        <v>2408</v>
      </c>
      <c r="P388" s="51"/>
      <c r="Q388" s="123"/>
      <c r="R388">
        <f t="shared" si="216"/>
        <v>116</v>
      </c>
    </row>
    <row r="389" spans="1:32" x14ac:dyDescent="0.35">
      <c r="A389">
        <f t="shared" si="218"/>
        <v>117</v>
      </c>
      <c r="B389" s="123" t="str">
        <f t="shared" si="219"/>
        <v>Dark Eagle, Long-Range Hypersonic Weapon, 7.4ton</v>
      </c>
      <c r="C389" s="31" t="s">
        <v>1186</v>
      </c>
      <c r="E389" s="70" t="s">
        <v>35</v>
      </c>
      <c r="F389" s="70" t="s">
        <v>35</v>
      </c>
      <c r="G389" s="70" t="s">
        <v>34</v>
      </c>
      <c r="H389" s="70" t="s">
        <v>34</v>
      </c>
      <c r="I389" s="70" t="s">
        <v>34</v>
      </c>
      <c r="J389" s="70" t="s">
        <v>34</v>
      </c>
      <c r="K389" s="149" t="s">
        <v>1186</v>
      </c>
      <c r="L389" s="149" t="s">
        <v>1186</v>
      </c>
      <c r="M389" s="123" t="s">
        <v>35</v>
      </c>
      <c r="N389" s="149" t="s">
        <v>1186</v>
      </c>
      <c r="O389" s="149" t="s">
        <v>1186</v>
      </c>
      <c r="P389" s="51"/>
      <c r="Q389" s="123"/>
      <c r="R389">
        <f t="shared" si="216"/>
        <v>117</v>
      </c>
      <c r="V389" s="3"/>
      <c r="W389" s="159" t="s">
        <v>34</v>
      </c>
      <c r="AF389" t="s">
        <v>34</v>
      </c>
    </row>
    <row r="390" spans="1:32" x14ac:dyDescent="0.35">
      <c r="A390">
        <f t="shared" si="218"/>
        <v>118</v>
      </c>
      <c r="B390" s="123" t="str">
        <f t="shared" si="219"/>
        <v>Taurus GE KEPD air launched cruise m.</v>
      </c>
      <c r="C390" s="31" t="s">
        <v>484</v>
      </c>
      <c r="D390" t="s">
        <v>488</v>
      </c>
      <c r="E390" s="70" t="s">
        <v>35</v>
      </c>
      <c r="F390" s="70" t="s">
        <v>35</v>
      </c>
      <c r="G390" s="70" t="s">
        <v>34</v>
      </c>
      <c r="H390" s="70" t="s">
        <v>34</v>
      </c>
      <c r="I390" s="70" t="s">
        <v>34</v>
      </c>
      <c r="J390" s="70" t="s">
        <v>34</v>
      </c>
      <c r="K390" s="149" t="s">
        <v>484</v>
      </c>
      <c r="L390" s="123" t="s">
        <v>485</v>
      </c>
      <c r="M390" s="123" t="s">
        <v>35</v>
      </c>
      <c r="N390" s="123" t="s">
        <v>486</v>
      </c>
      <c r="O390" s="51" t="s">
        <v>487</v>
      </c>
      <c r="P390" s="51"/>
      <c r="Q390" s="123"/>
      <c r="R390">
        <f t="shared" si="216"/>
        <v>118</v>
      </c>
      <c r="V390" s="3" t="s">
        <v>34</v>
      </c>
      <c r="W390" s="159" t="s">
        <v>34</v>
      </c>
      <c r="X390" t="s">
        <v>2572</v>
      </c>
      <c r="AF390" t="s">
        <v>34</v>
      </c>
    </row>
    <row r="391" spans="1:32" x14ac:dyDescent="0.35">
      <c r="A391">
        <f t="shared" si="218"/>
        <v>119</v>
      </c>
      <c r="B391" s="483" t="str">
        <f t="shared" si="219"/>
        <v>R-360 UKR Neptune anti-ship cruise missile</v>
      </c>
      <c r="C391" s="519" t="s">
        <v>1032</v>
      </c>
      <c r="D391" s="502" t="s">
        <v>34</v>
      </c>
      <c r="E391" s="486" t="s">
        <v>35</v>
      </c>
      <c r="F391" s="486" t="s">
        <v>35</v>
      </c>
      <c r="G391" s="504" t="s">
        <v>34</v>
      </c>
      <c r="H391" s="504" t="s">
        <v>34</v>
      </c>
      <c r="I391" s="479" t="s">
        <v>34</v>
      </c>
      <c r="J391" s="480" t="s">
        <v>34</v>
      </c>
      <c r="K391" s="513"/>
      <c r="L391" s="520" t="str">
        <f>AU127</f>
        <v>Chat prompt: What is the top speed in km/h of cruise missile given the following conditions: 1) It has 404 kgf thrust, 2) Its drag coefficient is Cd = 0.12, 3) The air density at sea level is rho = 1.225 kg/m^3, 4) Its frontal area is A = 0.5 m^2. Answer: 1182 km/h</v>
      </c>
      <c r="M391" s="483"/>
      <c r="N391" s="477"/>
      <c r="O391" s="477"/>
      <c r="P391" s="477"/>
      <c r="Q391" s="483"/>
      <c r="R391">
        <f t="shared" si="216"/>
        <v>119</v>
      </c>
      <c r="V391" s="3"/>
      <c r="W391" s="159" t="s">
        <v>34</v>
      </c>
      <c r="AF391" t="s">
        <v>34</v>
      </c>
    </row>
    <row r="392" spans="1:32" x14ac:dyDescent="0.35">
      <c r="A392">
        <f t="shared" si="218"/>
        <v>120</v>
      </c>
      <c r="B392" s="483" t="str">
        <f t="shared" si="219"/>
        <v>Palianytsia "big" Neptune-MD Cruise m. 980 kg by Neptune engineers using Neptune jet engine</v>
      </c>
      <c r="C392" s="477" t="s">
        <v>169</v>
      </c>
      <c r="D392" s="518" t="s">
        <v>847</v>
      </c>
      <c r="E392" s="486" t="s">
        <v>35</v>
      </c>
      <c r="F392" s="486" t="s">
        <v>35</v>
      </c>
      <c r="G392" s="504" t="s">
        <v>34</v>
      </c>
      <c r="H392" s="504" t="s">
        <v>34</v>
      </c>
      <c r="I392" s="479" t="s">
        <v>34</v>
      </c>
      <c r="J392" s="480" t="s">
        <v>34</v>
      </c>
      <c r="K392" s="483" t="s">
        <v>1988</v>
      </c>
      <c r="L392" s="520" t="str">
        <f>AU128</f>
        <v>Chat prompt: What is the top speed in km/h of cruise missile given the following conditions: 1) It has 404 kgf thrust, 2) Its drag coefficient is Cd = 0.17, 3) The air density at sea level is rho = 1.225 kg/m^3, 4) Its frontal area is A = 0.6 m^2. Answer: 908 km/h</v>
      </c>
      <c r="M392" s="483"/>
      <c r="N392" s="512"/>
      <c r="O392" s="519"/>
      <c r="P392" s="519"/>
      <c r="Q392" s="520"/>
      <c r="R392">
        <f t="shared" si="216"/>
        <v>120</v>
      </c>
      <c r="V392" s="3"/>
      <c r="W392" s="159" t="s">
        <v>34</v>
      </c>
      <c r="AF392" t="s">
        <v>34</v>
      </c>
    </row>
    <row r="393" spans="1:32" x14ac:dyDescent="0.35">
      <c r="A393">
        <f t="shared" si="218"/>
        <v>121</v>
      </c>
      <c r="B393" s="483" t="str">
        <f t="shared" si="219"/>
        <v>Palianytsia "big" Neptune-MD Cruise m. 980 kg by Neptune engineers using Neptune jet engine but now with increased fuel tank and decreased warhead</v>
      </c>
      <c r="C393" s="477" t="s">
        <v>169</v>
      </c>
      <c r="D393" s="518" t="s">
        <v>847</v>
      </c>
      <c r="E393" s="486" t="s">
        <v>35</v>
      </c>
      <c r="F393" s="486" t="s">
        <v>35</v>
      </c>
      <c r="G393" s="504" t="s">
        <v>34</v>
      </c>
      <c r="H393" s="504" t="s">
        <v>34</v>
      </c>
      <c r="I393" s="479" t="s">
        <v>34</v>
      </c>
      <c r="J393" s="480" t="s">
        <v>34</v>
      </c>
      <c r="K393" s="483" t="s">
        <v>1988</v>
      </c>
      <c r="L393" s="520" t="str">
        <f>AU129</f>
        <v>Chat prompt: What is the top speed in km/h of cruise missile given the following conditions: 1) It has 404 kgf thrust, 2) Its drag coefficient is Cd = 0.17, 3) The air density at sea level is rho = 1.225 kg/m^3, 4) Its frontal area is A = 0.6 m^2. Answer: 908 km/h</v>
      </c>
      <c r="M393" s="483"/>
      <c r="N393" s="519" t="s">
        <v>1265</v>
      </c>
      <c r="O393" s="519"/>
      <c r="P393" s="519"/>
      <c r="Q393" s="520"/>
      <c r="R393">
        <f t="shared" si="216"/>
        <v>121</v>
      </c>
      <c r="V393" s="3"/>
    </row>
    <row r="394" spans="1:32" x14ac:dyDescent="0.35">
      <c r="A394">
        <f t="shared" si="218"/>
        <v>122</v>
      </c>
      <c r="B394" s="477" t="str">
        <f t="shared" si="219"/>
        <v>Palianytsia "biggest"  Cruise m. 1.2 ton by Neptune engineers using imported JASSM-ER jet engine, warhead, navigation, homing and EW systems</v>
      </c>
      <c r="C394" s="477"/>
      <c r="D394" s="518"/>
      <c r="E394" s="486" t="s">
        <v>35</v>
      </c>
      <c r="F394" s="486" t="s">
        <v>35</v>
      </c>
      <c r="G394" s="504" t="s">
        <v>34</v>
      </c>
      <c r="H394" s="504" t="s">
        <v>34</v>
      </c>
      <c r="I394" s="479" t="s">
        <v>34</v>
      </c>
      <c r="J394" s="480" t="s">
        <v>34</v>
      </c>
      <c r="K394" s="483"/>
      <c r="L394" s="513"/>
      <c r="M394" s="483"/>
      <c r="N394" s="512"/>
      <c r="O394" s="519"/>
      <c r="P394" s="519"/>
      <c r="Q394" s="520"/>
      <c r="R394">
        <f t="shared" si="216"/>
        <v>122</v>
      </c>
      <c r="S394" s="451"/>
      <c r="T394" s="451"/>
      <c r="U394" s="451"/>
      <c r="V394" s="3" t="s">
        <v>34</v>
      </c>
      <c r="W394" s="159" t="s">
        <v>34</v>
      </c>
      <c r="AF394" t="s">
        <v>34</v>
      </c>
    </row>
    <row r="395" spans="1:32" x14ac:dyDescent="0.35">
      <c r="A395">
        <f t="shared" si="218"/>
        <v>123</v>
      </c>
      <c r="B395" s="477" t="str">
        <f t="shared" si="219"/>
        <v>Hrim-2 UKR ballistic missile dev. Project land launched</v>
      </c>
      <c r="C395" s="477" t="s">
        <v>849</v>
      </c>
      <c r="D395" s="518" t="s">
        <v>851</v>
      </c>
      <c r="E395" s="486" t="s">
        <v>35</v>
      </c>
      <c r="F395" s="486" t="s">
        <v>35</v>
      </c>
      <c r="G395" s="504" t="s">
        <v>34</v>
      </c>
      <c r="H395" s="504" t="s">
        <v>34</v>
      </c>
      <c r="I395" s="479" t="s">
        <v>34</v>
      </c>
      <c r="J395" s="480" t="s">
        <v>34</v>
      </c>
      <c r="K395" s="483" t="s">
        <v>849</v>
      </c>
      <c r="L395" s="483" t="s">
        <v>1017</v>
      </c>
      <c r="M395" s="483" t="s">
        <v>35</v>
      </c>
      <c r="N395" s="483" t="s">
        <v>850</v>
      </c>
      <c r="O395" s="519" t="s">
        <v>180</v>
      </c>
      <c r="P395" s="519"/>
      <c r="Q395" s="520"/>
      <c r="R395">
        <f t="shared" si="216"/>
        <v>123</v>
      </c>
      <c r="S395" s="451"/>
      <c r="T395" s="451"/>
      <c r="U395" s="451"/>
      <c r="V395" s="3"/>
      <c r="W395" s="159" t="s">
        <v>34</v>
      </c>
      <c r="AF395" t="s">
        <v>34</v>
      </c>
    </row>
    <row r="396" spans="1:32" x14ac:dyDescent="0.35">
      <c r="A396">
        <f t="shared" si="218"/>
        <v>124</v>
      </c>
      <c r="B396" s="487" t="str">
        <f t="shared" si="219"/>
        <v>Iskander Rus ballistic missile ground l. 4ton, Ukr shoot 50% down</v>
      </c>
      <c r="C396" s="505" t="s">
        <v>519</v>
      </c>
      <c r="D396" s="523" t="s">
        <v>519</v>
      </c>
      <c r="E396" s="498" t="s">
        <v>35</v>
      </c>
      <c r="F396" s="498" t="s">
        <v>35</v>
      </c>
      <c r="G396" s="498" t="s">
        <v>34</v>
      </c>
      <c r="H396" s="498" t="s">
        <v>34</v>
      </c>
      <c r="I396" s="498" t="s">
        <v>34</v>
      </c>
      <c r="J396" s="498" t="s">
        <v>34</v>
      </c>
      <c r="K396" s="487" t="s">
        <v>519</v>
      </c>
      <c r="L396" s="487" t="s">
        <v>519</v>
      </c>
      <c r="M396" s="487" t="s">
        <v>35</v>
      </c>
      <c r="N396" s="487" t="s">
        <v>519</v>
      </c>
      <c r="O396" s="505" t="s">
        <v>549</v>
      </c>
      <c r="P396" s="505"/>
      <c r="Q396" s="487"/>
      <c r="R396">
        <f t="shared" si="216"/>
        <v>124</v>
      </c>
      <c r="V396" s="3" t="s">
        <v>34</v>
      </c>
      <c r="W396" s="159" t="s">
        <v>34</v>
      </c>
      <c r="AF396" t="s">
        <v>34</v>
      </c>
    </row>
    <row r="397" spans="1:32" x14ac:dyDescent="0.35">
      <c r="A397">
        <f t="shared" si="218"/>
        <v>125</v>
      </c>
      <c r="B397" s="487" t="s">
        <v>551</v>
      </c>
      <c r="C397" s="505" t="s">
        <v>554</v>
      </c>
      <c r="D397" s="506" t="s">
        <v>554</v>
      </c>
      <c r="E397" s="498" t="s">
        <v>35</v>
      </c>
      <c r="F397" s="498" t="s">
        <v>35</v>
      </c>
      <c r="G397" s="498" t="s">
        <v>34</v>
      </c>
      <c r="H397" s="498" t="s">
        <v>34</v>
      </c>
      <c r="I397" s="498" t="s">
        <v>34</v>
      </c>
      <c r="J397" s="498" t="s">
        <v>34</v>
      </c>
      <c r="K397" s="487" t="s">
        <v>554</v>
      </c>
      <c r="L397" s="487" t="s">
        <v>554</v>
      </c>
      <c r="M397" s="487" t="s">
        <v>35</v>
      </c>
      <c r="N397" s="487" t="s">
        <v>554</v>
      </c>
      <c r="O397" s="505" t="s">
        <v>550</v>
      </c>
      <c r="P397" s="505"/>
      <c r="Q397" s="487"/>
      <c r="R397">
        <f t="shared" si="216"/>
        <v>125</v>
      </c>
      <c r="V397" s="3" t="s">
        <v>34</v>
      </c>
      <c r="W397" s="159" t="s">
        <v>34</v>
      </c>
      <c r="AF397" t="s">
        <v>34</v>
      </c>
    </row>
    <row r="398" spans="1:32" x14ac:dyDescent="0.35">
      <c r="A398">
        <f t="shared" si="218"/>
        <v>126</v>
      </c>
      <c r="B398" s="487" t="str">
        <f>B134</f>
        <v>Kh-101 Rus cruise missile air launched, Ukr shoot 85% down</v>
      </c>
      <c r="C398" s="505" t="s">
        <v>527</v>
      </c>
      <c r="D398" s="506" t="s">
        <v>530</v>
      </c>
      <c r="E398" s="498" t="s">
        <v>35</v>
      </c>
      <c r="F398" s="498" t="s">
        <v>35</v>
      </c>
      <c r="G398" s="498" t="s">
        <v>34</v>
      </c>
      <c r="H398" s="498" t="s">
        <v>34</v>
      </c>
      <c r="I398" s="498" t="s">
        <v>34</v>
      </c>
      <c r="J398" s="498" t="s">
        <v>34</v>
      </c>
      <c r="K398" s="487" t="s">
        <v>527</v>
      </c>
      <c r="L398" s="487" t="s">
        <v>528</v>
      </c>
      <c r="M398" s="487" t="s">
        <v>35</v>
      </c>
      <c r="N398" s="487" t="s">
        <v>529</v>
      </c>
      <c r="O398" s="505" t="s">
        <v>525</v>
      </c>
      <c r="P398" s="505"/>
      <c r="Q398" s="487"/>
      <c r="R398">
        <f t="shared" si="216"/>
        <v>126</v>
      </c>
      <c r="V398" t="s">
        <v>526</v>
      </c>
      <c r="W398" s="159" t="s">
        <v>34</v>
      </c>
      <c r="AF398" t="s">
        <v>34</v>
      </c>
    </row>
    <row r="399" spans="1:32" x14ac:dyDescent="0.35">
      <c r="A399">
        <f t="shared" si="218"/>
        <v>127</v>
      </c>
      <c r="B399" s="487" t="str">
        <f>B135</f>
        <v>Kalibr RUS sea launched</v>
      </c>
      <c r="C399" s="505" t="s">
        <v>555</v>
      </c>
      <c r="D399" s="506" t="s">
        <v>555</v>
      </c>
      <c r="E399" s="498" t="s">
        <v>35</v>
      </c>
      <c r="F399" s="498" t="s">
        <v>35</v>
      </c>
      <c r="G399" s="498" t="s">
        <v>34</v>
      </c>
      <c r="H399" s="498" t="s">
        <v>34</v>
      </c>
      <c r="I399" s="498" t="s">
        <v>34</v>
      </c>
      <c r="J399" s="498" t="s">
        <v>34</v>
      </c>
      <c r="K399" s="487" t="s">
        <v>555</v>
      </c>
      <c r="L399" s="487" t="s">
        <v>555</v>
      </c>
      <c r="M399" s="487" t="s">
        <v>35</v>
      </c>
      <c r="N399" s="487" t="s">
        <v>555</v>
      </c>
      <c r="O399" s="505" t="s">
        <v>550</v>
      </c>
      <c r="P399" s="505"/>
      <c r="Q399" s="487"/>
      <c r="R399">
        <f t="shared" si="216"/>
        <v>127</v>
      </c>
      <c r="V399" s="3" t="s">
        <v>34</v>
      </c>
      <c r="W399" s="159" t="s">
        <v>34</v>
      </c>
      <c r="AF399" t="s">
        <v>34</v>
      </c>
    </row>
    <row r="400" spans="1:32" x14ac:dyDescent="0.35">
      <c r="A400">
        <f t="shared" si="218"/>
        <v>128</v>
      </c>
      <c r="B400" s="487" t="str">
        <f>B136</f>
        <v>Kh-47M2 Kinzhal RUS air launched</v>
      </c>
      <c r="C400" s="505" t="s">
        <v>545</v>
      </c>
      <c r="D400" s="506" t="s">
        <v>545</v>
      </c>
      <c r="E400" s="498" t="s">
        <v>35</v>
      </c>
      <c r="F400" s="498" t="s">
        <v>35</v>
      </c>
      <c r="G400" s="498" t="s">
        <v>34</v>
      </c>
      <c r="H400" s="498" t="s">
        <v>34</v>
      </c>
      <c r="I400" s="498" t="s">
        <v>34</v>
      </c>
      <c r="J400" s="498" t="s">
        <v>34</v>
      </c>
      <c r="K400" s="487" t="s">
        <v>545</v>
      </c>
      <c r="L400" s="487" t="s">
        <v>545</v>
      </c>
      <c r="M400" s="487" t="s">
        <v>35</v>
      </c>
      <c r="N400" s="487" t="s">
        <v>546</v>
      </c>
      <c r="O400" s="505" t="s">
        <v>547</v>
      </c>
      <c r="P400" s="505"/>
      <c r="Q400" s="487"/>
      <c r="R400">
        <f t="shared" si="216"/>
        <v>128</v>
      </c>
      <c r="V400" s="3" t="s">
        <v>34</v>
      </c>
      <c r="W400" s="159" t="s">
        <v>34</v>
      </c>
      <c r="AF400" t="s">
        <v>34</v>
      </c>
    </row>
    <row r="401" spans="1:32" x14ac:dyDescent="0.35">
      <c r="A401">
        <f t="shared" si="218"/>
        <v>129</v>
      </c>
      <c r="B401" s="487" t="str">
        <f>B137</f>
        <v>RS-26 Rubezh Russian ICBM barely</v>
      </c>
      <c r="C401" s="505" t="s">
        <v>2810</v>
      </c>
      <c r="D401" s="506" t="s">
        <v>2815</v>
      </c>
      <c r="E401" s="498"/>
      <c r="F401" s="498"/>
      <c r="G401" s="498"/>
      <c r="H401" s="498"/>
      <c r="I401" s="498"/>
      <c r="J401" s="498"/>
      <c r="K401" s="487" t="s">
        <v>2810</v>
      </c>
      <c r="L401" s="487" t="s">
        <v>2810</v>
      </c>
      <c r="M401" s="487" t="s">
        <v>2810</v>
      </c>
      <c r="N401" s="487" t="s">
        <v>2810</v>
      </c>
      <c r="O401" s="505"/>
      <c r="P401" s="505"/>
      <c r="Q401" s="487"/>
      <c r="R401">
        <f t="shared" si="216"/>
        <v>129</v>
      </c>
      <c r="V401" s="3" t="s">
        <v>34</v>
      </c>
      <c r="W401" s="159" t="s">
        <v>2810</v>
      </c>
      <c r="AE401" t="s">
        <v>2810</v>
      </c>
      <c r="AF401" t="s">
        <v>34</v>
      </c>
    </row>
    <row r="402" spans="1:32" x14ac:dyDescent="0.35">
      <c r="A402">
        <f t="shared" si="218"/>
        <v>130</v>
      </c>
      <c r="B402" s="123"/>
      <c r="C402" s="51"/>
      <c r="E402" s="70"/>
      <c r="F402" s="70"/>
      <c r="G402" s="70"/>
      <c r="H402" s="70"/>
      <c r="I402" s="70"/>
      <c r="J402" s="70"/>
      <c r="K402" s="123"/>
      <c r="L402" s="123"/>
      <c r="M402" s="123"/>
      <c r="N402" s="123"/>
      <c r="O402" s="51"/>
      <c r="P402" s="51"/>
      <c r="Q402" s="123"/>
      <c r="R402">
        <f t="shared" si="216"/>
        <v>130</v>
      </c>
      <c r="V402" s="3" t="s">
        <v>34</v>
      </c>
      <c r="W402" s="159" t="s">
        <v>34</v>
      </c>
      <c r="AF402" t="s">
        <v>34</v>
      </c>
    </row>
    <row r="403" spans="1:32" x14ac:dyDescent="0.35">
      <c r="A403">
        <f t="shared" si="218"/>
        <v>131</v>
      </c>
      <c r="B403" s="123"/>
      <c r="C403" s="51"/>
      <c r="E403" s="70"/>
      <c r="F403" s="70"/>
      <c r="G403" s="70"/>
      <c r="H403" s="70"/>
      <c r="I403" s="70"/>
      <c r="J403" s="70"/>
      <c r="K403" s="123"/>
      <c r="L403" s="123"/>
      <c r="M403" s="123"/>
      <c r="N403" s="123"/>
      <c r="O403" s="51"/>
      <c r="P403" s="51"/>
      <c r="Q403" s="123"/>
      <c r="R403">
        <f t="shared" si="216"/>
        <v>131</v>
      </c>
      <c r="V403" s="3" t="s">
        <v>34</v>
      </c>
      <c r="W403" s="159" t="s">
        <v>34</v>
      </c>
      <c r="AF403" t="s">
        <v>34</v>
      </c>
    </row>
    <row r="404" spans="1:32" x14ac:dyDescent="0.35">
      <c r="A404">
        <f t="shared" si="218"/>
        <v>132</v>
      </c>
      <c r="B404" s="189" t="str">
        <f t="shared" ref="B404:B437" si="220">B140</f>
        <v>Anti-aircraft systems (ground based)</v>
      </c>
      <c r="C404" s="186"/>
      <c r="D404" s="183"/>
      <c r="E404" s="187"/>
      <c r="F404" s="187"/>
      <c r="G404" s="193"/>
      <c r="H404" s="414"/>
      <c r="I404" s="182"/>
      <c r="J404" s="415"/>
      <c r="K404" s="391"/>
      <c r="L404" s="393"/>
      <c r="M404" s="388"/>
      <c r="N404" s="190"/>
      <c r="O404" s="431"/>
      <c r="P404" s="431"/>
      <c r="Q404" s="190"/>
      <c r="R404">
        <f t="shared" ref="R404:R470" si="221">R403+1</f>
        <v>132</v>
      </c>
      <c r="S404" s="454"/>
      <c r="T404" s="454"/>
      <c r="U404" s="454"/>
      <c r="V404" s="3" t="s">
        <v>34</v>
      </c>
      <c r="W404" s="159" t="s">
        <v>34</v>
      </c>
      <c r="AF404" t="s">
        <v>34</v>
      </c>
    </row>
    <row r="405" spans="1:32" x14ac:dyDescent="0.35">
      <c r="A405">
        <f t="shared" si="218"/>
        <v>133</v>
      </c>
      <c r="B405" s="123" t="str">
        <f t="shared" si="220"/>
        <v>Patriot battery w. radar launchers and control</v>
      </c>
      <c r="C405" s="417" t="s">
        <v>34</v>
      </c>
      <c r="D405" t="s">
        <v>418</v>
      </c>
      <c r="E405" s="70" t="s">
        <v>35</v>
      </c>
      <c r="F405" s="70" t="s">
        <v>34</v>
      </c>
      <c r="G405" s="70" t="s">
        <v>34</v>
      </c>
      <c r="H405" s="70" t="s">
        <v>34</v>
      </c>
      <c r="I405" s="70" t="s">
        <v>34</v>
      </c>
      <c r="J405" s="70" t="s">
        <v>34</v>
      </c>
      <c r="K405" s="175" t="s">
        <v>34</v>
      </c>
      <c r="L405" s="175" t="s">
        <v>34</v>
      </c>
      <c r="M405" s="175" t="s">
        <v>34</v>
      </c>
      <c r="N405" s="175" t="s">
        <v>34</v>
      </c>
      <c r="O405" s="51" t="s">
        <v>418</v>
      </c>
      <c r="P405" s="51"/>
      <c r="Q405" s="123"/>
      <c r="R405">
        <f t="shared" si="221"/>
        <v>133</v>
      </c>
      <c r="V405" s="3" t="s">
        <v>34</v>
      </c>
      <c r="W405" s="159" t="s">
        <v>34</v>
      </c>
      <c r="AF405" t="s">
        <v>34</v>
      </c>
    </row>
    <row r="406" spans="1:32" x14ac:dyDescent="0.35">
      <c r="A406">
        <f t="shared" si="218"/>
        <v>134</v>
      </c>
      <c r="B406" s="123" t="str">
        <f t="shared" si="220"/>
        <v xml:space="preserve"> - Patriot PAC-3 MSE missile active radar seeker</v>
      </c>
      <c r="C406" s="51" t="s">
        <v>421</v>
      </c>
      <c r="D406" t="s">
        <v>420</v>
      </c>
      <c r="E406" s="70" t="s">
        <v>35</v>
      </c>
      <c r="F406" s="70" t="s">
        <v>35</v>
      </c>
      <c r="G406" s="70" t="s">
        <v>35</v>
      </c>
      <c r="H406" s="70" t="s">
        <v>34</v>
      </c>
      <c r="I406" s="70" t="s">
        <v>34</v>
      </c>
      <c r="J406" s="70" t="s">
        <v>34</v>
      </c>
      <c r="K406" s="123" t="s">
        <v>421</v>
      </c>
      <c r="L406" s="123" t="s">
        <v>421</v>
      </c>
      <c r="M406" s="123" t="s">
        <v>35</v>
      </c>
      <c r="N406" s="123" t="s">
        <v>422</v>
      </c>
      <c r="O406" s="51" t="s">
        <v>421</v>
      </c>
      <c r="P406" s="51"/>
      <c r="Q406" s="123"/>
      <c r="R406">
        <f t="shared" si="221"/>
        <v>134</v>
      </c>
      <c r="V406" s="3" t="s">
        <v>34</v>
      </c>
      <c r="W406" s="159" t="s">
        <v>34</v>
      </c>
      <c r="AF406" t="s">
        <v>34</v>
      </c>
    </row>
    <row r="407" spans="1:32" x14ac:dyDescent="0.35">
      <c r="A407">
        <f t="shared" si="218"/>
        <v>135</v>
      </c>
      <c r="B407" s="123" t="str">
        <f t="shared" si="220"/>
        <v xml:space="preserve"> - Patriot E PAC-2 MSE missile semi active radar depend on external radar illuminating target</v>
      </c>
      <c r="C407" s="51" t="s">
        <v>421</v>
      </c>
      <c r="D407" t="s">
        <v>420</v>
      </c>
      <c r="E407" s="70" t="s">
        <v>35</v>
      </c>
      <c r="F407" s="70" t="s">
        <v>35</v>
      </c>
      <c r="G407" s="70" t="s">
        <v>34</v>
      </c>
      <c r="H407" s="70" t="s">
        <v>34</v>
      </c>
      <c r="I407" s="70" t="s">
        <v>34</v>
      </c>
      <c r="J407" s="70" t="s">
        <v>34</v>
      </c>
      <c r="K407" s="123" t="s">
        <v>421</v>
      </c>
      <c r="L407" s="123" t="s">
        <v>421</v>
      </c>
      <c r="M407" s="123" t="s">
        <v>35</v>
      </c>
      <c r="N407" s="123" t="s">
        <v>421</v>
      </c>
      <c r="O407" s="123" t="s">
        <v>421</v>
      </c>
      <c r="P407" s="51"/>
      <c r="Q407" s="123"/>
      <c r="R407">
        <f t="shared" si="221"/>
        <v>135</v>
      </c>
      <c r="V407" s="3" t="s">
        <v>34</v>
      </c>
      <c r="W407" s="159" t="s">
        <v>34</v>
      </c>
      <c r="AF407" t="s">
        <v>34</v>
      </c>
    </row>
    <row r="408" spans="1:32" x14ac:dyDescent="0.35">
      <c r="A408">
        <f t="shared" si="218"/>
        <v>136</v>
      </c>
      <c r="B408" s="123" t="str">
        <f t="shared" si="220"/>
        <v xml:space="preserve"> - Patriot SkyCeptor (PAAC-4) US, Israel, two stage rocket, IR seeker; active radar seeker</v>
      </c>
      <c r="C408" s="51" t="s">
        <v>1179</v>
      </c>
      <c r="D408" t="s">
        <v>1179</v>
      </c>
      <c r="E408" s="70" t="s">
        <v>35</v>
      </c>
      <c r="F408" s="70" t="s">
        <v>35</v>
      </c>
      <c r="G408" s="70" t="s">
        <v>34</v>
      </c>
      <c r="H408" s="70" t="s">
        <v>34</v>
      </c>
      <c r="I408" s="70" t="s">
        <v>34</v>
      </c>
      <c r="J408" s="70" t="s">
        <v>34</v>
      </c>
      <c r="K408" s="123" t="s">
        <v>1179</v>
      </c>
      <c r="L408" s="123" t="s">
        <v>1179</v>
      </c>
      <c r="M408" s="123" t="s">
        <v>35</v>
      </c>
      <c r="N408" s="123" t="s">
        <v>1179</v>
      </c>
      <c r="O408" s="123" t="s">
        <v>1179</v>
      </c>
      <c r="P408" s="51"/>
      <c r="Q408" s="123"/>
      <c r="R408">
        <f t="shared" si="221"/>
        <v>136</v>
      </c>
      <c r="V408" s="3" t="s">
        <v>34</v>
      </c>
      <c r="W408" s="159" t="s">
        <v>34</v>
      </c>
      <c r="AF408" t="s">
        <v>34</v>
      </c>
    </row>
    <row r="409" spans="1:32" x14ac:dyDescent="0.35">
      <c r="A409">
        <f t="shared" si="218"/>
        <v>137</v>
      </c>
      <c r="B409" s="123" t="str">
        <f t="shared" si="220"/>
        <v>THAAD anti-ballistic missile defense system</v>
      </c>
      <c r="C409" s="51" t="s">
        <v>1491</v>
      </c>
      <c r="D409" t="s">
        <v>1491</v>
      </c>
      <c r="E409" s="70" t="s">
        <v>35</v>
      </c>
      <c r="F409" s="70" t="s">
        <v>35</v>
      </c>
      <c r="G409" s="70" t="s">
        <v>34</v>
      </c>
      <c r="H409" s="70" t="s">
        <v>34</v>
      </c>
      <c r="I409" s="70" t="s">
        <v>34</v>
      </c>
      <c r="J409" s="70" t="s">
        <v>34</v>
      </c>
      <c r="K409" s="123"/>
      <c r="L409" s="123"/>
      <c r="M409" s="123"/>
      <c r="N409" s="123"/>
      <c r="O409" s="123"/>
      <c r="P409" s="51" t="s">
        <v>1490</v>
      </c>
      <c r="Q409" s="123"/>
      <c r="R409">
        <f t="shared" si="221"/>
        <v>137</v>
      </c>
      <c r="V409" t="s">
        <v>1490</v>
      </c>
    </row>
    <row r="410" spans="1:32" x14ac:dyDescent="0.35">
      <c r="A410">
        <f t="shared" si="218"/>
        <v>138</v>
      </c>
      <c r="B410" s="123" t="str">
        <f t="shared" si="220"/>
        <v xml:space="preserve"> - THAAD missiles</v>
      </c>
      <c r="C410" s="51" t="s">
        <v>1491</v>
      </c>
      <c r="D410" t="s">
        <v>1491</v>
      </c>
      <c r="E410" s="70" t="s">
        <v>35</v>
      </c>
      <c r="F410" s="70" t="s">
        <v>35</v>
      </c>
      <c r="G410" s="70" t="s">
        <v>34</v>
      </c>
      <c r="H410" s="70" t="s">
        <v>34</v>
      </c>
      <c r="I410" s="70" t="s">
        <v>34</v>
      </c>
      <c r="J410" s="70" t="s">
        <v>34</v>
      </c>
      <c r="K410" s="123"/>
      <c r="L410" s="123"/>
      <c r="M410" s="123"/>
      <c r="N410" s="123"/>
      <c r="O410" s="123"/>
      <c r="P410" s="51" t="s">
        <v>1490</v>
      </c>
      <c r="Q410" s="123"/>
      <c r="R410">
        <f t="shared" si="221"/>
        <v>138</v>
      </c>
      <c r="V410" s="3"/>
    </row>
    <row r="411" spans="1:32" x14ac:dyDescent="0.35">
      <c r="A411">
        <f t="shared" si="218"/>
        <v>139</v>
      </c>
      <c r="B411" s="123" t="str">
        <f t="shared" si="220"/>
        <v>RIM-161 Standard Missile 3 (SM-3 Blk IIA) anti-ballistic missile and anti-satellite interceptor can go 1000 km up. Anti-aircraft capability is not an official capability and is most likely not possible with current kill vehicle design that looks fragile and most likely cant operate in dense atmosphere where an aircraft would be. Also kill vehicle does not have any propulsion only small course correction thrusters. This drastically limit maneuverability and the probability it can hit an aircraft or a ballistic missile that can make evasive maneuvers to avoid getting hit. IMO the weapon is useless for future wars.</v>
      </c>
      <c r="C411" s="51" t="s">
        <v>1480</v>
      </c>
      <c r="D411" t="s">
        <v>1480</v>
      </c>
      <c r="E411" s="70" t="s">
        <v>35</v>
      </c>
      <c r="F411" s="70" t="s">
        <v>35</v>
      </c>
      <c r="G411" s="70" t="s">
        <v>34</v>
      </c>
      <c r="H411" s="70" t="s">
        <v>34</v>
      </c>
      <c r="I411" s="70" t="s">
        <v>34</v>
      </c>
      <c r="J411" s="70" t="s">
        <v>34</v>
      </c>
      <c r="K411" s="395" t="s">
        <v>1885</v>
      </c>
      <c r="L411" s="149" t="s">
        <v>1480</v>
      </c>
      <c r="M411" s="123" t="s">
        <v>35</v>
      </c>
      <c r="N411" s="123" t="s">
        <v>1480</v>
      </c>
      <c r="O411" s="123" t="s">
        <v>1481</v>
      </c>
      <c r="P411" s="51"/>
      <c r="Q411" s="123"/>
      <c r="R411">
        <f t="shared" si="221"/>
        <v>139</v>
      </c>
      <c r="V411" s="3"/>
      <c r="W411" s="551" t="s">
        <v>1883</v>
      </c>
    </row>
    <row r="412" spans="1:32" x14ac:dyDescent="0.35">
      <c r="A412">
        <f t="shared" si="218"/>
        <v>140</v>
      </c>
      <c r="B412" s="615" t="str">
        <f t="shared" si="220"/>
        <v xml:space="preserve">Arrow 3 Israeli anti-ballistic missile and anti-satellite. Israeli home build alternative to SM-3. </v>
      </c>
      <c r="C412" s="629" t="s">
        <v>1407</v>
      </c>
      <c r="D412" s="631" t="s">
        <v>2555</v>
      </c>
      <c r="E412" s="585" t="s">
        <v>35</v>
      </c>
      <c r="F412" s="585" t="s">
        <v>35</v>
      </c>
      <c r="G412" s="585" t="s">
        <v>34</v>
      </c>
      <c r="H412" s="585" t="s">
        <v>34</v>
      </c>
      <c r="I412" s="585" t="s">
        <v>34</v>
      </c>
      <c r="J412" s="585" t="s">
        <v>34</v>
      </c>
      <c r="K412" s="627" t="s">
        <v>1407</v>
      </c>
      <c r="L412" s="631" t="s">
        <v>2659</v>
      </c>
      <c r="M412" s="615" t="s">
        <v>35</v>
      </c>
      <c r="N412" s="627" t="s">
        <v>1881</v>
      </c>
      <c r="O412" s="631" t="s">
        <v>1407</v>
      </c>
      <c r="P412" s="629"/>
      <c r="Q412" s="615"/>
      <c r="R412">
        <f t="shared" si="221"/>
        <v>140</v>
      </c>
      <c r="V412" t="s">
        <v>2016</v>
      </c>
      <c r="W412" s="159" t="s">
        <v>2034</v>
      </c>
      <c r="X412" s="4" t="s">
        <v>1867</v>
      </c>
    </row>
    <row r="413" spans="1:32" x14ac:dyDescent="0.35">
      <c r="A413">
        <f t="shared" si="218"/>
        <v>141</v>
      </c>
      <c r="B413" s="123" t="str">
        <f t="shared" si="220"/>
        <v>RIM-174 US (SM-6) ballistic missile air, sea &amp; land targets, 370km range on air targets and 500km for land targets, mostly used by ships</v>
      </c>
      <c r="C413" s="51" t="s">
        <v>1104</v>
      </c>
      <c r="D413" s="97"/>
      <c r="E413" s="70" t="s">
        <v>35</v>
      </c>
      <c r="F413" s="70" t="s">
        <v>35</v>
      </c>
      <c r="G413" s="70" t="s">
        <v>34</v>
      </c>
      <c r="H413" s="70" t="s">
        <v>34</v>
      </c>
      <c r="I413" s="70" t="s">
        <v>34</v>
      </c>
      <c r="J413" s="70" t="s">
        <v>34</v>
      </c>
      <c r="K413" s="123" t="s">
        <v>1229</v>
      </c>
      <c r="L413" s="123" t="s">
        <v>1104</v>
      </c>
      <c r="M413" s="123" t="s">
        <v>1104</v>
      </c>
      <c r="N413" s="123" t="s">
        <v>1104</v>
      </c>
      <c r="O413" s="123" t="s">
        <v>1104</v>
      </c>
      <c r="P413" s="123" t="s">
        <v>1104</v>
      </c>
      <c r="Q413" s="149" t="s">
        <v>1195</v>
      </c>
      <c r="R413">
        <f t="shared" si="221"/>
        <v>141</v>
      </c>
      <c r="V413" s="3" t="s">
        <v>34</v>
      </c>
      <c r="W413" s="551" t="s">
        <v>1229</v>
      </c>
      <c r="AF413" t="s">
        <v>34</v>
      </c>
    </row>
    <row r="414" spans="1:32" x14ac:dyDescent="0.35">
      <c r="A414">
        <f t="shared" si="218"/>
        <v>142</v>
      </c>
      <c r="B414" s="123" t="str">
        <f t="shared" si="220"/>
        <v>RIM-162 ESSM surface to air missile</v>
      </c>
      <c r="C414" s="51" t="s">
        <v>2753</v>
      </c>
      <c r="D414" s="51" t="s">
        <v>2753</v>
      </c>
      <c r="E414" s="70" t="s">
        <v>35</v>
      </c>
      <c r="F414" s="70" t="s">
        <v>35</v>
      </c>
      <c r="G414" s="70" t="s">
        <v>34</v>
      </c>
      <c r="H414" s="70" t="s">
        <v>34</v>
      </c>
      <c r="I414" s="70" t="s">
        <v>34</v>
      </c>
      <c r="J414" s="70" t="s">
        <v>34</v>
      </c>
      <c r="K414" s="123" t="s">
        <v>2753</v>
      </c>
      <c r="L414" s="123" t="s">
        <v>2753</v>
      </c>
      <c r="M414" s="123" t="s">
        <v>2753</v>
      </c>
      <c r="N414" s="123" t="s">
        <v>2753</v>
      </c>
      <c r="O414" s="123" t="s">
        <v>2753</v>
      </c>
      <c r="P414" s="51"/>
      <c r="Q414" s="149"/>
      <c r="R414">
        <f t="shared" si="221"/>
        <v>142</v>
      </c>
      <c r="V414" s="3"/>
      <c r="W414" s="551"/>
      <c r="X414" t="s">
        <v>2757</v>
      </c>
    </row>
    <row r="415" spans="1:32" x14ac:dyDescent="0.35">
      <c r="A415">
        <f t="shared" ref="A415:A416" si="222">A414+1</f>
        <v>143</v>
      </c>
      <c r="B415" s="123" t="str">
        <f t="shared" si="220"/>
        <v>NASAMS system, Norway land based midrange</v>
      </c>
      <c r="C415" s="417" t="s">
        <v>34</v>
      </c>
      <c r="D415" s="97" t="s">
        <v>423</v>
      </c>
      <c r="E415" s="70" t="s">
        <v>35</v>
      </c>
      <c r="F415" s="70" t="s">
        <v>34</v>
      </c>
      <c r="G415" s="70" t="s">
        <v>34</v>
      </c>
      <c r="H415" s="70" t="s">
        <v>34</v>
      </c>
      <c r="I415" s="70" t="s">
        <v>34</v>
      </c>
      <c r="J415" s="70" t="s">
        <v>34</v>
      </c>
      <c r="K415" s="175" t="s">
        <v>34</v>
      </c>
      <c r="L415" s="175" t="s">
        <v>34</v>
      </c>
      <c r="M415" s="175" t="s">
        <v>34</v>
      </c>
      <c r="N415" s="175" t="s">
        <v>34</v>
      </c>
      <c r="O415" s="51" t="s">
        <v>422</v>
      </c>
      <c r="P415" s="51"/>
      <c r="Q415" s="123"/>
      <c r="R415">
        <f t="shared" si="221"/>
        <v>143</v>
      </c>
      <c r="V415" s="3" t="s">
        <v>34</v>
      </c>
      <c r="W415" s="159" t="s">
        <v>34</v>
      </c>
      <c r="AF415" t="s">
        <v>34</v>
      </c>
    </row>
    <row r="416" spans="1:32" x14ac:dyDescent="0.35">
      <c r="A416">
        <f t="shared" si="222"/>
        <v>144</v>
      </c>
      <c r="B416" s="123" t="str">
        <f t="shared" si="220"/>
        <v xml:space="preserve"> - AMRAAM missile for NASAMS</v>
      </c>
      <c r="C416" s="432" t="s">
        <v>426</v>
      </c>
      <c r="D416" t="s">
        <v>425</v>
      </c>
      <c r="E416" s="70" t="s">
        <v>35</v>
      </c>
      <c r="F416" s="70" t="s">
        <v>35</v>
      </c>
      <c r="G416" s="70" t="s">
        <v>35</v>
      </c>
      <c r="H416" s="70" t="s">
        <v>35</v>
      </c>
      <c r="I416" s="70" t="s">
        <v>34</v>
      </c>
      <c r="J416" s="70" t="s">
        <v>34</v>
      </c>
      <c r="K416" s="416" t="s">
        <v>426</v>
      </c>
      <c r="L416" s="416" t="s">
        <v>426</v>
      </c>
      <c r="M416" s="416" t="s">
        <v>426</v>
      </c>
      <c r="N416" s="416" t="s">
        <v>426</v>
      </c>
      <c r="O416" s="432" t="s">
        <v>426</v>
      </c>
      <c r="P416" s="432"/>
      <c r="Q416" s="416"/>
      <c r="R416">
        <f t="shared" si="221"/>
        <v>144</v>
      </c>
      <c r="S416" s="455"/>
      <c r="T416" s="455"/>
      <c r="U416" s="455"/>
      <c r="V416" s="3" t="s">
        <v>34</v>
      </c>
      <c r="W416" s="159" t="s">
        <v>34</v>
      </c>
      <c r="AF416" t="s">
        <v>34</v>
      </c>
    </row>
    <row r="417" spans="1:32" x14ac:dyDescent="0.35">
      <c r="A417">
        <f t="shared" ref="A417:A483" si="223">A416+1</f>
        <v>145</v>
      </c>
      <c r="B417" s="123" t="str">
        <f t="shared" si="220"/>
        <v>Iris-T SLM system, German mid-range</v>
      </c>
      <c r="C417" s="417" t="s">
        <v>34</v>
      </c>
      <c r="D417" s="97" t="s">
        <v>425</v>
      </c>
      <c r="E417" s="70" t="s">
        <v>35</v>
      </c>
      <c r="F417" s="70" t="s">
        <v>34</v>
      </c>
      <c r="G417" s="70" t="s">
        <v>34</v>
      </c>
      <c r="H417" s="70" t="s">
        <v>34</v>
      </c>
      <c r="I417" s="70" t="s">
        <v>34</v>
      </c>
      <c r="J417" s="70" t="s">
        <v>34</v>
      </c>
      <c r="K417" s="175" t="s">
        <v>34</v>
      </c>
      <c r="L417" s="175" t="s">
        <v>34</v>
      </c>
      <c r="M417" s="175" t="s">
        <v>34</v>
      </c>
      <c r="N417" s="175" t="s">
        <v>34</v>
      </c>
      <c r="O417" s="51" t="s">
        <v>428</v>
      </c>
      <c r="P417" s="51"/>
      <c r="Q417" s="123"/>
      <c r="R417">
        <f t="shared" si="221"/>
        <v>145</v>
      </c>
      <c r="V417" s="3" t="s">
        <v>34</v>
      </c>
      <c r="W417" s="159" t="s">
        <v>34</v>
      </c>
      <c r="AF417" t="s">
        <v>34</v>
      </c>
    </row>
    <row r="418" spans="1:32" x14ac:dyDescent="0.35">
      <c r="A418">
        <f t="shared" si="223"/>
        <v>146</v>
      </c>
      <c r="B418" s="123" t="str">
        <f t="shared" si="220"/>
        <v xml:space="preserve"> - IRIS-T SL missile</v>
      </c>
      <c r="C418" s="417" t="s">
        <v>884</v>
      </c>
      <c r="D418" s="42" t="s">
        <v>884</v>
      </c>
      <c r="E418" s="70" t="s">
        <v>35</v>
      </c>
      <c r="F418" s="70" t="s">
        <v>34</v>
      </c>
      <c r="G418" s="70" t="s">
        <v>34</v>
      </c>
      <c r="H418" s="70" t="s">
        <v>34</v>
      </c>
      <c r="I418" s="70" t="s">
        <v>34</v>
      </c>
      <c r="J418" s="70" t="s">
        <v>34</v>
      </c>
      <c r="K418" s="175" t="s">
        <v>884</v>
      </c>
      <c r="L418" s="175" t="s">
        <v>884</v>
      </c>
      <c r="M418" s="175" t="s">
        <v>35</v>
      </c>
      <c r="N418" s="175" t="s">
        <v>884</v>
      </c>
      <c r="O418" s="175" t="s">
        <v>884</v>
      </c>
      <c r="P418" s="51"/>
      <c r="Q418" s="123"/>
      <c r="R418">
        <f t="shared" si="221"/>
        <v>146</v>
      </c>
      <c r="V418" s="3" t="s">
        <v>34</v>
      </c>
      <c r="W418" s="159" t="s">
        <v>34</v>
      </c>
      <c r="AF418" t="s">
        <v>34</v>
      </c>
    </row>
    <row r="419" spans="1:32" x14ac:dyDescent="0.35">
      <c r="A419">
        <f t="shared" si="223"/>
        <v>147</v>
      </c>
      <c r="B419" s="615" t="str">
        <f t="shared" si="220"/>
        <v>Iron Dome, battery Israeli</v>
      </c>
      <c r="C419" s="632" t="s">
        <v>1386</v>
      </c>
      <c r="D419" s="600" t="s">
        <v>1386</v>
      </c>
      <c r="E419" s="585" t="s">
        <v>35</v>
      </c>
      <c r="F419" s="585" t="s">
        <v>35</v>
      </c>
      <c r="G419" s="585" t="s">
        <v>34</v>
      </c>
      <c r="H419" s="585" t="s">
        <v>34</v>
      </c>
      <c r="I419" s="585" t="s">
        <v>34</v>
      </c>
      <c r="J419" s="585" t="s">
        <v>34</v>
      </c>
      <c r="K419" s="624"/>
      <c r="L419" s="624"/>
      <c r="M419" s="624"/>
      <c r="N419" s="624"/>
      <c r="O419" s="632" t="s">
        <v>2625</v>
      </c>
      <c r="P419" s="632" t="s">
        <v>2625</v>
      </c>
      <c r="Q419" s="615"/>
      <c r="R419">
        <f t="shared" si="221"/>
        <v>147</v>
      </c>
      <c r="V419" s="3" t="s">
        <v>34</v>
      </c>
      <c r="W419" s="159" t="s">
        <v>34</v>
      </c>
    </row>
    <row r="420" spans="1:32" x14ac:dyDescent="0.35">
      <c r="A420">
        <f t="shared" si="223"/>
        <v>148</v>
      </c>
      <c r="B420" s="615" t="str">
        <f t="shared" si="220"/>
        <v xml:space="preserve"> - Iron Dome interceptor rocket for small slow flying targets</v>
      </c>
      <c r="C420" s="830" t="s">
        <v>1386</v>
      </c>
      <c r="D420" s="395" t="s">
        <v>2626</v>
      </c>
      <c r="E420" s="585" t="s">
        <v>35</v>
      </c>
      <c r="F420" s="585" t="s">
        <v>35</v>
      </c>
      <c r="G420" s="585" t="s">
        <v>35</v>
      </c>
      <c r="H420" s="585" t="s">
        <v>35</v>
      </c>
      <c r="I420" s="585" t="s">
        <v>34</v>
      </c>
      <c r="J420" s="585" t="s">
        <v>34</v>
      </c>
      <c r="K420" s="634" t="s">
        <v>1392</v>
      </c>
      <c r="L420" s="624" t="s">
        <v>1386</v>
      </c>
      <c r="M420" s="624" t="s">
        <v>1386</v>
      </c>
      <c r="N420" s="624" t="s">
        <v>1386</v>
      </c>
      <c r="O420" s="635" t="s">
        <v>2660</v>
      </c>
      <c r="P420" s="624" t="s">
        <v>1386</v>
      </c>
      <c r="Q420" s="615"/>
      <c r="R420">
        <f t="shared" si="221"/>
        <v>148</v>
      </c>
      <c r="V420" s="3" t="s">
        <v>34</v>
      </c>
      <c r="W420" s="159" t="s">
        <v>34</v>
      </c>
    </row>
    <row r="421" spans="1:32" x14ac:dyDescent="0.35">
      <c r="A421">
        <f t="shared" si="223"/>
        <v>149</v>
      </c>
      <c r="B421" s="615" t="str">
        <f t="shared" si="220"/>
        <v>David's Sling battery, Israeli US launch system replaces Patreon and Hawk for Israel 1) launcher vehicle 6 to 12 tubes for Stunner missile, 2) Fire control radar, 3) Control and communications unit.</v>
      </c>
      <c r="C421" s="830" t="s">
        <v>2594</v>
      </c>
      <c r="D421" s="600" t="s">
        <v>2076</v>
      </c>
      <c r="E421" s="585" t="s">
        <v>35</v>
      </c>
      <c r="F421" s="585" t="s">
        <v>34</v>
      </c>
      <c r="G421" s="585" t="s">
        <v>34</v>
      </c>
      <c r="H421" s="585" t="s">
        <v>34</v>
      </c>
      <c r="I421" s="585" t="s">
        <v>34</v>
      </c>
      <c r="J421" s="585" t="s">
        <v>34</v>
      </c>
      <c r="K421" s="634" t="s">
        <v>2075</v>
      </c>
      <c r="L421" s="624"/>
      <c r="M421" s="624"/>
      <c r="N421" s="624"/>
      <c r="O421" s="395" t="s">
        <v>2592</v>
      </c>
      <c r="P421" s="633" t="s">
        <v>2593</v>
      </c>
      <c r="Q421" s="615" t="s">
        <v>2595</v>
      </c>
      <c r="R421">
        <f t="shared" si="221"/>
        <v>149</v>
      </c>
      <c r="V421" s="3" t="s">
        <v>34</v>
      </c>
      <c r="W421" s="159" t="s">
        <v>34</v>
      </c>
    </row>
    <row r="422" spans="1:32" x14ac:dyDescent="0.35">
      <c r="A422">
        <f t="shared" si="223"/>
        <v>150</v>
      </c>
      <c r="B422" s="615" t="str">
        <f t="shared" si="220"/>
        <v xml:space="preserve"> - Stunner missile long-range ground to air incl planes, drones, ballistic missiles at &lt;500km. Replaces Patriot and Hawk for Israel</v>
      </c>
      <c r="C422" s="632" t="s">
        <v>1398</v>
      </c>
      <c r="D422" s="821" t="s">
        <v>2556</v>
      </c>
      <c r="E422" s="585" t="s">
        <v>35</v>
      </c>
      <c r="F422" s="585" t="s">
        <v>35</v>
      </c>
      <c r="G422" s="585" t="s">
        <v>35</v>
      </c>
      <c r="H422" s="583" t="s">
        <v>34</v>
      </c>
      <c r="I422" s="584" t="s">
        <v>34</v>
      </c>
      <c r="J422" s="617" t="s">
        <v>34</v>
      </c>
      <c r="K422" s="634" t="s">
        <v>1398</v>
      </c>
      <c r="L422" s="634" t="s">
        <v>1398</v>
      </c>
      <c r="M422" s="624" t="s">
        <v>35</v>
      </c>
      <c r="N422" s="634" t="s">
        <v>1398</v>
      </c>
      <c r="O422" s="633" t="s">
        <v>2661</v>
      </c>
      <c r="P422" s="633" t="s">
        <v>2612</v>
      </c>
      <c r="Q422" s="615" t="s">
        <v>2613</v>
      </c>
      <c r="R422">
        <f t="shared" si="221"/>
        <v>150</v>
      </c>
      <c r="V422" s="3" t="s">
        <v>34</v>
      </c>
      <c r="W422" s="159" t="s">
        <v>34</v>
      </c>
    </row>
    <row r="423" spans="1:32" x14ac:dyDescent="0.35">
      <c r="A423">
        <f t="shared" si="223"/>
        <v>151</v>
      </c>
      <c r="B423" s="615" t="str">
        <f t="shared" si="220"/>
        <v>Arrow 2, Israeli ground to air 2-stage missile made only  to intercept Iranian ballistic missiles with ranges over 200 km</v>
      </c>
      <c r="C423" s="632" t="s">
        <v>1395</v>
      </c>
      <c r="D423" s="600" t="s">
        <v>1395</v>
      </c>
      <c r="E423" s="585" t="s">
        <v>35</v>
      </c>
      <c r="F423" s="585" t="s">
        <v>35</v>
      </c>
      <c r="G423" s="585" t="s">
        <v>35</v>
      </c>
      <c r="H423" s="583" t="s">
        <v>34</v>
      </c>
      <c r="I423" s="584" t="s">
        <v>34</v>
      </c>
      <c r="J423" s="617" t="s">
        <v>34</v>
      </c>
      <c r="K423" s="600" t="s">
        <v>1395</v>
      </c>
      <c r="L423" s="600" t="s">
        <v>1399</v>
      </c>
      <c r="M423" s="624" t="s">
        <v>35</v>
      </c>
      <c r="N423" s="600" t="s">
        <v>1400</v>
      </c>
      <c r="O423" s="600" t="s">
        <v>1401</v>
      </c>
      <c r="P423" s="633"/>
      <c r="Q423" s="615"/>
      <c r="R423">
        <f t="shared" si="221"/>
        <v>151</v>
      </c>
      <c r="V423" s="3"/>
      <c r="W423" s="551" t="s">
        <v>2036</v>
      </c>
    </row>
    <row r="424" spans="1:32" x14ac:dyDescent="0.35">
      <c r="A424">
        <f t="shared" si="223"/>
        <v>152</v>
      </c>
      <c r="B424" s="483" t="str">
        <f t="shared" si="220"/>
        <v>Hawk US missile (legacy no production) used by Ukraine</v>
      </c>
      <c r="C424" s="536" t="s">
        <v>430</v>
      </c>
      <c r="D424" s="479" t="s">
        <v>34</v>
      </c>
      <c r="E424" s="537" t="s">
        <v>34</v>
      </c>
      <c r="F424" s="504" t="s">
        <v>34</v>
      </c>
      <c r="G424" s="504" t="s">
        <v>34</v>
      </c>
      <c r="H424" s="537" t="s">
        <v>34</v>
      </c>
      <c r="I424" s="479" t="s">
        <v>34</v>
      </c>
      <c r="J424" s="480" t="s">
        <v>34</v>
      </c>
      <c r="K424" s="526" t="s">
        <v>430</v>
      </c>
      <c r="L424" s="526" t="s">
        <v>430</v>
      </c>
      <c r="M424" s="526" t="s">
        <v>430</v>
      </c>
      <c r="N424" s="526" t="s">
        <v>430</v>
      </c>
      <c r="O424" s="536" t="s">
        <v>430</v>
      </c>
      <c r="P424" s="536"/>
      <c r="Q424" s="526"/>
      <c r="R424">
        <f t="shared" si="221"/>
        <v>152</v>
      </c>
      <c r="S424" s="455"/>
      <c r="T424" s="455"/>
      <c r="U424" s="455"/>
      <c r="V424" s="3" t="s">
        <v>34</v>
      </c>
      <c r="W424" s="159" t="s">
        <v>34</v>
      </c>
      <c r="AF424" t="s">
        <v>34</v>
      </c>
    </row>
    <row r="425" spans="1:32" x14ac:dyDescent="0.35">
      <c r="A425">
        <f t="shared" si="223"/>
        <v>153</v>
      </c>
      <c r="B425" s="483" t="str">
        <f t="shared" si="220"/>
        <v>Soviet ship launcher Buk-M1 modified for use in Ukraine</v>
      </c>
      <c r="C425" s="536" t="s">
        <v>2174</v>
      </c>
      <c r="D425" s="479" t="s">
        <v>34</v>
      </c>
      <c r="E425" s="537" t="s">
        <v>34</v>
      </c>
      <c r="F425" s="504" t="s">
        <v>34</v>
      </c>
      <c r="G425" s="504" t="s">
        <v>34</v>
      </c>
      <c r="H425" s="537" t="s">
        <v>34</v>
      </c>
      <c r="I425" s="479" t="s">
        <v>34</v>
      </c>
      <c r="J425" s="480" t="s">
        <v>34</v>
      </c>
      <c r="K425" s="526" t="s">
        <v>34</v>
      </c>
      <c r="L425" s="526" t="s">
        <v>34</v>
      </c>
      <c r="M425" s="526" t="s">
        <v>34</v>
      </c>
      <c r="N425" s="526" t="s">
        <v>34</v>
      </c>
      <c r="O425" s="536" t="s">
        <v>34</v>
      </c>
      <c r="P425" s="538" t="s">
        <v>2178</v>
      </c>
      <c r="Q425" s="526" t="s">
        <v>34</v>
      </c>
      <c r="R425">
        <f t="shared" si="221"/>
        <v>153</v>
      </c>
      <c r="S425" s="455"/>
      <c r="T425" s="455"/>
      <c r="U425" s="455"/>
      <c r="V425" s="416" t="s">
        <v>2173</v>
      </c>
    </row>
    <row r="426" spans="1:32" x14ac:dyDescent="0.35">
      <c r="A426">
        <f t="shared" si="223"/>
        <v>154</v>
      </c>
      <c r="B426" s="483" t="str">
        <f t="shared" si="220"/>
        <v xml:space="preserve"> - RIM-7 Sea Sparrow similar to AIM-7</v>
      </c>
      <c r="C426" s="536" t="s">
        <v>2173</v>
      </c>
      <c r="D426" s="636" t="s">
        <v>2173</v>
      </c>
      <c r="E426" s="486" t="s">
        <v>35</v>
      </c>
      <c r="F426" s="486" t="s">
        <v>34</v>
      </c>
      <c r="G426" s="486" t="s">
        <v>34</v>
      </c>
      <c r="H426" s="486" t="s">
        <v>34</v>
      </c>
      <c r="I426" s="486" t="s">
        <v>34</v>
      </c>
      <c r="J426" s="486" t="s">
        <v>34</v>
      </c>
      <c r="K426" s="526" t="s">
        <v>2173</v>
      </c>
      <c r="L426" s="526" t="s">
        <v>2173</v>
      </c>
      <c r="M426" s="526" t="s">
        <v>2173</v>
      </c>
      <c r="N426" s="526" t="s">
        <v>2173</v>
      </c>
      <c r="O426" s="526" t="s">
        <v>2190</v>
      </c>
      <c r="P426" s="536"/>
      <c r="Q426" s="526"/>
      <c r="R426">
        <f t="shared" si="221"/>
        <v>154</v>
      </c>
      <c r="S426" s="455"/>
      <c r="T426" s="455"/>
      <c r="U426" s="455"/>
      <c r="V426" t="s">
        <v>2183</v>
      </c>
    </row>
    <row r="427" spans="1:32" x14ac:dyDescent="0.35">
      <c r="A427">
        <f t="shared" si="223"/>
        <v>155</v>
      </c>
      <c r="B427" s="483" t="str">
        <f t="shared" si="220"/>
        <v>Gun trucks with radar, 30mm canon</v>
      </c>
      <c r="C427" s="538" t="s">
        <v>956</v>
      </c>
      <c r="D427" s="502" t="s">
        <v>432</v>
      </c>
      <c r="E427" s="486" t="s">
        <v>35</v>
      </c>
      <c r="F427" s="486" t="s">
        <v>35</v>
      </c>
      <c r="G427" s="486" t="s">
        <v>35</v>
      </c>
      <c r="H427" s="486" t="s">
        <v>35</v>
      </c>
      <c r="I427" s="486" t="s">
        <v>34</v>
      </c>
      <c r="J427" s="486" t="s">
        <v>34</v>
      </c>
      <c r="K427" s="482"/>
      <c r="L427" s="482"/>
      <c r="M427" s="482"/>
      <c r="N427" s="482"/>
      <c r="O427" s="477"/>
      <c r="P427" s="477"/>
      <c r="Q427" s="483"/>
      <c r="R427">
        <f t="shared" si="221"/>
        <v>155</v>
      </c>
      <c r="V427" s="3" t="s">
        <v>34</v>
      </c>
      <c r="W427" s="159" t="s">
        <v>34</v>
      </c>
      <c r="AF427" t="s">
        <v>34</v>
      </c>
    </row>
    <row r="428" spans="1:32" x14ac:dyDescent="0.35">
      <c r="A428">
        <f t="shared" si="223"/>
        <v>156</v>
      </c>
      <c r="B428" s="483" t="str">
        <f t="shared" si="220"/>
        <v xml:space="preserve"> - 30mm timer shells for M230 cannon </v>
      </c>
      <c r="C428" s="536" t="s">
        <v>433</v>
      </c>
      <c r="D428" s="502" t="s">
        <v>422</v>
      </c>
      <c r="E428" s="486" t="s">
        <v>35</v>
      </c>
      <c r="F428" s="486" t="s">
        <v>35</v>
      </c>
      <c r="G428" s="486" t="s">
        <v>35</v>
      </c>
      <c r="H428" s="486" t="s">
        <v>35</v>
      </c>
      <c r="I428" s="486" t="s">
        <v>34</v>
      </c>
      <c r="J428" s="486" t="s">
        <v>34</v>
      </c>
      <c r="K428" s="526" t="s">
        <v>433</v>
      </c>
      <c r="L428" s="526" t="s">
        <v>433</v>
      </c>
      <c r="M428" s="526" t="s">
        <v>433</v>
      </c>
      <c r="N428" s="526" t="s">
        <v>433</v>
      </c>
      <c r="O428" s="477"/>
      <c r="P428" s="477"/>
      <c r="Q428" s="483"/>
      <c r="R428">
        <f t="shared" si="221"/>
        <v>156</v>
      </c>
      <c r="V428" s="3" t="s">
        <v>34</v>
      </c>
      <c r="W428" s="159" t="s">
        <v>34</v>
      </c>
      <c r="AF428" t="s">
        <v>34</v>
      </c>
    </row>
    <row r="429" spans="1:32" x14ac:dyDescent="0.35">
      <c r="A429">
        <f t="shared" si="223"/>
        <v>157</v>
      </c>
      <c r="B429" s="123" t="str">
        <f t="shared" si="220"/>
        <v>Gepard armored vehicle (legacy)</v>
      </c>
      <c r="C429" s="51" t="s">
        <v>437</v>
      </c>
      <c r="D429" t="s">
        <v>437</v>
      </c>
      <c r="E429" s="174" t="s">
        <v>34</v>
      </c>
      <c r="F429" s="58" t="s">
        <v>34</v>
      </c>
      <c r="G429" s="58" t="s">
        <v>34</v>
      </c>
      <c r="H429" s="174" t="s">
        <v>34</v>
      </c>
      <c r="I429" s="172" t="s">
        <v>34</v>
      </c>
      <c r="J429" s="176" t="s">
        <v>34</v>
      </c>
      <c r="K429" s="123" t="s">
        <v>437</v>
      </c>
      <c r="L429" s="123" t="s">
        <v>437</v>
      </c>
      <c r="M429" s="175" t="s">
        <v>34</v>
      </c>
      <c r="N429" s="175" t="s">
        <v>34</v>
      </c>
      <c r="O429" s="432" t="s">
        <v>439</v>
      </c>
      <c r="P429" s="432"/>
      <c r="Q429" s="416"/>
      <c r="R429">
        <f t="shared" si="221"/>
        <v>157</v>
      </c>
      <c r="S429" s="455"/>
      <c r="T429" s="455"/>
      <c r="U429" s="455"/>
      <c r="V429" s="3" t="s">
        <v>34</v>
      </c>
      <c r="W429" s="159" t="s">
        <v>34</v>
      </c>
      <c r="AF429" t="s">
        <v>34</v>
      </c>
    </row>
    <row r="430" spans="1:32" x14ac:dyDescent="0.35">
      <c r="A430">
        <f t="shared" si="223"/>
        <v>158</v>
      </c>
      <c r="B430" s="123" t="str">
        <f t="shared" si="220"/>
        <v>35mm timer shells for Gepard</v>
      </c>
      <c r="C430" s="432" t="s">
        <v>439</v>
      </c>
      <c r="D430" t="s">
        <v>438</v>
      </c>
      <c r="E430" s="174" t="s">
        <v>34</v>
      </c>
      <c r="F430" s="58" t="s">
        <v>34</v>
      </c>
      <c r="G430" s="70" t="s">
        <v>35</v>
      </c>
      <c r="H430" s="70" t="s">
        <v>35</v>
      </c>
      <c r="I430" s="70" t="s">
        <v>35</v>
      </c>
      <c r="J430" s="176" t="s">
        <v>34</v>
      </c>
      <c r="K430" s="416" t="s">
        <v>439</v>
      </c>
      <c r="L430" s="428" t="s">
        <v>441</v>
      </c>
      <c r="M430" s="123" t="s">
        <v>35</v>
      </c>
      <c r="N430" s="428" t="s">
        <v>441</v>
      </c>
      <c r="O430" s="432" t="s">
        <v>202</v>
      </c>
      <c r="P430" s="432"/>
      <c r="Q430" s="416"/>
      <c r="R430">
        <f t="shared" si="221"/>
        <v>158</v>
      </c>
      <c r="S430" s="455"/>
      <c r="T430" s="455"/>
      <c r="U430" s="455"/>
      <c r="V430" s="3" t="s">
        <v>34</v>
      </c>
      <c r="W430" s="159" t="s">
        <v>34</v>
      </c>
      <c r="AF430" t="s">
        <v>34</v>
      </c>
    </row>
    <row r="431" spans="1:32" x14ac:dyDescent="0.35">
      <c r="A431">
        <f t="shared" si="223"/>
        <v>159</v>
      </c>
      <c r="B431" s="123" t="str">
        <f t="shared" si="220"/>
        <v>Skynex 35 mm anti-aircraft gun system, 4 guns, 1 radar, 1 control</v>
      </c>
      <c r="C431" s="461" t="s">
        <v>630</v>
      </c>
      <c r="D431" s="4" t="s">
        <v>633</v>
      </c>
      <c r="E431" s="174" t="s">
        <v>34</v>
      </c>
      <c r="F431" s="58" t="s">
        <v>34</v>
      </c>
      <c r="G431" s="4" t="s">
        <v>631</v>
      </c>
      <c r="H431" s="174" t="s">
        <v>34</v>
      </c>
      <c r="I431" s="172" t="s">
        <v>34</v>
      </c>
      <c r="J431" s="176" t="s">
        <v>34</v>
      </c>
      <c r="K431" s="428" t="s">
        <v>630</v>
      </c>
      <c r="L431" s="428" t="s">
        <v>441</v>
      </c>
      <c r="M431" s="123" t="s">
        <v>35</v>
      </c>
      <c r="N431" s="416"/>
      <c r="O431" s="432" t="s">
        <v>632</v>
      </c>
      <c r="P431" s="432"/>
      <c r="Q431" s="416"/>
      <c r="R431">
        <f t="shared" si="221"/>
        <v>159</v>
      </c>
      <c r="S431" s="455"/>
      <c r="T431" s="455"/>
      <c r="U431" s="455"/>
      <c r="V431" s="4" t="s">
        <v>633</v>
      </c>
      <c r="W431" s="159" t="s">
        <v>34</v>
      </c>
      <c r="X431" s="395"/>
      <c r="Y431" s="395"/>
      <c r="Z431" s="395"/>
      <c r="AA431" s="395"/>
      <c r="AB431" s="395"/>
      <c r="AC431" s="395"/>
      <c r="AD431" s="395"/>
      <c r="AE431" s="395"/>
      <c r="AF431" t="s">
        <v>34</v>
      </c>
    </row>
    <row r="432" spans="1:32" x14ac:dyDescent="0.35">
      <c r="A432">
        <f t="shared" si="223"/>
        <v>160</v>
      </c>
      <c r="B432" s="483" t="str">
        <f t="shared" si="220"/>
        <v>S-200 missile used by Ukr (legacy)</v>
      </c>
      <c r="C432" s="536" t="s">
        <v>558</v>
      </c>
      <c r="D432" s="502" t="s">
        <v>558</v>
      </c>
      <c r="E432" s="537" t="s">
        <v>34</v>
      </c>
      <c r="F432" s="504" t="s">
        <v>34</v>
      </c>
      <c r="G432" s="504" t="s">
        <v>34</v>
      </c>
      <c r="H432" s="537" t="s">
        <v>34</v>
      </c>
      <c r="I432" s="479" t="s">
        <v>34</v>
      </c>
      <c r="J432" s="480" t="s">
        <v>34</v>
      </c>
      <c r="K432" s="526" t="s">
        <v>558</v>
      </c>
      <c r="L432" s="526" t="s">
        <v>558</v>
      </c>
      <c r="M432" s="483" t="s">
        <v>35</v>
      </c>
      <c r="N432" s="526" t="s">
        <v>558</v>
      </c>
      <c r="O432" s="536" t="s">
        <v>558</v>
      </c>
      <c r="P432" s="536"/>
      <c r="Q432" s="526"/>
      <c r="R432">
        <f t="shared" si="221"/>
        <v>160</v>
      </c>
      <c r="S432" s="455"/>
      <c r="T432" s="455"/>
      <c r="U432" s="455"/>
      <c r="V432" s="3" t="s">
        <v>34</v>
      </c>
      <c r="W432" s="159" t="s">
        <v>34</v>
      </c>
      <c r="AF432" t="s">
        <v>34</v>
      </c>
    </row>
    <row r="433" spans="1:32" x14ac:dyDescent="0.35">
      <c r="A433">
        <f t="shared" si="223"/>
        <v>161</v>
      </c>
      <c r="B433" s="487" t="str">
        <f t="shared" si="220"/>
        <v>S-300 missile 48N6P RUS many versions, 1800kg also ground attack Ukr cant shoot it down</v>
      </c>
      <c r="C433" s="533" t="s">
        <v>561</v>
      </c>
      <c r="D433" s="488" t="s">
        <v>180</v>
      </c>
      <c r="E433" s="529" t="s">
        <v>34</v>
      </c>
      <c r="F433" s="508" t="s">
        <v>34</v>
      </c>
      <c r="G433" s="508" t="s">
        <v>34</v>
      </c>
      <c r="H433" s="529" t="s">
        <v>34</v>
      </c>
      <c r="I433" s="489" t="s">
        <v>34</v>
      </c>
      <c r="J433" s="490" t="s">
        <v>34</v>
      </c>
      <c r="K433" s="534" t="s">
        <v>561</v>
      </c>
      <c r="L433" s="534" t="s">
        <v>561</v>
      </c>
      <c r="M433" s="487" t="s">
        <v>35</v>
      </c>
      <c r="N433" s="534" t="s">
        <v>561</v>
      </c>
      <c r="O433" s="533" t="s">
        <v>550</v>
      </c>
      <c r="P433" s="533"/>
      <c r="Q433" s="534"/>
      <c r="R433">
        <f t="shared" si="221"/>
        <v>161</v>
      </c>
      <c r="S433" s="455"/>
      <c r="T433" s="455"/>
      <c r="U433" s="455"/>
      <c r="V433" s="3" t="s">
        <v>34</v>
      </c>
      <c r="W433" s="159" t="s">
        <v>34</v>
      </c>
      <c r="AF433" t="s">
        <v>34</v>
      </c>
    </row>
    <row r="434" spans="1:32" x14ac:dyDescent="0.35">
      <c r="A434">
        <f t="shared" si="223"/>
        <v>162</v>
      </c>
      <c r="B434" s="487" t="str">
        <f t="shared" si="220"/>
        <v>S-400 battery w. radar launchers &amp; control</v>
      </c>
      <c r="C434" s="524" t="s">
        <v>34</v>
      </c>
      <c r="D434" s="523" t="s">
        <v>1866</v>
      </c>
      <c r="E434" s="498" t="s">
        <v>35</v>
      </c>
      <c r="F434" s="498" t="s">
        <v>35</v>
      </c>
      <c r="G434" s="508" t="s">
        <v>34</v>
      </c>
      <c r="H434" s="529" t="s">
        <v>34</v>
      </c>
      <c r="I434" s="489" t="s">
        <v>34</v>
      </c>
      <c r="J434" s="535"/>
      <c r="K434" s="496" t="s">
        <v>34</v>
      </c>
      <c r="L434" s="496" t="s">
        <v>34</v>
      </c>
      <c r="M434" s="496" t="s">
        <v>34</v>
      </c>
      <c r="N434" s="496" t="s">
        <v>34</v>
      </c>
      <c r="O434" s="533" t="s">
        <v>564</v>
      </c>
      <c r="P434" s="533" t="s">
        <v>564</v>
      </c>
      <c r="Q434" s="533" t="s">
        <v>564</v>
      </c>
      <c r="R434">
        <f t="shared" si="221"/>
        <v>162</v>
      </c>
      <c r="S434" s="455"/>
      <c r="T434" s="455"/>
      <c r="U434" s="455"/>
      <c r="V434" s="3"/>
      <c r="W434" s="159" t="s">
        <v>34</v>
      </c>
      <c r="AF434" t="s">
        <v>34</v>
      </c>
    </row>
    <row r="435" spans="1:32" x14ac:dyDescent="0.35">
      <c r="A435">
        <f t="shared" si="223"/>
        <v>163</v>
      </c>
      <c r="B435" s="487" t="str">
        <f t="shared" si="220"/>
        <v>S-400 missile 40N6E many versions</v>
      </c>
      <c r="C435" s="533" t="s">
        <v>562</v>
      </c>
      <c r="D435" s="523" t="s">
        <v>562</v>
      </c>
      <c r="E435" s="498" t="s">
        <v>35</v>
      </c>
      <c r="F435" s="498" t="s">
        <v>35</v>
      </c>
      <c r="G435" s="498" t="s">
        <v>35</v>
      </c>
      <c r="H435" s="498" t="s">
        <v>34</v>
      </c>
      <c r="I435" s="498" t="s">
        <v>34</v>
      </c>
      <c r="J435" s="498" t="s">
        <v>34</v>
      </c>
      <c r="K435" s="534" t="s">
        <v>562</v>
      </c>
      <c r="L435" s="534" t="s">
        <v>562</v>
      </c>
      <c r="M435" s="534" t="s">
        <v>562</v>
      </c>
      <c r="N435" s="534" t="s">
        <v>562</v>
      </c>
      <c r="O435" s="533" t="s">
        <v>564</v>
      </c>
      <c r="P435" s="533" t="s">
        <v>564</v>
      </c>
      <c r="Q435" s="533" t="s">
        <v>564</v>
      </c>
      <c r="R435">
        <f t="shared" si="221"/>
        <v>163</v>
      </c>
      <c r="S435" s="455"/>
      <c r="T435" s="455"/>
      <c r="U435" s="455"/>
      <c r="V435" s="3" t="s">
        <v>34</v>
      </c>
      <c r="W435" s="159" t="s">
        <v>34</v>
      </c>
      <c r="AF435" t="s">
        <v>34</v>
      </c>
    </row>
    <row r="436" spans="1:32" x14ac:dyDescent="0.35">
      <c r="A436">
        <f t="shared" si="223"/>
        <v>164</v>
      </c>
      <c r="B436" s="487" t="str">
        <f t="shared" si="220"/>
        <v>S-500 missile system</v>
      </c>
      <c r="C436" s="533" t="s">
        <v>835</v>
      </c>
      <c r="D436" s="529" t="s">
        <v>34</v>
      </c>
      <c r="E436" s="529" t="s">
        <v>34</v>
      </c>
      <c r="F436" s="508" t="s">
        <v>34</v>
      </c>
      <c r="G436" s="508" t="s">
        <v>34</v>
      </c>
      <c r="H436" s="529" t="s">
        <v>34</v>
      </c>
      <c r="I436" s="489" t="s">
        <v>34</v>
      </c>
      <c r="J436" s="490" t="s">
        <v>34</v>
      </c>
      <c r="K436" s="534" t="s">
        <v>835</v>
      </c>
      <c r="L436" s="534" t="s">
        <v>835</v>
      </c>
      <c r="M436" s="534" t="s">
        <v>835</v>
      </c>
      <c r="N436" s="534" t="s">
        <v>835</v>
      </c>
      <c r="O436" s="534" t="s">
        <v>835</v>
      </c>
      <c r="P436" s="505"/>
      <c r="Q436" s="487"/>
      <c r="R436">
        <f t="shared" si="221"/>
        <v>164</v>
      </c>
      <c r="V436" s="3" t="s">
        <v>34</v>
      </c>
      <c r="W436" s="159" t="s">
        <v>34</v>
      </c>
      <c r="AF436" t="s">
        <v>34</v>
      </c>
    </row>
    <row r="437" spans="1:32" x14ac:dyDescent="0.35">
      <c r="A437">
        <f t="shared" si="223"/>
        <v>165</v>
      </c>
      <c r="B437" s="487" t="str">
        <f t="shared" si="220"/>
        <v>A-235 PL-19 Nudol anti-ballistic, anti-satellite rocket like SN3 &amp; Arrow3</v>
      </c>
      <c r="C437" s="533" t="s">
        <v>1821</v>
      </c>
      <c r="D437" s="529" t="s">
        <v>34</v>
      </c>
      <c r="E437" s="529" t="s">
        <v>34</v>
      </c>
      <c r="F437" s="508" t="s">
        <v>34</v>
      </c>
      <c r="G437" s="508" t="s">
        <v>34</v>
      </c>
      <c r="H437" s="529" t="s">
        <v>34</v>
      </c>
      <c r="I437" s="489" t="s">
        <v>34</v>
      </c>
      <c r="J437" s="490" t="s">
        <v>34</v>
      </c>
      <c r="K437" s="534" t="s">
        <v>1823</v>
      </c>
      <c r="L437" s="534" t="s">
        <v>1823</v>
      </c>
      <c r="M437" s="534"/>
      <c r="N437" s="534" t="s">
        <v>1821</v>
      </c>
      <c r="O437" s="533" t="s">
        <v>1824</v>
      </c>
      <c r="P437" s="533" t="s">
        <v>1824</v>
      </c>
      <c r="Q437" s="533" t="s">
        <v>1824</v>
      </c>
      <c r="R437">
        <f t="shared" si="221"/>
        <v>165</v>
      </c>
      <c r="V437" s="3"/>
    </row>
    <row r="438" spans="1:32" x14ac:dyDescent="0.35">
      <c r="A438">
        <f t="shared" si="223"/>
        <v>166</v>
      </c>
      <c r="B438" s="123"/>
      <c r="C438" s="51"/>
      <c r="K438" s="123"/>
      <c r="L438" s="123"/>
      <c r="M438" s="123"/>
      <c r="N438" s="123"/>
      <c r="O438" s="51"/>
      <c r="P438" s="51"/>
      <c r="Q438" s="123"/>
      <c r="R438">
        <f t="shared" si="221"/>
        <v>166</v>
      </c>
      <c r="V438" s="3" t="s">
        <v>34</v>
      </c>
      <c r="W438" s="159" t="s">
        <v>34</v>
      </c>
      <c r="AF438" t="s">
        <v>34</v>
      </c>
    </row>
    <row r="439" spans="1:32" x14ac:dyDescent="0.35">
      <c r="A439">
        <f t="shared" si="223"/>
        <v>167</v>
      </c>
      <c r="B439" s="189" t="str">
        <f>B175</f>
        <v>Electronic warfare systems</v>
      </c>
      <c r="C439" s="385"/>
      <c r="D439" s="192"/>
      <c r="E439" s="192"/>
      <c r="F439" s="192"/>
      <c r="G439" s="192"/>
      <c r="H439" s="192"/>
      <c r="I439" s="192"/>
      <c r="J439" s="192"/>
      <c r="K439" s="185"/>
      <c r="L439" s="185"/>
      <c r="M439" s="185"/>
      <c r="N439" s="385"/>
      <c r="O439" s="385"/>
      <c r="P439" s="385"/>
      <c r="Q439" s="185"/>
      <c r="R439">
        <f t="shared" si="221"/>
        <v>167</v>
      </c>
      <c r="V439" s="3" t="s">
        <v>34</v>
      </c>
      <c r="W439" s="159" t="s">
        <v>34</v>
      </c>
      <c r="AF439" t="s">
        <v>34</v>
      </c>
    </row>
    <row r="440" spans="1:32" x14ac:dyDescent="0.35">
      <c r="A440">
        <f t="shared" si="223"/>
        <v>168</v>
      </c>
      <c r="B440" s="487" t="s">
        <v>646</v>
      </c>
      <c r="C440" s="507" t="s">
        <v>647</v>
      </c>
      <c r="D440" s="506" t="s">
        <v>156</v>
      </c>
      <c r="E440" s="506"/>
      <c r="F440" s="506"/>
      <c r="G440" s="506"/>
      <c r="H440" s="506"/>
      <c r="I440" s="506"/>
      <c r="J440" s="506"/>
      <c r="K440" s="521" t="s">
        <v>647</v>
      </c>
      <c r="L440" s="487" t="s">
        <v>34</v>
      </c>
      <c r="M440" s="487" t="s">
        <v>34</v>
      </c>
      <c r="N440" s="505" t="s">
        <v>34</v>
      </c>
      <c r="O440" s="505" t="s">
        <v>156</v>
      </c>
      <c r="P440" s="505"/>
      <c r="Q440" s="487"/>
      <c r="R440">
        <f t="shared" si="221"/>
        <v>168</v>
      </c>
      <c r="V440" s="3" t="s">
        <v>34</v>
      </c>
      <c r="W440" s="159" t="s">
        <v>34</v>
      </c>
      <c r="AF440" t="s">
        <v>34</v>
      </c>
    </row>
    <row r="441" spans="1:32" x14ac:dyDescent="0.35">
      <c r="A441">
        <f t="shared" si="223"/>
        <v>169</v>
      </c>
      <c r="B441" s="123"/>
      <c r="C441" s="51"/>
      <c r="K441" s="123"/>
      <c r="L441" s="123"/>
      <c r="M441" s="123"/>
      <c r="N441" s="51"/>
      <c r="O441" s="51"/>
      <c r="P441" s="51"/>
      <c r="Q441" s="123"/>
      <c r="R441">
        <f t="shared" si="221"/>
        <v>169</v>
      </c>
      <c r="V441" s="3" t="s">
        <v>34</v>
      </c>
      <c r="W441" s="159" t="s">
        <v>34</v>
      </c>
      <c r="AF441" t="s">
        <v>34</v>
      </c>
    </row>
    <row r="442" spans="1:32" x14ac:dyDescent="0.35">
      <c r="A442">
        <f t="shared" si="223"/>
        <v>170</v>
      </c>
      <c r="B442" s="123"/>
      <c r="C442" s="51"/>
      <c r="K442" s="123"/>
      <c r="L442" s="123"/>
      <c r="M442" s="123"/>
      <c r="N442" s="51"/>
      <c r="O442" s="51"/>
      <c r="P442" s="51"/>
      <c r="Q442" s="123"/>
      <c r="R442">
        <f t="shared" si="221"/>
        <v>170</v>
      </c>
      <c r="V442" s="3" t="s">
        <v>34</v>
      </c>
      <c r="W442" s="159" t="s">
        <v>34</v>
      </c>
      <c r="AF442" t="s">
        <v>34</v>
      </c>
    </row>
    <row r="443" spans="1:32" x14ac:dyDescent="0.35">
      <c r="A443">
        <f t="shared" si="223"/>
        <v>171</v>
      </c>
      <c r="B443" s="123"/>
      <c r="C443" s="51"/>
      <c r="E443" s="70"/>
      <c r="F443" s="70"/>
      <c r="G443" s="70"/>
      <c r="H443" s="70"/>
      <c r="I443" s="70"/>
      <c r="J443" s="70"/>
      <c r="K443" s="123"/>
      <c r="L443" s="123"/>
      <c r="M443" s="123"/>
      <c r="N443" s="123"/>
      <c r="O443" s="51"/>
      <c r="P443" s="51"/>
      <c r="Q443" s="123"/>
      <c r="R443">
        <f t="shared" si="221"/>
        <v>171</v>
      </c>
      <c r="V443" s="3" t="s">
        <v>34</v>
      </c>
      <c r="W443" s="159" t="s">
        <v>34</v>
      </c>
      <c r="AF443" t="s">
        <v>34</v>
      </c>
    </row>
    <row r="444" spans="1:32" x14ac:dyDescent="0.35">
      <c r="A444">
        <f t="shared" si="223"/>
        <v>172</v>
      </c>
      <c r="B444" s="123"/>
      <c r="C444" s="51"/>
      <c r="E444" s="70"/>
      <c r="F444" s="70"/>
      <c r="G444" s="70"/>
      <c r="H444" s="70"/>
      <c r="I444" s="70"/>
      <c r="J444" s="70"/>
      <c r="K444" s="123"/>
      <c r="L444" s="123"/>
      <c r="M444" s="123"/>
      <c r="N444" s="123"/>
      <c r="O444" s="51"/>
      <c r="P444" s="51"/>
      <c r="Q444" s="123"/>
      <c r="R444">
        <f t="shared" si="221"/>
        <v>172</v>
      </c>
      <c r="V444" s="3" t="s">
        <v>34</v>
      </c>
      <c r="W444" s="159" t="s">
        <v>34</v>
      </c>
      <c r="AF444" t="s">
        <v>34</v>
      </c>
    </row>
    <row r="445" spans="1:32" x14ac:dyDescent="0.35">
      <c r="A445">
        <f t="shared" si="223"/>
        <v>173</v>
      </c>
      <c r="B445" s="123"/>
      <c r="C445" s="51"/>
      <c r="E445" s="70"/>
      <c r="F445" s="70"/>
      <c r="G445" s="70"/>
      <c r="H445" s="70"/>
      <c r="I445" s="70"/>
      <c r="J445" s="70"/>
      <c r="K445" s="123"/>
      <c r="L445" s="123"/>
      <c r="M445" s="123"/>
      <c r="N445" s="123"/>
      <c r="O445" s="51"/>
      <c r="P445" s="51"/>
      <c r="Q445" s="123"/>
      <c r="R445">
        <f t="shared" si="221"/>
        <v>173</v>
      </c>
      <c r="V445" s="3" t="s">
        <v>34</v>
      </c>
      <c r="W445" s="159" t="s">
        <v>34</v>
      </c>
      <c r="AF445" t="s">
        <v>34</v>
      </c>
    </row>
    <row r="446" spans="1:32" x14ac:dyDescent="0.35">
      <c r="A446">
        <f t="shared" si="223"/>
        <v>174</v>
      </c>
      <c r="B446" s="189" t="str">
        <f t="shared" ref="B446:B485" si="224">B182</f>
        <v>Air force weapons or Navy aircraft</v>
      </c>
      <c r="C446" s="385"/>
      <c r="D446" s="192"/>
      <c r="E446" s="192"/>
      <c r="F446" s="192"/>
      <c r="G446" s="192"/>
      <c r="H446" s="192"/>
      <c r="I446" s="192"/>
      <c r="J446" s="192"/>
      <c r="K446" s="185"/>
      <c r="L446" s="185"/>
      <c r="M446" s="185"/>
      <c r="N446" s="185"/>
      <c r="O446" s="385"/>
      <c r="P446" s="385"/>
      <c r="Q446" s="185"/>
      <c r="R446">
        <f t="shared" si="221"/>
        <v>174</v>
      </c>
      <c r="V446" s="3" t="s">
        <v>34</v>
      </c>
      <c r="W446" s="159" t="s">
        <v>34</v>
      </c>
      <c r="AF446" t="s">
        <v>34</v>
      </c>
    </row>
    <row r="447" spans="1:32" x14ac:dyDescent="0.35">
      <c r="A447">
        <f t="shared" si="223"/>
        <v>175</v>
      </c>
      <c r="B447" s="483" t="str">
        <f t="shared" si="224"/>
        <v>Mig-29 (Ukr main fighter)</v>
      </c>
      <c r="C447" s="519" t="s">
        <v>361</v>
      </c>
      <c r="D447" s="502" t="s">
        <v>365</v>
      </c>
      <c r="E447" s="486" t="s">
        <v>35</v>
      </c>
      <c r="F447" s="486" t="s">
        <v>35</v>
      </c>
      <c r="G447" s="486" t="s">
        <v>34</v>
      </c>
      <c r="H447" s="486" t="s">
        <v>34</v>
      </c>
      <c r="I447" s="486" t="s">
        <v>34</v>
      </c>
      <c r="J447" s="527" t="s">
        <v>34</v>
      </c>
      <c r="K447" s="520" t="s">
        <v>361</v>
      </c>
      <c r="L447" s="483" t="s">
        <v>361</v>
      </c>
      <c r="M447" s="483" t="s">
        <v>34</v>
      </c>
      <c r="N447" s="513" t="s">
        <v>361</v>
      </c>
      <c r="O447" s="477" t="s">
        <v>361</v>
      </c>
      <c r="P447" s="477"/>
      <c r="Q447" s="483"/>
      <c r="R447">
        <f t="shared" si="221"/>
        <v>175</v>
      </c>
      <c r="V447" s="3" t="s">
        <v>34</v>
      </c>
      <c r="W447" s="159" t="s">
        <v>34</v>
      </c>
      <c r="AF447" t="s">
        <v>34</v>
      </c>
    </row>
    <row r="448" spans="1:32" x14ac:dyDescent="0.35">
      <c r="A448">
        <f t="shared" si="223"/>
        <v>176</v>
      </c>
      <c r="B448" s="483" t="str">
        <f t="shared" si="224"/>
        <v xml:space="preserve"> - 30mm Gryazev-Shipunov GSh-30-1</v>
      </c>
      <c r="C448" s="477" t="s">
        <v>537</v>
      </c>
      <c r="D448" s="502" t="s">
        <v>156</v>
      </c>
      <c r="E448" s="479" t="s">
        <v>34</v>
      </c>
      <c r="F448" s="504" t="s">
        <v>34</v>
      </c>
      <c r="G448" s="486" t="s">
        <v>34</v>
      </c>
      <c r="H448" s="486" t="s">
        <v>35</v>
      </c>
      <c r="I448" s="486" t="s">
        <v>35</v>
      </c>
      <c r="J448" s="486" t="s">
        <v>35</v>
      </c>
      <c r="K448" s="483" t="s">
        <v>537</v>
      </c>
      <c r="L448" s="483" t="s">
        <v>537</v>
      </c>
      <c r="M448" s="483"/>
      <c r="N448" s="483" t="s">
        <v>34</v>
      </c>
      <c r="O448" s="477" t="s">
        <v>180</v>
      </c>
      <c r="P448" s="477"/>
      <c r="Q448" s="483"/>
      <c r="R448">
        <f t="shared" si="221"/>
        <v>176</v>
      </c>
      <c r="V448" s="3"/>
      <c r="W448" s="159" t="s">
        <v>34</v>
      </c>
      <c r="AF448" t="s">
        <v>34</v>
      </c>
    </row>
    <row r="449" spans="1:32" x14ac:dyDescent="0.35">
      <c r="A449">
        <f t="shared" si="223"/>
        <v>177</v>
      </c>
      <c r="B449" s="123" t="str">
        <f t="shared" si="224"/>
        <v xml:space="preserve"> - HAMMER rocket assisted bomb, France</v>
      </c>
      <c r="C449" s="90" t="s">
        <v>496</v>
      </c>
      <c r="D449" t="s">
        <v>1989</v>
      </c>
      <c r="E449" s="70" t="s">
        <v>35</v>
      </c>
      <c r="F449" s="70" t="s">
        <v>35</v>
      </c>
      <c r="G449" s="70" t="s">
        <v>34</v>
      </c>
      <c r="H449" s="70" t="s">
        <v>34</v>
      </c>
      <c r="I449" s="70" t="s">
        <v>34</v>
      </c>
      <c r="J449" s="421" t="s">
        <v>34</v>
      </c>
      <c r="K449" s="389" t="s">
        <v>496</v>
      </c>
      <c r="L449" s="389" t="s">
        <v>496</v>
      </c>
      <c r="M449" s="389" t="s">
        <v>35</v>
      </c>
      <c r="N449" s="389" t="s">
        <v>496</v>
      </c>
      <c r="O449" s="90" t="s">
        <v>496</v>
      </c>
      <c r="P449" s="90"/>
      <c r="Q449" s="389"/>
      <c r="R449">
        <f t="shared" si="221"/>
        <v>177</v>
      </c>
      <c r="S449" s="451"/>
      <c r="T449" s="451"/>
      <c r="U449" s="451"/>
      <c r="V449" s="3" t="s">
        <v>34</v>
      </c>
      <c r="W449" s="159" t="s">
        <v>34</v>
      </c>
      <c r="AF449" t="s">
        <v>34</v>
      </c>
    </row>
    <row r="450" spans="1:32" x14ac:dyDescent="0.35">
      <c r="A450">
        <f t="shared" si="223"/>
        <v>178</v>
      </c>
      <c r="B450" s="123" t="str">
        <f t="shared" si="224"/>
        <v xml:space="preserve"> - AGM-88G HARM anti-radar missile, US</v>
      </c>
      <c r="C450" s="90" t="s">
        <v>492</v>
      </c>
      <c r="D450" t="s">
        <v>492</v>
      </c>
      <c r="E450" s="70" t="s">
        <v>35</v>
      </c>
      <c r="F450" s="70" t="s">
        <v>35</v>
      </c>
      <c r="G450" s="70" t="s">
        <v>34</v>
      </c>
      <c r="H450" s="70" t="s">
        <v>34</v>
      </c>
      <c r="I450" s="70" t="s">
        <v>34</v>
      </c>
      <c r="J450" s="421" t="s">
        <v>34</v>
      </c>
      <c r="K450" s="389" t="s">
        <v>492</v>
      </c>
      <c r="L450" s="389" t="s">
        <v>492</v>
      </c>
      <c r="M450" s="389" t="s">
        <v>35</v>
      </c>
      <c r="N450" s="389" t="s">
        <v>492</v>
      </c>
      <c r="O450" s="90" t="s">
        <v>1990</v>
      </c>
      <c r="P450" s="90"/>
      <c r="Q450" s="389" t="s">
        <v>2662</v>
      </c>
      <c r="R450">
        <f t="shared" si="221"/>
        <v>178</v>
      </c>
      <c r="S450" s="451"/>
      <c r="T450" s="451"/>
      <c r="U450" s="451"/>
      <c r="V450" s="3" t="s">
        <v>34</v>
      </c>
      <c r="W450" s="159" t="s">
        <v>34</v>
      </c>
      <c r="AF450" t="s">
        <v>34</v>
      </c>
    </row>
    <row r="451" spans="1:32" x14ac:dyDescent="0.35">
      <c r="A451">
        <f t="shared" si="223"/>
        <v>179</v>
      </c>
      <c r="B451" s="123" t="str">
        <f t="shared" si="224"/>
        <v>F/A-18E/F Super Hornet, US Navy fighter</v>
      </c>
      <c r="C451" s="90" t="s">
        <v>1290</v>
      </c>
      <c r="D451" s="90" t="s">
        <v>1292</v>
      </c>
      <c r="E451" s="70" t="s">
        <v>35</v>
      </c>
      <c r="F451" s="70" t="s">
        <v>35</v>
      </c>
      <c r="G451" s="70" t="s">
        <v>34</v>
      </c>
      <c r="H451" s="70" t="s">
        <v>34</v>
      </c>
      <c r="I451" s="70" t="s">
        <v>34</v>
      </c>
      <c r="J451" s="421" t="s">
        <v>34</v>
      </c>
      <c r="K451" s="389" t="s">
        <v>1290</v>
      </c>
      <c r="L451" s="389" t="s">
        <v>1290</v>
      </c>
      <c r="M451" s="389" t="s">
        <v>1290</v>
      </c>
      <c r="N451" s="389" t="s">
        <v>1290</v>
      </c>
      <c r="O451" s="389" t="s">
        <v>1290</v>
      </c>
      <c r="P451" s="90"/>
      <c r="Q451" s="149" t="s">
        <v>2642</v>
      </c>
      <c r="R451">
        <f t="shared" si="221"/>
        <v>179</v>
      </c>
      <c r="S451" s="451"/>
      <c r="T451" s="451"/>
      <c r="U451" s="451"/>
      <c r="V451" s="3" t="s">
        <v>34</v>
      </c>
      <c r="W451" s="159" t="s">
        <v>34</v>
      </c>
    </row>
    <row r="452" spans="1:32" x14ac:dyDescent="0.35">
      <c r="A452">
        <f t="shared" si="223"/>
        <v>180</v>
      </c>
      <c r="B452" s="123" t="str">
        <f t="shared" si="224"/>
        <v xml:space="preserve"> - AN/APG-79 AESA radar for weapons navigation</v>
      </c>
      <c r="C452" s="90" t="s">
        <v>2215</v>
      </c>
      <c r="D452" s="70" t="s">
        <v>34</v>
      </c>
      <c r="E452" s="70" t="s">
        <v>34</v>
      </c>
      <c r="F452" s="70" t="s">
        <v>34</v>
      </c>
      <c r="G452" s="70" t="s">
        <v>34</v>
      </c>
      <c r="H452" s="70" t="s">
        <v>34</v>
      </c>
      <c r="I452" s="70" t="s">
        <v>34</v>
      </c>
      <c r="J452" s="421" t="s">
        <v>34</v>
      </c>
      <c r="K452" s="389" t="s">
        <v>2215</v>
      </c>
      <c r="L452" s="389"/>
      <c r="M452" s="389"/>
      <c r="N452" s="389"/>
      <c r="O452" s="389"/>
      <c r="P452" s="90"/>
      <c r="Q452" s="389"/>
      <c r="R452">
        <f t="shared" si="221"/>
        <v>180</v>
      </c>
      <c r="S452" s="451"/>
      <c r="T452" s="451"/>
      <c r="U452" s="451"/>
      <c r="V452" s="3"/>
    </row>
    <row r="453" spans="1:32" x14ac:dyDescent="0.35">
      <c r="A453">
        <f t="shared" si="223"/>
        <v>181</v>
      </c>
      <c r="B453" s="123" t="str">
        <f t="shared" si="224"/>
        <v xml:space="preserve"> - AN/APG-83 Scalable Agile Beam Radar (SABR). Most capable radar for F18 needed to navigate the AIM-260 or AIM-174B all the way to the target without using external radar aircraft like Hawkeye</v>
      </c>
      <c r="C453" s="31" t="s">
        <v>1251</v>
      </c>
      <c r="D453" s="425" t="s">
        <v>1251</v>
      </c>
      <c r="E453" s="70" t="s">
        <v>34</v>
      </c>
      <c r="F453" s="70" t="s">
        <v>34</v>
      </c>
      <c r="G453" s="70" t="s">
        <v>34</v>
      </c>
      <c r="H453" s="70" t="s">
        <v>34</v>
      </c>
      <c r="I453" s="70" t="s">
        <v>34</v>
      </c>
      <c r="J453" s="421" t="s">
        <v>34</v>
      </c>
      <c r="K453" s="389" t="s">
        <v>1251</v>
      </c>
      <c r="L453" s="389" t="s">
        <v>34</v>
      </c>
      <c r="M453" s="389" t="s">
        <v>34</v>
      </c>
      <c r="N453" s="389" t="s">
        <v>34</v>
      </c>
      <c r="O453" s="389" t="s">
        <v>34</v>
      </c>
      <c r="P453" s="90" t="s">
        <v>34</v>
      </c>
      <c r="Q453" s="389" t="s">
        <v>34</v>
      </c>
      <c r="R453">
        <f t="shared" si="221"/>
        <v>181</v>
      </c>
      <c r="S453" s="451"/>
      <c r="T453" s="451"/>
      <c r="U453" s="451"/>
      <c r="V453" s="3"/>
    </row>
    <row r="454" spans="1:32" x14ac:dyDescent="0.35">
      <c r="A454">
        <f t="shared" si="223"/>
        <v>182</v>
      </c>
      <c r="B454" s="123" t="str">
        <f t="shared" si="224"/>
        <v xml:space="preserve"> - AIM-174B (aka SM-6), air to air, sea &amp; land missile 860 kg</v>
      </c>
      <c r="C454" s="31" t="s">
        <v>1289</v>
      </c>
      <c r="D454" s="4"/>
      <c r="E454" s="70" t="s">
        <v>35</v>
      </c>
      <c r="F454" s="70" t="s">
        <v>35</v>
      </c>
      <c r="G454" s="70" t="s">
        <v>34</v>
      </c>
      <c r="H454" s="70" t="s">
        <v>34</v>
      </c>
      <c r="I454" s="70" t="s">
        <v>34</v>
      </c>
      <c r="J454" s="70" t="s">
        <v>34</v>
      </c>
      <c r="K454" s="149" t="s">
        <v>1307</v>
      </c>
      <c r="L454" s="123" t="s">
        <v>1104</v>
      </c>
      <c r="M454" s="123" t="s">
        <v>1104</v>
      </c>
      <c r="N454" s="123" t="s">
        <v>1104</v>
      </c>
      <c r="O454" s="123" t="s">
        <v>1104</v>
      </c>
      <c r="P454" s="123" t="s">
        <v>1104</v>
      </c>
      <c r="Q454" s="149" t="s">
        <v>1195</v>
      </c>
      <c r="R454">
        <f t="shared" si="221"/>
        <v>182</v>
      </c>
      <c r="S454" s="451"/>
      <c r="T454" s="451"/>
      <c r="U454" s="451"/>
      <c r="V454" s="3" t="s">
        <v>34</v>
      </c>
      <c r="W454" s="159" t="s">
        <v>34</v>
      </c>
    </row>
    <row r="455" spans="1:32" x14ac:dyDescent="0.35">
      <c r="A455">
        <f t="shared" si="223"/>
        <v>183</v>
      </c>
      <c r="B455" s="123" t="str">
        <f t="shared" si="224"/>
        <v xml:space="preserve"> - AIM-260 air to air missile replacement for AIM-120 about 161 kg</v>
      </c>
      <c r="C455" t="s">
        <v>1260</v>
      </c>
      <c r="D455" s="574" t="s">
        <v>2048</v>
      </c>
      <c r="E455" s="70" t="s">
        <v>35</v>
      </c>
      <c r="F455" s="70" t="s">
        <v>35</v>
      </c>
      <c r="G455" s="70" t="s">
        <v>34</v>
      </c>
      <c r="H455" s="70" t="s">
        <v>34</v>
      </c>
      <c r="I455" s="70" t="s">
        <v>34</v>
      </c>
      <c r="J455" s="87" t="s">
        <v>34</v>
      </c>
      <c r="K455" s="4" t="s">
        <v>1260</v>
      </c>
      <c r="L455" s="574" t="s">
        <v>1263</v>
      </c>
      <c r="M455" s="123" t="s">
        <v>35</v>
      </c>
      <c r="N455" s="574" t="s">
        <v>1263</v>
      </c>
      <c r="O455" s="430"/>
      <c r="P455" s="430"/>
      <c r="Q455" s="419"/>
      <c r="R455">
        <f t="shared" si="221"/>
        <v>183</v>
      </c>
      <c r="S455" s="452"/>
      <c r="T455" s="452"/>
      <c r="U455" s="451"/>
      <c r="V455" s="3" t="s">
        <v>34</v>
      </c>
      <c r="W455" s="159" t="s">
        <v>34</v>
      </c>
    </row>
    <row r="456" spans="1:32" x14ac:dyDescent="0.35">
      <c r="A456">
        <f t="shared" si="223"/>
        <v>184</v>
      </c>
      <c r="B456" s="123" t="str">
        <f t="shared" si="224"/>
        <v>EA-18G Growler electronic warfare jet based on Super Hornet</v>
      </c>
      <c r="C456" t="s">
        <v>2776</v>
      </c>
      <c r="D456" s="4" t="s">
        <v>2778</v>
      </c>
      <c r="E456" s="70" t="s">
        <v>35</v>
      </c>
      <c r="F456" s="70" t="s">
        <v>34</v>
      </c>
      <c r="G456" s="70" t="s">
        <v>34</v>
      </c>
      <c r="H456" s="70" t="s">
        <v>34</v>
      </c>
      <c r="I456" s="70" t="s">
        <v>34</v>
      </c>
      <c r="J456" s="87" t="s">
        <v>34</v>
      </c>
      <c r="K456" s="4" t="s">
        <v>2776</v>
      </c>
      <c r="L456" s="4" t="s">
        <v>2776</v>
      </c>
      <c r="M456" s="4" t="s">
        <v>2776</v>
      </c>
      <c r="N456" s="4" t="s">
        <v>2776</v>
      </c>
      <c r="O456" s="4" t="s">
        <v>2776</v>
      </c>
      <c r="P456" s="4" t="s">
        <v>2776</v>
      </c>
      <c r="Q456" s="149" t="s">
        <v>2782</v>
      </c>
      <c r="R456">
        <f t="shared" si="221"/>
        <v>184</v>
      </c>
      <c r="S456" s="452"/>
      <c r="T456" s="452"/>
      <c r="U456" s="451"/>
      <c r="V456" s="3"/>
    </row>
    <row r="457" spans="1:32" x14ac:dyDescent="0.35">
      <c r="A457">
        <f t="shared" si="223"/>
        <v>185</v>
      </c>
      <c r="B457" s="123" t="str">
        <f t="shared" si="224"/>
        <v>XQ-58 Valkyrie UAV stealth fighter</v>
      </c>
      <c r="C457" s="90" t="s">
        <v>1310</v>
      </c>
      <c r="D457" t="s">
        <v>34</v>
      </c>
      <c r="E457" s="70" t="s">
        <v>35</v>
      </c>
      <c r="F457" s="70" t="s">
        <v>35</v>
      </c>
      <c r="G457" s="70" t="s">
        <v>34</v>
      </c>
      <c r="H457" s="70" t="s">
        <v>34</v>
      </c>
      <c r="I457" s="70" t="s">
        <v>34</v>
      </c>
      <c r="J457" s="70" t="s">
        <v>34</v>
      </c>
      <c r="K457" s="149" t="s">
        <v>1310</v>
      </c>
      <c r="L457" s="149" t="s">
        <v>1310</v>
      </c>
      <c r="M457" s="389" t="s">
        <v>35</v>
      </c>
      <c r="N457" s="149" t="s">
        <v>1310</v>
      </c>
      <c r="O457" s="51"/>
      <c r="P457" s="51"/>
      <c r="Q457" s="149"/>
      <c r="R457">
        <f t="shared" si="221"/>
        <v>185</v>
      </c>
      <c r="S457" s="451"/>
      <c r="T457" s="451"/>
      <c r="U457" s="451"/>
      <c r="V457" s="3"/>
    </row>
    <row r="458" spans="1:32" x14ac:dyDescent="0.35">
      <c r="A458">
        <f t="shared" si="223"/>
        <v>186</v>
      </c>
      <c r="B458" s="123" t="str">
        <f t="shared" si="224"/>
        <v>F35 NATO fighter jet radar invisible</v>
      </c>
      <c r="C458" s="31" t="s">
        <v>518</v>
      </c>
      <c r="D458" t="s">
        <v>517</v>
      </c>
      <c r="E458" s="70" t="s">
        <v>35</v>
      </c>
      <c r="F458" s="70" t="s">
        <v>35</v>
      </c>
      <c r="G458" s="70" t="s">
        <v>34</v>
      </c>
      <c r="H458" s="70" t="s">
        <v>34</v>
      </c>
      <c r="I458" s="70" t="s">
        <v>34</v>
      </c>
      <c r="J458" s="70" t="s">
        <v>34</v>
      </c>
      <c r="K458" s="149" t="s">
        <v>518</v>
      </c>
      <c r="L458" s="123" t="s">
        <v>518</v>
      </c>
      <c r="M458" s="123" t="s">
        <v>34</v>
      </c>
      <c r="N458" s="149" t="s">
        <v>518</v>
      </c>
      <c r="O458" s="51" t="s">
        <v>518</v>
      </c>
      <c r="P458" s="51"/>
      <c r="Q458" s="123"/>
      <c r="R458">
        <f t="shared" si="221"/>
        <v>186</v>
      </c>
      <c r="U458" s="451"/>
      <c r="V458" s="3" t="s">
        <v>34</v>
      </c>
      <c r="W458" s="159" t="s">
        <v>34</v>
      </c>
      <c r="AF458" t="s">
        <v>34</v>
      </c>
    </row>
    <row r="459" spans="1:32" x14ac:dyDescent="0.35">
      <c r="A459">
        <f t="shared" si="223"/>
        <v>187</v>
      </c>
      <c r="B459" s="123" t="str">
        <f t="shared" si="224"/>
        <v xml:space="preserve"> - 25mm gun GAU-22/A</v>
      </c>
      <c r="C459" s="90" t="s">
        <v>544</v>
      </c>
      <c r="D459" t="s">
        <v>422</v>
      </c>
      <c r="E459" s="172" t="s">
        <v>34</v>
      </c>
      <c r="F459" s="58" t="s">
        <v>34</v>
      </c>
      <c r="G459" s="70" t="s">
        <v>34</v>
      </c>
      <c r="H459" s="70" t="s">
        <v>35</v>
      </c>
      <c r="I459" s="70" t="s">
        <v>35</v>
      </c>
      <c r="J459" s="70" t="s">
        <v>35</v>
      </c>
      <c r="K459" s="389" t="s">
        <v>544</v>
      </c>
      <c r="L459" s="389" t="s">
        <v>544</v>
      </c>
      <c r="M459" s="389" t="s">
        <v>35</v>
      </c>
      <c r="N459" s="123" t="s">
        <v>34</v>
      </c>
      <c r="O459" s="51" t="s">
        <v>180</v>
      </c>
      <c r="P459" s="51"/>
      <c r="Q459" s="123"/>
      <c r="R459">
        <f t="shared" si="221"/>
        <v>187</v>
      </c>
      <c r="U459" s="451"/>
      <c r="V459" s="3" t="s">
        <v>34</v>
      </c>
      <c r="W459" s="159" t="s">
        <v>34</v>
      </c>
      <c r="AF459" t="s">
        <v>34</v>
      </c>
    </row>
    <row r="460" spans="1:32" x14ac:dyDescent="0.35">
      <c r="A460">
        <f t="shared" si="223"/>
        <v>188</v>
      </c>
      <c r="B460" s="123" t="str">
        <f t="shared" si="224"/>
        <v xml:space="preserve"> - Meteor air to air missile Europe</v>
      </c>
      <c r="C460" s="90" t="s">
        <v>2745</v>
      </c>
      <c r="D460" s="90" t="s">
        <v>2745</v>
      </c>
      <c r="E460" s="172"/>
      <c r="F460" s="58"/>
      <c r="G460" s="70"/>
      <c r="H460" s="70"/>
      <c r="I460" s="70"/>
      <c r="J460" s="70"/>
      <c r="K460" s="389" t="s">
        <v>2745</v>
      </c>
      <c r="L460" s="389" t="s">
        <v>2745</v>
      </c>
      <c r="M460" s="389" t="s">
        <v>2745</v>
      </c>
      <c r="N460" s="389" t="s">
        <v>2745</v>
      </c>
      <c r="O460" s="389" t="s">
        <v>2745</v>
      </c>
      <c r="P460" s="51"/>
      <c r="Q460" s="123"/>
      <c r="R460">
        <f t="shared" si="221"/>
        <v>188</v>
      </c>
      <c r="U460" s="451"/>
      <c r="V460" s="3"/>
    </row>
    <row r="461" spans="1:32" x14ac:dyDescent="0.35">
      <c r="A461">
        <f t="shared" si="223"/>
        <v>189</v>
      </c>
      <c r="B461" s="123" t="str">
        <f t="shared" si="224"/>
        <v xml:space="preserve"> - Joint Strike Missile cruise missile, F35 can carry 2 in its internal weapons bay with 4 more externally </v>
      </c>
      <c r="C461" s="430" t="s">
        <v>480</v>
      </c>
      <c r="D461" t="s">
        <v>479</v>
      </c>
      <c r="E461" s="70" t="s">
        <v>35</v>
      </c>
      <c r="F461" s="70" t="s">
        <v>35</v>
      </c>
      <c r="G461" s="70" t="s">
        <v>35</v>
      </c>
      <c r="H461" s="70" t="s">
        <v>34</v>
      </c>
      <c r="I461" s="70" t="s">
        <v>34</v>
      </c>
      <c r="J461" s="70" t="s">
        <v>34</v>
      </c>
      <c r="K461" s="419" t="s">
        <v>480</v>
      </c>
      <c r="L461" s="419" t="s">
        <v>480</v>
      </c>
      <c r="M461" s="123" t="s">
        <v>35</v>
      </c>
      <c r="N461" s="419" t="s">
        <v>480</v>
      </c>
      <c r="O461" s="430" t="s">
        <v>480</v>
      </c>
      <c r="P461" s="430"/>
      <c r="Q461" s="419"/>
      <c r="R461">
        <f t="shared" si="221"/>
        <v>189</v>
      </c>
      <c r="S461" s="452"/>
      <c r="T461" s="452"/>
      <c r="U461" s="451"/>
      <c r="V461" s="3" t="s">
        <v>34</v>
      </c>
      <c r="W461" s="159" t="s">
        <v>34</v>
      </c>
      <c r="AF461" t="s">
        <v>34</v>
      </c>
    </row>
    <row r="462" spans="1:32" x14ac:dyDescent="0.35">
      <c r="A462">
        <f t="shared" si="223"/>
        <v>190</v>
      </c>
      <c r="B462" s="615" t="str">
        <f t="shared" si="224"/>
        <v xml:space="preserve"> - Rampage, ballistic air to ground missile</v>
      </c>
      <c r="C462" s="814" t="s">
        <v>2486</v>
      </c>
      <c r="D462" s="627" t="s">
        <v>1494</v>
      </c>
      <c r="E462" s="585" t="s">
        <v>35</v>
      </c>
      <c r="F462" s="585"/>
      <c r="G462" s="585"/>
      <c r="H462" s="585"/>
      <c r="I462" s="585"/>
      <c r="J462" s="585"/>
      <c r="K462" s="815" t="s">
        <v>2486</v>
      </c>
      <c r="L462" s="815" t="s">
        <v>2486</v>
      </c>
      <c r="M462" s="615" t="s">
        <v>35</v>
      </c>
      <c r="N462" s="815" t="s">
        <v>2486</v>
      </c>
      <c r="O462" s="814"/>
      <c r="P462" s="814"/>
      <c r="Q462" s="815"/>
      <c r="R462">
        <f t="shared" si="221"/>
        <v>190</v>
      </c>
      <c r="S462" s="452"/>
      <c r="T462" s="452"/>
      <c r="U462" s="451"/>
      <c r="V462" s="4" t="s">
        <v>2491</v>
      </c>
      <c r="W462" s="813" t="s">
        <v>2486</v>
      </c>
      <c r="X462" s="813" t="s">
        <v>2486</v>
      </c>
      <c r="Y462" t="s">
        <v>34</v>
      </c>
    </row>
    <row r="463" spans="1:32" x14ac:dyDescent="0.35">
      <c r="A463">
        <f t="shared" si="223"/>
        <v>191</v>
      </c>
      <c r="B463" s="615" t="str">
        <f t="shared" si="224"/>
        <v xml:space="preserve"> - ROCKS air to ground ballistic missile F16, F35 designed to hit Iran and be difficult to shoot down or jam</v>
      </c>
      <c r="C463" s="626" t="s">
        <v>1813</v>
      </c>
      <c r="D463" s="631"/>
      <c r="E463" s="585" t="s">
        <v>35</v>
      </c>
      <c r="F463" s="585"/>
      <c r="G463" s="585"/>
      <c r="H463" s="585"/>
      <c r="I463" s="585"/>
      <c r="J463" s="585"/>
      <c r="K463" s="638" t="s">
        <v>1987</v>
      </c>
      <c r="L463" s="638" t="s">
        <v>1816</v>
      </c>
      <c r="M463" s="615"/>
      <c r="N463" s="638" t="s">
        <v>1817</v>
      </c>
      <c r="O463" s="51"/>
      <c r="P463" s="629"/>
      <c r="Q463" s="615"/>
      <c r="R463">
        <f t="shared" si="221"/>
        <v>191</v>
      </c>
      <c r="V463" s="3" t="s">
        <v>2497</v>
      </c>
      <c r="W463" s="159" t="s">
        <v>34</v>
      </c>
    </row>
    <row r="464" spans="1:32" x14ac:dyDescent="0.35">
      <c r="A464">
        <f t="shared" si="223"/>
        <v>192</v>
      </c>
      <c r="B464" s="615" t="str">
        <f t="shared" si="224"/>
        <v xml:space="preserve"> - Air-LORA Israeli air to ground ballistic missile, same as LORA but air launched </v>
      </c>
      <c r="C464" s="626" t="s">
        <v>1476</v>
      </c>
      <c r="D464" s="627" t="s">
        <v>1494</v>
      </c>
      <c r="E464" s="585" t="s">
        <v>35</v>
      </c>
      <c r="F464" s="585" t="s">
        <v>35</v>
      </c>
      <c r="G464" s="585" t="s">
        <v>34</v>
      </c>
      <c r="H464" s="585" t="s">
        <v>34</v>
      </c>
      <c r="I464" s="585" t="s">
        <v>34</v>
      </c>
      <c r="J464" s="585" t="s">
        <v>34</v>
      </c>
      <c r="K464" s="628" t="s">
        <v>1476</v>
      </c>
      <c r="L464" s="628" t="s">
        <v>1484</v>
      </c>
      <c r="M464" s="615" t="s">
        <v>35</v>
      </c>
      <c r="N464" s="628" t="s">
        <v>1476</v>
      </c>
      <c r="O464" s="51" t="s">
        <v>180</v>
      </c>
      <c r="P464" s="629"/>
      <c r="Q464" s="615"/>
      <c r="R464">
        <f t="shared" si="221"/>
        <v>192</v>
      </c>
      <c r="V464" s="3" t="s">
        <v>2497</v>
      </c>
      <c r="X464" t="s">
        <v>1511</v>
      </c>
      <c r="Y464" t="s">
        <v>2494</v>
      </c>
    </row>
    <row r="465" spans="1:32" x14ac:dyDescent="0.35">
      <c r="A465">
        <f t="shared" si="223"/>
        <v>193</v>
      </c>
      <c r="B465" s="123" t="str">
        <f t="shared" si="224"/>
        <v>F16 (AM/BM Danish v. for UKR)</v>
      </c>
      <c r="C465" s="31" t="s">
        <v>416</v>
      </c>
      <c r="D465" t="s">
        <v>417</v>
      </c>
      <c r="E465" s="70" t="s">
        <v>35</v>
      </c>
      <c r="F465" s="70" t="s">
        <v>35</v>
      </c>
      <c r="G465" s="70" t="s">
        <v>34</v>
      </c>
      <c r="H465" s="70" t="s">
        <v>34</v>
      </c>
      <c r="I465" s="70" t="s">
        <v>34</v>
      </c>
      <c r="J465" s="70" t="s">
        <v>34</v>
      </c>
      <c r="K465" s="149" t="s">
        <v>416</v>
      </c>
      <c r="L465" s="389" t="s">
        <v>416</v>
      </c>
      <c r="M465" s="123" t="s">
        <v>34</v>
      </c>
      <c r="N465" s="149" t="s">
        <v>414</v>
      </c>
      <c r="O465" s="51" t="s">
        <v>414</v>
      </c>
      <c r="P465" s="51"/>
      <c r="Q465" s="149" t="s">
        <v>2639</v>
      </c>
      <c r="R465">
        <f t="shared" si="221"/>
        <v>193</v>
      </c>
      <c r="U465" s="451"/>
      <c r="V465" s="3" t="s">
        <v>34</v>
      </c>
      <c r="W465" s="159" t="s">
        <v>34</v>
      </c>
      <c r="AF465" t="s">
        <v>34</v>
      </c>
    </row>
    <row r="466" spans="1:32" x14ac:dyDescent="0.35">
      <c r="A466">
        <f t="shared" si="223"/>
        <v>194</v>
      </c>
      <c r="B466" s="123" t="str">
        <f t="shared" si="224"/>
        <v xml:space="preserve"> - AN/APG-66(V)2 radar for weapons navigation</v>
      </c>
      <c r="C466" s="31" t="s">
        <v>2218</v>
      </c>
      <c r="E466" s="70"/>
      <c r="F466" s="70"/>
      <c r="G466" s="70"/>
      <c r="H466" s="70"/>
      <c r="I466" s="70"/>
      <c r="J466" s="70"/>
      <c r="K466" s="149" t="s">
        <v>2219</v>
      </c>
      <c r="L466" s="389"/>
      <c r="M466" s="123"/>
      <c r="N466" s="149"/>
      <c r="O466" s="51"/>
      <c r="P466" s="51"/>
      <c r="Q466" s="123"/>
      <c r="R466">
        <f t="shared" si="221"/>
        <v>194</v>
      </c>
      <c r="U466" s="451"/>
      <c r="V466" s="3"/>
    </row>
    <row r="467" spans="1:32" x14ac:dyDescent="0.35">
      <c r="A467">
        <f t="shared" si="223"/>
        <v>195</v>
      </c>
      <c r="B467" s="123" t="str">
        <f t="shared" si="224"/>
        <v xml:space="preserve"> - JDAM glider bomb for F16, GBU-31 kit</v>
      </c>
      <c r="C467" s="430" t="s">
        <v>442</v>
      </c>
      <c r="D467" s="4" t="s">
        <v>442</v>
      </c>
      <c r="E467" s="172" t="s">
        <v>34</v>
      </c>
      <c r="F467" s="58" t="s">
        <v>34</v>
      </c>
      <c r="G467" s="70" t="s">
        <v>35</v>
      </c>
      <c r="H467" s="70" t="s">
        <v>35</v>
      </c>
      <c r="I467" s="70" t="s">
        <v>35</v>
      </c>
      <c r="J467" s="70" t="s">
        <v>34</v>
      </c>
      <c r="K467" s="419" t="s">
        <v>442</v>
      </c>
      <c r="L467" s="123" t="s">
        <v>34</v>
      </c>
      <c r="M467" s="123" t="s">
        <v>34</v>
      </c>
      <c r="N467" s="123" t="s">
        <v>442</v>
      </c>
      <c r="O467" s="51" t="s">
        <v>442</v>
      </c>
      <c r="P467" s="51"/>
      <c r="Q467" s="123"/>
      <c r="R467">
        <f t="shared" si="221"/>
        <v>195</v>
      </c>
      <c r="U467" s="451"/>
      <c r="V467" s="3" t="s">
        <v>34</v>
      </c>
      <c r="W467" s="159" t="s">
        <v>34</v>
      </c>
      <c r="AF467" t="s">
        <v>34</v>
      </c>
    </row>
    <row r="468" spans="1:32" x14ac:dyDescent="0.35">
      <c r="A468">
        <f t="shared" si="223"/>
        <v>196</v>
      </c>
      <c r="B468" s="123" t="str">
        <f t="shared" si="224"/>
        <v xml:space="preserve"> - GBU-39 Small Glider Bomb/GLSDB</v>
      </c>
      <c r="C468" s="430" t="s">
        <v>643</v>
      </c>
      <c r="D468" t="s">
        <v>720</v>
      </c>
      <c r="E468" s="172" t="s">
        <v>34</v>
      </c>
      <c r="F468" s="58" t="s">
        <v>34</v>
      </c>
      <c r="G468" s="70" t="s">
        <v>35</v>
      </c>
      <c r="H468" s="70" t="s">
        <v>35</v>
      </c>
      <c r="I468" s="70" t="s">
        <v>35</v>
      </c>
      <c r="J468" s="70" t="s">
        <v>34</v>
      </c>
      <c r="K468" s="419" t="s">
        <v>643</v>
      </c>
      <c r="L468" s="123" t="s">
        <v>34</v>
      </c>
      <c r="M468" s="123" t="s">
        <v>34</v>
      </c>
      <c r="N468" s="123" t="s">
        <v>643</v>
      </c>
      <c r="O468" s="51" t="s">
        <v>643</v>
      </c>
      <c r="P468" s="51"/>
      <c r="Q468" s="123"/>
      <c r="R468">
        <f t="shared" si="221"/>
        <v>196</v>
      </c>
      <c r="U468" s="451"/>
      <c r="V468" s="3" t="s">
        <v>34</v>
      </c>
      <c r="W468" s="159" t="s">
        <v>34</v>
      </c>
      <c r="AF468" t="s">
        <v>34</v>
      </c>
    </row>
    <row r="469" spans="1:32" x14ac:dyDescent="0.35">
      <c r="A469">
        <f t="shared" si="223"/>
        <v>197</v>
      </c>
      <c r="B469" s="123" t="str">
        <f t="shared" si="224"/>
        <v xml:space="preserve"> - AGM-154A - JSOW, glide bombs</v>
      </c>
      <c r="C469" s="430" t="s">
        <v>1303</v>
      </c>
      <c r="D469" s="430" t="s">
        <v>1303</v>
      </c>
      <c r="E469" s="172" t="s">
        <v>34</v>
      </c>
      <c r="F469" s="58" t="s">
        <v>34</v>
      </c>
      <c r="G469" s="70" t="s">
        <v>35</v>
      </c>
      <c r="H469" s="70" t="s">
        <v>35</v>
      </c>
      <c r="I469" s="70" t="s">
        <v>35</v>
      </c>
      <c r="J469" s="70" t="s">
        <v>34</v>
      </c>
      <c r="K469" s="430" t="s">
        <v>1303</v>
      </c>
      <c r="L469" s="430" t="s">
        <v>1303</v>
      </c>
      <c r="M469" s="123" t="s">
        <v>34</v>
      </c>
      <c r="N469" s="430" t="s">
        <v>1303</v>
      </c>
      <c r="O469" s="430" t="s">
        <v>1303</v>
      </c>
      <c r="P469" s="51"/>
      <c r="Q469" s="123"/>
      <c r="R469">
        <f t="shared" si="221"/>
        <v>197</v>
      </c>
      <c r="U469" s="451"/>
      <c r="V469" t="s">
        <v>1315</v>
      </c>
    </row>
    <row r="470" spans="1:32" x14ac:dyDescent="0.35">
      <c r="A470">
        <f t="shared" si="223"/>
        <v>198</v>
      </c>
      <c r="B470" s="123" t="str">
        <f t="shared" si="224"/>
        <v xml:space="preserve"> - AGM-154B - JSOW, glide bombs</v>
      </c>
      <c r="C470" s="430" t="s">
        <v>1303</v>
      </c>
      <c r="D470" s="430" t="s">
        <v>1303</v>
      </c>
      <c r="E470" s="172" t="s">
        <v>34</v>
      </c>
      <c r="F470" s="58" t="s">
        <v>34</v>
      </c>
      <c r="G470" s="70" t="s">
        <v>35</v>
      </c>
      <c r="H470" s="70" t="s">
        <v>35</v>
      </c>
      <c r="I470" s="70" t="s">
        <v>35</v>
      </c>
      <c r="J470" s="70" t="s">
        <v>34</v>
      </c>
      <c r="K470" s="430" t="s">
        <v>1303</v>
      </c>
      <c r="L470" s="430" t="s">
        <v>1303</v>
      </c>
      <c r="M470" s="123" t="s">
        <v>34</v>
      </c>
      <c r="N470" s="430" t="s">
        <v>1303</v>
      </c>
      <c r="O470" s="430" t="s">
        <v>1303</v>
      </c>
      <c r="P470" s="51"/>
      <c r="Q470" s="123"/>
      <c r="R470">
        <f t="shared" si="221"/>
        <v>198</v>
      </c>
      <c r="U470" s="451"/>
      <c r="V470" s="3"/>
    </row>
    <row r="471" spans="1:32" x14ac:dyDescent="0.35">
      <c r="A471">
        <f t="shared" si="223"/>
        <v>199</v>
      </c>
      <c r="B471" s="123" t="str">
        <f t="shared" si="224"/>
        <v xml:space="preserve"> - AGM-154C - JSOW, glide bombs</v>
      </c>
      <c r="C471" s="430" t="s">
        <v>1303</v>
      </c>
      <c r="D471" s="430" t="s">
        <v>1303</v>
      </c>
      <c r="E471" s="172" t="s">
        <v>34</v>
      </c>
      <c r="F471" s="58" t="s">
        <v>34</v>
      </c>
      <c r="G471" s="70" t="s">
        <v>35</v>
      </c>
      <c r="H471" s="70" t="s">
        <v>35</v>
      </c>
      <c r="I471" s="70" t="s">
        <v>35</v>
      </c>
      <c r="J471" s="70" t="s">
        <v>34</v>
      </c>
      <c r="K471" s="430" t="s">
        <v>1303</v>
      </c>
      <c r="L471" s="430" t="s">
        <v>1303</v>
      </c>
      <c r="M471" s="123" t="s">
        <v>34</v>
      </c>
      <c r="N471" s="430" t="s">
        <v>1303</v>
      </c>
      <c r="O471" s="430" t="s">
        <v>1303</v>
      </c>
      <c r="P471" s="51"/>
      <c r="Q471" s="123"/>
      <c r="R471">
        <f t="shared" ref="R471:R481" si="225">R470+1</f>
        <v>199</v>
      </c>
      <c r="U471" s="451"/>
      <c r="V471" s="3"/>
    </row>
    <row r="472" spans="1:32" x14ac:dyDescent="0.35">
      <c r="A472">
        <f t="shared" si="223"/>
        <v>200</v>
      </c>
      <c r="B472" s="123" t="str">
        <f t="shared" si="224"/>
        <v xml:space="preserve"> - AGM-65 Maverick land rocket for F16 </v>
      </c>
      <c r="C472" s="430" t="s">
        <v>475</v>
      </c>
      <c r="D472" s="4" t="s">
        <v>475</v>
      </c>
      <c r="E472" s="172" t="s">
        <v>34</v>
      </c>
      <c r="F472" s="58" t="s">
        <v>34</v>
      </c>
      <c r="G472" s="70" t="s">
        <v>35</v>
      </c>
      <c r="H472" s="70" t="s">
        <v>35</v>
      </c>
      <c r="I472" s="70" t="s">
        <v>35</v>
      </c>
      <c r="J472" s="70" t="s">
        <v>34</v>
      </c>
      <c r="K472" s="419" t="s">
        <v>475</v>
      </c>
      <c r="L472" s="419" t="s">
        <v>475</v>
      </c>
      <c r="M472" s="123" t="s">
        <v>35</v>
      </c>
      <c r="N472" s="419" t="s">
        <v>475</v>
      </c>
      <c r="O472" s="430" t="s">
        <v>475</v>
      </c>
      <c r="P472" s="430"/>
      <c r="Q472" s="419"/>
      <c r="R472">
        <f t="shared" si="225"/>
        <v>200</v>
      </c>
      <c r="S472" s="452"/>
      <c r="T472" s="452"/>
      <c r="U472" s="451"/>
      <c r="V472" s="3" t="s">
        <v>34</v>
      </c>
      <c r="W472" s="159" t="s">
        <v>34</v>
      </c>
      <c r="AF472" t="s">
        <v>34</v>
      </c>
    </row>
    <row r="473" spans="1:32" x14ac:dyDescent="0.35">
      <c r="A473">
        <f t="shared" si="223"/>
        <v>201</v>
      </c>
      <c r="B473" s="123" t="str">
        <f t="shared" si="224"/>
        <v xml:space="preserve"> - AIM-120C-5/6/7 air-to air missile for NATO aircraft</v>
      </c>
      <c r="C473" s="90" t="s">
        <v>426</v>
      </c>
      <c r="D473" s="4" t="s">
        <v>426</v>
      </c>
      <c r="E473" s="70" t="s">
        <v>34</v>
      </c>
      <c r="F473" s="70" t="s">
        <v>35</v>
      </c>
      <c r="G473" s="70" t="s">
        <v>35</v>
      </c>
      <c r="H473" s="70" t="s">
        <v>34</v>
      </c>
      <c r="I473" s="70" t="s">
        <v>34</v>
      </c>
      <c r="J473" s="70" t="s">
        <v>34</v>
      </c>
      <c r="K473" s="389" t="s">
        <v>426</v>
      </c>
      <c r="L473" s="389" t="s">
        <v>426</v>
      </c>
      <c r="M473" s="123" t="s">
        <v>35</v>
      </c>
      <c r="N473" s="123" t="s">
        <v>426</v>
      </c>
      <c r="O473" s="51" t="s">
        <v>426</v>
      </c>
      <c r="P473" s="51"/>
      <c r="Q473" s="123"/>
      <c r="R473">
        <f t="shared" si="225"/>
        <v>201</v>
      </c>
      <c r="U473" s="451"/>
      <c r="V473" s="3" t="s">
        <v>34</v>
      </c>
      <c r="W473" s="159" t="s">
        <v>34</v>
      </c>
      <c r="AF473" t="s">
        <v>34</v>
      </c>
    </row>
    <row r="474" spans="1:32" x14ac:dyDescent="0.35">
      <c r="A474">
        <f t="shared" si="223"/>
        <v>202</v>
      </c>
      <c r="B474" s="123" t="str">
        <f t="shared" si="224"/>
        <v xml:space="preserve"> - AIM-120D newest variant longest range NATO air to air missile that is fully tested and operational</v>
      </c>
      <c r="C474" s="90" t="s">
        <v>426</v>
      </c>
      <c r="D474" s="4" t="s">
        <v>426</v>
      </c>
      <c r="E474" s="70" t="s">
        <v>34</v>
      </c>
      <c r="F474" s="70" t="s">
        <v>35</v>
      </c>
      <c r="G474" s="70" t="s">
        <v>35</v>
      </c>
      <c r="H474" s="70" t="s">
        <v>34</v>
      </c>
      <c r="I474" s="70" t="s">
        <v>34</v>
      </c>
      <c r="J474" s="70" t="s">
        <v>34</v>
      </c>
      <c r="K474" s="389" t="s">
        <v>426</v>
      </c>
      <c r="L474" s="389" t="s">
        <v>426</v>
      </c>
      <c r="M474" s="123" t="s">
        <v>35</v>
      </c>
      <c r="N474" s="123" t="s">
        <v>426</v>
      </c>
      <c r="O474" s="51" t="s">
        <v>426</v>
      </c>
      <c r="P474" s="51"/>
      <c r="Q474" s="149" t="s">
        <v>2641</v>
      </c>
      <c r="R474">
        <f t="shared" si="225"/>
        <v>202</v>
      </c>
      <c r="U474" s="451"/>
      <c r="V474" s="3" t="s">
        <v>34</v>
      </c>
      <c r="W474" s="159" t="s">
        <v>2058</v>
      </c>
    </row>
    <row r="475" spans="1:32" x14ac:dyDescent="0.35">
      <c r="A475">
        <f t="shared" si="223"/>
        <v>203</v>
      </c>
      <c r="B475" s="123" t="str">
        <f t="shared" si="224"/>
        <v xml:space="preserve"> - AIM-9M Sidewinder anti-aircraft for Ukraine F16</v>
      </c>
      <c r="C475" s="90" t="s">
        <v>472</v>
      </c>
      <c r="D475" s="4" t="s">
        <v>472</v>
      </c>
      <c r="E475" s="70" t="s">
        <v>34</v>
      </c>
      <c r="F475" s="70" t="s">
        <v>35</v>
      </c>
      <c r="G475" s="70" t="s">
        <v>35</v>
      </c>
      <c r="H475" s="70" t="s">
        <v>34</v>
      </c>
      <c r="I475" s="70" t="s">
        <v>34</v>
      </c>
      <c r="J475" s="70" t="s">
        <v>34</v>
      </c>
      <c r="K475" s="389" t="s">
        <v>2170</v>
      </c>
      <c r="L475" s="389" t="s">
        <v>472</v>
      </c>
      <c r="M475" s="123" t="s">
        <v>35</v>
      </c>
      <c r="N475" s="123" t="s">
        <v>472</v>
      </c>
      <c r="O475" s="51" t="s">
        <v>472</v>
      </c>
      <c r="P475" s="51"/>
      <c r="Q475" s="123"/>
      <c r="R475">
        <f t="shared" si="225"/>
        <v>203</v>
      </c>
      <c r="U475" s="451"/>
      <c r="V475" s="3" t="s">
        <v>34</v>
      </c>
      <c r="W475" s="551" t="s">
        <v>2169</v>
      </c>
      <c r="AF475" t="s">
        <v>34</v>
      </c>
    </row>
    <row r="476" spans="1:32" x14ac:dyDescent="0.35">
      <c r="A476">
        <f t="shared" si="223"/>
        <v>204</v>
      </c>
      <c r="B476" s="123" t="str">
        <f t="shared" si="224"/>
        <v xml:space="preserve"> - AIM-7 Sparrow US air to air missile Ukraine got them</v>
      </c>
      <c r="C476" s="90" t="s">
        <v>2180</v>
      </c>
      <c r="D476" s="4" t="s">
        <v>2180</v>
      </c>
      <c r="E476" s="70" t="s">
        <v>34</v>
      </c>
      <c r="F476" s="70" t="s">
        <v>35</v>
      </c>
      <c r="G476" s="70" t="s">
        <v>35</v>
      </c>
      <c r="H476" s="70" t="s">
        <v>34</v>
      </c>
      <c r="I476" s="70" t="s">
        <v>34</v>
      </c>
      <c r="J476" s="70" t="s">
        <v>34</v>
      </c>
      <c r="K476" s="389" t="s">
        <v>2180</v>
      </c>
      <c r="L476" s="389" t="s">
        <v>2180</v>
      </c>
      <c r="M476" s="389" t="s">
        <v>2180</v>
      </c>
      <c r="N476" s="389" t="s">
        <v>2180</v>
      </c>
      <c r="O476" s="389" t="s">
        <v>2180</v>
      </c>
      <c r="P476" s="51"/>
      <c r="Q476" s="123" t="s">
        <v>2640</v>
      </c>
      <c r="R476">
        <f t="shared" si="225"/>
        <v>204</v>
      </c>
      <c r="U476" s="451"/>
      <c r="V476" s="4" t="s">
        <v>2183</v>
      </c>
      <c r="W476" s="551"/>
    </row>
    <row r="477" spans="1:32" x14ac:dyDescent="0.35">
      <c r="A477">
        <f t="shared" si="223"/>
        <v>205</v>
      </c>
      <c r="B477" s="615" t="str">
        <f t="shared" si="224"/>
        <v xml:space="preserve"> - Python 5 latest iteration of Python air to air missile</v>
      </c>
      <c r="C477" s="816"/>
      <c r="D477" s="627"/>
      <c r="E477" s="585"/>
      <c r="F477" s="585"/>
      <c r="G477" s="585"/>
      <c r="H477" s="585"/>
      <c r="I477" s="585"/>
      <c r="J477" s="585"/>
      <c r="K477" s="638"/>
      <c r="L477" s="638"/>
      <c r="M477" s="638"/>
      <c r="N477" s="638"/>
      <c r="O477" s="816"/>
      <c r="P477" s="629"/>
      <c r="Q477" s="615"/>
      <c r="R477">
        <f t="shared" si="225"/>
        <v>205</v>
      </c>
      <c r="U477" s="451"/>
      <c r="V477" s="4"/>
      <c r="W477" s="551"/>
    </row>
    <row r="478" spans="1:32" x14ac:dyDescent="0.35">
      <c r="A478">
        <f t="shared" si="223"/>
        <v>206</v>
      </c>
      <c r="B478" s="615" t="str">
        <f t="shared" si="224"/>
        <v xml:space="preserve"> - I-Derby ER radar seeking missile used to destroy enemy radar</v>
      </c>
      <c r="C478" s="816"/>
      <c r="D478" s="627"/>
      <c r="E478" s="585"/>
      <c r="F478" s="585"/>
      <c r="G478" s="585"/>
      <c r="H478" s="585"/>
      <c r="I478" s="585"/>
      <c r="J478" s="585"/>
      <c r="K478" s="638"/>
      <c r="L478" s="638"/>
      <c r="M478" s="638"/>
      <c r="N478" s="638"/>
      <c r="O478" s="816"/>
      <c r="P478" s="629"/>
      <c r="Q478" s="615"/>
      <c r="R478">
        <f t="shared" si="225"/>
        <v>206</v>
      </c>
      <c r="U478" s="451"/>
      <c r="V478" s="4"/>
      <c r="W478" s="551"/>
    </row>
    <row r="479" spans="1:32" x14ac:dyDescent="0.35">
      <c r="A479">
        <f t="shared" si="223"/>
        <v>207</v>
      </c>
      <c r="B479" s="615" t="str">
        <f t="shared" si="224"/>
        <v xml:space="preserve"> - Sky Spear Sky Spear long-range (over 100km) air to air missile</v>
      </c>
      <c r="C479" s="816" t="s">
        <v>2509</v>
      </c>
      <c r="D479" s="627"/>
      <c r="E479" s="585"/>
      <c r="F479" s="585"/>
      <c r="G479" s="585"/>
      <c r="H479" s="585"/>
      <c r="I479" s="585"/>
      <c r="J479" s="585"/>
      <c r="K479" s="638"/>
      <c r="L479" s="638"/>
      <c r="M479" s="638"/>
      <c r="N479" s="638"/>
      <c r="O479" s="816"/>
      <c r="P479" s="629"/>
      <c r="Q479" s="615"/>
      <c r="R479">
        <f t="shared" si="225"/>
        <v>207</v>
      </c>
      <c r="U479" s="451"/>
      <c r="V479" s="4"/>
      <c r="W479" s="551"/>
    </row>
    <row r="480" spans="1:32" x14ac:dyDescent="0.35">
      <c r="A480">
        <f t="shared" si="223"/>
        <v>208</v>
      </c>
      <c r="B480" s="123" t="str">
        <f t="shared" si="224"/>
        <v xml:space="preserve"> - AGM-114 Hellfire missile, any aircraft</v>
      </c>
      <c r="C480" s="90" t="s">
        <v>618</v>
      </c>
      <c r="D480" s="4" t="s">
        <v>618</v>
      </c>
      <c r="E480" s="70" t="s">
        <v>34</v>
      </c>
      <c r="F480" s="70" t="s">
        <v>35</v>
      </c>
      <c r="G480" s="70" t="s">
        <v>35</v>
      </c>
      <c r="H480" s="70" t="s">
        <v>34</v>
      </c>
      <c r="I480" s="70" t="s">
        <v>34</v>
      </c>
      <c r="J480" s="70" t="s">
        <v>34</v>
      </c>
      <c r="K480" s="389" t="s">
        <v>618</v>
      </c>
      <c r="L480" s="389" t="s">
        <v>618</v>
      </c>
      <c r="M480" s="123" t="s">
        <v>35</v>
      </c>
      <c r="N480" s="389" t="s">
        <v>618</v>
      </c>
      <c r="O480" s="90" t="s">
        <v>618</v>
      </c>
      <c r="P480" s="90"/>
      <c r="Q480" s="389"/>
      <c r="R480">
        <f t="shared" si="225"/>
        <v>208</v>
      </c>
      <c r="S480" s="451"/>
      <c r="T480" s="451"/>
      <c r="U480" s="451"/>
      <c r="V480" s="3" t="s">
        <v>34</v>
      </c>
      <c r="W480" s="159" t="s">
        <v>34</v>
      </c>
      <c r="AF480" t="s">
        <v>34</v>
      </c>
    </row>
    <row r="481" spans="1:32" x14ac:dyDescent="0.35">
      <c r="A481">
        <f t="shared" si="223"/>
        <v>209</v>
      </c>
      <c r="B481" s="123" t="str">
        <f t="shared" si="224"/>
        <v xml:space="preserve"> - AGM-179 JAGM missile any aircraft, replaces Hellfire</v>
      </c>
      <c r="C481" s="90" t="s">
        <v>622</v>
      </c>
      <c r="D481" t="s">
        <v>622</v>
      </c>
      <c r="E481" s="70" t="s">
        <v>34</v>
      </c>
      <c r="F481" s="70" t="s">
        <v>35</v>
      </c>
      <c r="G481" s="70" t="s">
        <v>35</v>
      </c>
      <c r="H481" s="70" t="s">
        <v>34</v>
      </c>
      <c r="I481" s="70" t="s">
        <v>34</v>
      </c>
      <c r="J481" s="70" t="s">
        <v>34</v>
      </c>
      <c r="K481" s="389" t="s">
        <v>622</v>
      </c>
      <c r="L481" s="389" t="s">
        <v>623</v>
      </c>
      <c r="M481" s="123" t="s">
        <v>35</v>
      </c>
      <c r="N481" s="389" t="s">
        <v>623</v>
      </c>
      <c r="O481" s="90" t="s">
        <v>622</v>
      </c>
      <c r="P481" s="90"/>
      <c r="Q481" s="389"/>
      <c r="R481">
        <f t="shared" si="225"/>
        <v>209</v>
      </c>
      <c r="S481" s="451"/>
      <c r="T481" s="451"/>
      <c r="U481" s="451"/>
      <c r="V481" s="3" t="s">
        <v>34</v>
      </c>
      <c r="W481" s="159" t="s">
        <v>34</v>
      </c>
      <c r="AF481" t="s">
        <v>34</v>
      </c>
    </row>
    <row r="482" spans="1:32" x14ac:dyDescent="0.35">
      <c r="A482">
        <f t="shared" si="223"/>
        <v>210</v>
      </c>
      <c r="B482" s="123" t="str">
        <f t="shared" si="224"/>
        <v xml:space="preserve"> - 20mm gun M61 Vulcan for F16s, 325 rounds</v>
      </c>
      <c r="C482" s="31" t="s">
        <v>470</v>
      </c>
      <c r="D482" t="s">
        <v>422</v>
      </c>
      <c r="E482" s="172" t="s">
        <v>34</v>
      </c>
      <c r="F482" s="58" t="s">
        <v>34</v>
      </c>
      <c r="G482" s="70" t="s">
        <v>34</v>
      </c>
      <c r="H482" s="70" t="s">
        <v>35</v>
      </c>
      <c r="I482" s="70" t="s">
        <v>35</v>
      </c>
      <c r="J482" s="70" t="s">
        <v>35</v>
      </c>
      <c r="K482" s="149" t="s">
        <v>470</v>
      </c>
      <c r="L482" s="123" t="s">
        <v>470</v>
      </c>
      <c r="M482" s="123" t="s">
        <v>35</v>
      </c>
      <c r="N482" s="123" t="s">
        <v>34</v>
      </c>
      <c r="O482" s="51" t="s">
        <v>180</v>
      </c>
      <c r="P482" s="51"/>
      <c r="Q482" s="123"/>
      <c r="R482">
        <f t="shared" ref="R482:R529" si="226">R481+1</f>
        <v>210</v>
      </c>
      <c r="U482" s="451"/>
      <c r="V482" s="3" t="s">
        <v>34</v>
      </c>
      <c r="W482" s="159" t="s">
        <v>34</v>
      </c>
      <c r="AF482" t="s">
        <v>34</v>
      </c>
    </row>
    <row r="483" spans="1:32" x14ac:dyDescent="0.35">
      <c r="A483">
        <f t="shared" si="223"/>
        <v>211</v>
      </c>
      <c r="B483" s="123" t="str">
        <f t="shared" si="224"/>
        <v xml:space="preserve"> - AN/APG-68 radar (used in older versions of F16 that Ukraine got)</v>
      </c>
      <c r="C483" s="31" t="s">
        <v>1249</v>
      </c>
      <c r="E483" s="58" t="s">
        <v>34</v>
      </c>
      <c r="F483" s="58" t="s">
        <v>34</v>
      </c>
      <c r="G483" s="70" t="s">
        <v>34</v>
      </c>
      <c r="H483" s="70" t="s">
        <v>34</v>
      </c>
      <c r="I483" s="70" t="s">
        <v>34</v>
      </c>
      <c r="J483" s="421" t="s">
        <v>34</v>
      </c>
      <c r="K483" t="s">
        <v>1248</v>
      </c>
      <c r="L483" t="s">
        <v>1248</v>
      </c>
      <c r="M483" t="s">
        <v>1248</v>
      </c>
      <c r="N483" t="s">
        <v>1248</v>
      </c>
      <c r="O483" s="51"/>
      <c r="P483" s="51"/>
      <c r="Q483" s="123"/>
      <c r="R483">
        <f t="shared" si="226"/>
        <v>211</v>
      </c>
      <c r="U483" s="451"/>
      <c r="V483" s="3" t="s">
        <v>34</v>
      </c>
      <c r="W483" s="159" t="s">
        <v>34</v>
      </c>
    </row>
    <row r="484" spans="1:32" x14ac:dyDescent="0.35">
      <c r="A484">
        <f t="shared" ref="A484:A529" si="227">A483+1</f>
        <v>212</v>
      </c>
      <c r="B484" s="123" t="str">
        <f t="shared" si="224"/>
        <v xml:space="preserve"> - AN/APG-83 (newest radar in newest version of F16 not available in Ukraine)</v>
      </c>
      <c r="C484" s="20" t="s">
        <v>1251</v>
      </c>
      <c r="E484" s="58" t="s">
        <v>34</v>
      </c>
      <c r="F484" s="58" t="s">
        <v>34</v>
      </c>
      <c r="G484" s="70" t="s">
        <v>34</v>
      </c>
      <c r="H484" s="70" t="s">
        <v>34</v>
      </c>
      <c r="I484" s="70" t="s">
        <v>34</v>
      </c>
      <c r="J484" s="421" t="s">
        <v>34</v>
      </c>
      <c r="K484" s="20" t="s">
        <v>1251</v>
      </c>
      <c r="L484" s="20" t="s">
        <v>1251</v>
      </c>
      <c r="M484" s="20" t="s">
        <v>1251</v>
      </c>
      <c r="N484" s="20" t="s">
        <v>1251</v>
      </c>
      <c r="O484" s="51"/>
      <c r="P484" s="51"/>
      <c r="Q484" s="123"/>
      <c r="R484">
        <f t="shared" si="226"/>
        <v>212</v>
      </c>
      <c r="U484" s="451"/>
      <c r="V484" s="3" t="s">
        <v>34</v>
      </c>
      <c r="W484" s="159" t="s">
        <v>34</v>
      </c>
    </row>
    <row r="485" spans="1:32" x14ac:dyDescent="0.35">
      <c r="A485">
        <f t="shared" si="227"/>
        <v>213</v>
      </c>
      <c r="B485" s="123" t="str">
        <f t="shared" si="224"/>
        <v>B-52 US strategic bomber (legacy)</v>
      </c>
      <c r="C485" s="51" t="s">
        <v>574</v>
      </c>
      <c r="D485" t="s">
        <v>574</v>
      </c>
      <c r="E485" s="58" t="s">
        <v>34</v>
      </c>
      <c r="F485" s="58" t="s">
        <v>34</v>
      </c>
      <c r="G485" s="70" t="s">
        <v>34</v>
      </c>
      <c r="H485" s="70" t="s">
        <v>34</v>
      </c>
      <c r="I485" s="70" t="s">
        <v>34</v>
      </c>
      <c r="J485" s="421" t="s">
        <v>34</v>
      </c>
      <c r="K485" s="123" t="s">
        <v>574</v>
      </c>
      <c r="L485" s="123" t="s">
        <v>574</v>
      </c>
      <c r="M485" s="123" t="s">
        <v>35</v>
      </c>
      <c r="N485" s="123" t="s">
        <v>574</v>
      </c>
      <c r="O485" s="51" t="s">
        <v>574</v>
      </c>
      <c r="P485" s="51"/>
      <c r="Q485" s="123"/>
      <c r="R485">
        <f t="shared" si="226"/>
        <v>213</v>
      </c>
      <c r="V485" s="3" t="s">
        <v>34</v>
      </c>
      <c r="W485" s="159" t="s">
        <v>34</v>
      </c>
      <c r="AF485" t="s">
        <v>34</v>
      </c>
    </row>
    <row r="486" spans="1:32" x14ac:dyDescent="0.35">
      <c r="A486">
        <f t="shared" si="227"/>
        <v>214</v>
      </c>
      <c r="B486" s="123" t="str">
        <f t="shared" ref="B486:B517" si="228">B222</f>
        <v>B-1B US strategic bomber (legacy)</v>
      </c>
      <c r="C486" s="51" t="s">
        <v>820</v>
      </c>
      <c r="E486" s="58" t="s">
        <v>34</v>
      </c>
      <c r="F486" s="58" t="s">
        <v>34</v>
      </c>
      <c r="G486" s="70" t="s">
        <v>34</v>
      </c>
      <c r="H486" s="70" t="s">
        <v>34</v>
      </c>
      <c r="I486" s="70" t="s">
        <v>34</v>
      </c>
      <c r="J486" s="421" t="s">
        <v>34</v>
      </c>
      <c r="K486" s="123" t="s">
        <v>820</v>
      </c>
      <c r="L486" s="123" t="s">
        <v>820</v>
      </c>
      <c r="M486" s="123" t="s">
        <v>35</v>
      </c>
      <c r="N486" s="123" t="s">
        <v>820</v>
      </c>
      <c r="O486" s="123" t="s">
        <v>820</v>
      </c>
      <c r="P486" s="51"/>
      <c r="Q486" s="123"/>
      <c r="R486">
        <f t="shared" si="226"/>
        <v>214</v>
      </c>
      <c r="V486" s="3"/>
      <c r="W486" s="159" t="s">
        <v>34</v>
      </c>
      <c r="AF486" t="s">
        <v>34</v>
      </c>
    </row>
    <row r="487" spans="1:32" x14ac:dyDescent="0.35">
      <c r="A487">
        <f t="shared" si="227"/>
        <v>215</v>
      </c>
      <c r="B487" s="123" t="str">
        <f t="shared" si="228"/>
        <v>B-2 Spirit US strategic stealth bomber</v>
      </c>
      <c r="C487" s="51" t="s">
        <v>596</v>
      </c>
      <c r="D487" s="4" t="s">
        <v>596</v>
      </c>
      <c r="E487" s="172" t="s">
        <v>35</v>
      </c>
      <c r="F487" s="58" t="s">
        <v>34</v>
      </c>
      <c r="G487" s="70" t="s">
        <v>34</v>
      </c>
      <c r="H487" s="70" t="s">
        <v>34</v>
      </c>
      <c r="I487" s="70" t="s">
        <v>34</v>
      </c>
      <c r="J487" s="421" t="s">
        <v>34</v>
      </c>
      <c r="K487" s="123" t="s">
        <v>596</v>
      </c>
      <c r="L487" s="123" t="s">
        <v>596</v>
      </c>
      <c r="M487" s="123" t="s">
        <v>35</v>
      </c>
      <c r="N487" s="123" t="s">
        <v>596</v>
      </c>
      <c r="O487" s="51" t="s">
        <v>596</v>
      </c>
      <c r="P487" s="51"/>
      <c r="Q487" s="123"/>
      <c r="R487">
        <f t="shared" si="226"/>
        <v>215</v>
      </c>
      <c r="V487" s="3" t="s">
        <v>34</v>
      </c>
      <c r="W487" s="159" t="s">
        <v>34</v>
      </c>
      <c r="AF487" t="s">
        <v>34</v>
      </c>
    </row>
    <row r="488" spans="1:32" x14ac:dyDescent="0.35">
      <c r="A488">
        <f t="shared" si="227"/>
        <v>216</v>
      </c>
      <c r="B488" s="123" t="str">
        <f t="shared" si="228"/>
        <v xml:space="preserve"> - GBU-57A/B MOP Massive Ordnance Penetrator guided glider bunker buster capable of penetrating 61 meters of concrete</v>
      </c>
      <c r="C488" s="51" t="s">
        <v>2413</v>
      </c>
      <c r="D488" s="51" t="s">
        <v>2413</v>
      </c>
      <c r="E488" s="172" t="s">
        <v>35</v>
      </c>
      <c r="F488" s="58" t="s">
        <v>34</v>
      </c>
      <c r="G488" s="70" t="s">
        <v>34</v>
      </c>
      <c r="H488" s="70" t="s">
        <v>34</v>
      </c>
      <c r="I488" s="70" t="s">
        <v>34</v>
      </c>
      <c r="J488" s="421" t="s">
        <v>34</v>
      </c>
      <c r="K488" s="123"/>
      <c r="L488" s="123"/>
      <c r="M488" s="123"/>
      <c r="N488" s="123" t="s">
        <v>2413</v>
      </c>
      <c r="O488" s="123" t="s">
        <v>2413</v>
      </c>
      <c r="P488" s="123" t="s">
        <v>2413</v>
      </c>
      <c r="Q488" s="123"/>
      <c r="R488">
        <f t="shared" si="226"/>
        <v>216</v>
      </c>
      <c r="V488" s="3"/>
    </row>
    <row r="489" spans="1:32" x14ac:dyDescent="0.35">
      <c r="A489">
        <f t="shared" si="227"/>
        <v>217</v>
      </c>
      <c r="B489" s="123" t="str">
        <f t="shared" si="228"/>
        <v>B-21 Raider US strategic stealth bomber</v>
      </c>
      <c r="C489" s="51" t="s">
        <v>828</v>
      </c>
      <c r="D489" s="4"/>
      <c r="E489" s="172" t="s">
        <v>34</v>
      </c>
      <c r="F489" s="58" t="s">
        <v>34</v>
      </c>
      <c r="G489" s="70" t="s">
        <v>34</v>
      </c>
      <c r="H489" s="70" t="s">
        <v>34</v>
      </c>
      <c r="I489" s="70" t="s">
        <v>34</v>
      </c>
      <c r="J489" s="421" t="s">
        <v>34</v>
      </c>
      <c r="K489" s="123" t="s">
        <v>828</v>
      </c>
      <c r="L489" s="123" t="s">
        <v>828</v>
      </c>
      <c r="M489" s="123" t="s">
        <v>35</v>
      </c>
      <c r="N489" s="123" t="s">
        <v>828</v>
      </c>
      <c r="O489" s="123" t="s">
        <v>828</v>
      </c>
      <c r="P489" s="123" t="s">
        <v>34</v>
      </c>
      <c r="Q489" s="123" t="s">
        <v>34</v>
      </c>
      <c r="R489">
        <f t="shared" si="226"/>
        <v>217</v>
      </c>
      <c r="V489" s="3" t="s">
        <v>34</v>
      </c>
      <c r="W489" s="159" t="s">
        <v>34</v>
      </c>
      <c r="AF489" t="s">
        <v>34</v>
      </c>
    </row>
    <row r="490" spans="1:32" x14ac:dyDescent="0.35">
      <c r="A490">
        <f t="shared" si="227"/>
        <v>218</v>
      </c>
      <c r="B490" s="487" t="str">
        <f t="shared" si="228"/>
        <v>Tu-22M3 RUS strategic bomber (legacy) likely less than 5 can refuel midair, first with this capability was delivered in 2020</v>
      </c>
      <c r="C490" s="505" t="s">
        <v>573</v>
      </c>
      <c r="D490" s="506" t="s">
        <v>573</v>
      </c>
      <c r="E490" s="489" t="s">
        <v>34</v>
      </c>
      <c r="F490" s="508" t="s">
        <v>34</v>
      </c>
      <c r="G490" s="498" t="s">
        <v>34</v>
      </c>
      <c r="H490" s="498" t="s">
        <v>34</v>
      </c>
      <c r="I490" s="498" t="s">
        <v>34</v>
      </c>
      <c r="J490" s="528" t="s">
        <v>34</v>
      </c>
      <c r="K490" s="487" t="s">
        <v>573</v>
      </c>
      <c r="L490" s="487" t="s">
        <v>573</v>
      </c>
      <c r="M490" s="487" t="s">
        <v>35</v>
      </c>
      <c r="N490" s="487" t="s">
        <v>573</v>
      </c>
      <c r="O490" s="505" t="s">
        <v>573</v>
      </c>
      <c r="P490" s="506" t="s">
        <v>665</v>
      </c>
      <c r="Q490" s="487"/>
      <c r="R490">
        <f t="shared" si="226"/>
        <v>218</v>
      </c>
      <c r="V490" s="3" t="s">
        <v>34</v>
      </c>
      <c r="W490" s="159" t="s">
        <v>34</v>
      </c>
      <c r="AF490" t="s">
        <v>34</v>
      </c>
    </row>
    <row r="491" spans="1:32" x14ac:dyDescent="0.35">
      <c r="A491">
        <f t="shared" si="227"/>
        <v>219</v>
      </c>
      <c r="B491" s="487" t="str">
        <f t="shared" si="228"/>
        <v>Tu 160 Rus strategic bomber</v>
      </c>
      <c r="C491" s="505" t="s">
        <v>708</v>
      </c>
      <c r="D491" s="506" t="s">
        <v>708</v>
      </c>
      <c r="E491" s="489" t="s">
        <v>34</v>
      </c>
      <c r="F491" s="508" t="s">
        <v>34</v>
      </c>
      <c r="G491" s="498" t="s">
        <v>34</v>
      </c>
      <c r="H491" s="498" t="s">
        <v>34</v>
      </c>
      <c r="I491" s="498" t="s">
        <v>34</v>
      </c>
      <c r="J491" s="528" t="s">
        <v>34</v>
      </c>
      <c r="K491" s="487" t="s">
        <v>708</v>
      </c>
      <c r="L491" s="487" t="s">
        <v>709</v>
      </c>
      <c r="M491" s="487" t="s">
        <v>35</v>
      </c>
      <c r="N491" s="487" t="s">
        <v>710</v>
      </c>
      <c r="O491" s="487" t="s">
        <v>711</v>
      </c>
      <c r="P491" s="505" t="s">
        <v>704</v>
      </c>
      <c r="Q491" s="487"/>
      <c r="R491">
        <f t="shared" si="226"/>
        <v>219</v>
      </c>
      <c r="V491" s="3" t="s">
        <v>34</v>
      </c>
      <c r="W491" s="159" t="s">
        <v>34</v>
      </c>
      <c r="AF491" t="s">
        <v>34</v>
      </c>
    </row>
    <row r="492" spans="1:32" x14ac:dyDescent="0.35">
      <c r="A492">
        <f t="shared" si="227"/>
        <v>220</v>
      </c>
      <c r="B492" s="487" t="str">
        <f t="shared" si="228"/>
        <v>Tu-95 RUS strategic bomber (legacy)</v>
      </c>
      <c r="C492" s="505" t="s">
        <v>692</v>
      </c>
      <c r="D492" s="506" t="s">
        <v>692</v>
      </c>
      <c r="E492" s="489" t="s">
        <v>34</v>
      </c>
      <c r="F492" s="508" t="s">
        <v>34</v>
      </c>
      <c r="G492" s="498" t="s">
        <v>34</v>
      </c>
      <c r="H492" s="498" t="s">
        <v>34</v>
      </c>
      <c r="I492" s="498" t="s">
        <v>34</v>
      </c>
      <c r="J492" s="528" t="s">
        <v>34</v>
      </c>
      <c r="K492" s="487" t="s">
        <v>692</v>
      </c>
      <c r="L492" s="487" t="s">
        <v>693</v>
      </c>
      <c r="M492" s="487" t="s">
        <v>35</v>
      </c>
      <c r="N492" s="487" t="s">
        <v>694</v>
      </c>
      <c r="O492" s="505" t="s">
        <v>695</v>
      </c>
      <c r="P492" s="505" t="s">
        <v>704</v>
      </c>
      <c r="Q492" s="487"/>
      <c r="R492">
        <f t="shared" si="226"/>
        <v>220</v>
      </c>
      <c r="V492" s="3" t="s">
        <v>34</v>
      </c>
      <c r="W492" s="159" t="s">
        <v>34</v>
      </c>
      <c r="AF492" t="s">
        <v>34</v>
      </c>
    </row>
    <row r="493" spans="1:32" x14ac:dyDescent="0.35">
      <c r="A493">
        <f t="shared" si="227"/>
        <v>221</v>
      </c>
      <c r="B493" s="487" t="str">
        <f t="shared" si="228"/>
        <v>MiG-31 only version L can air fuel</v>
      </c>
      <c r="C493" s="505" t="s">
        <v>668</v>
      </c>
      <c r="D493" s="506" t="s">
        <v>667</v>
      </c>
      <c r="E493" s="489" t="s">
        <v>34</v>
      </c>
      <c r="F493" s="508" t="s">
        <v>34</v>
      </c>
      <c r="G493" s="498" t="s">
        <v>34</v>
      </c>
      <c r="H493" s="498" t="s">
        <v>34</v>
      </c>
      <c r="I493" s="498" t="s">
        <v>34</v>
      </c>
      <c r="J493" s="528" t="s">
        <v>34</v>
      </c>
      <c r="K493" s="487" t="s">
        <v>668</v>
      </c>
      <c r="L493" s="487" t="s">
        <v>668</v>
      </c>
      <c r="M493" s="487" t="s">
        <v>35</v>
      </c>
      <c r="N493" s="487" t="s">
        <v>668</v>
      </c>
      <c r="O493" s="505" t="s">
        <v>668</v>
      </c>
      <c r="P493" s="523" t="s">
        <v>704</v>
      </c>
      <c r="Q493" s="521"/>
      <c r="R493">
        <f t="shared" si="226"/>
        <v>221</v>
      </c>
      <c r="S493" s="20"/>
      <c r="T493" s="20"/>
      <c r="U493" s="20"/>
      <c r="V493" t="s">
        <v>34</v>
      </c>
      <c r="W493" s="159" t="s">
        <v>34</v>
      </c>
      <c r="AF493" t="s">
        <v>34</v>
      </c>
    </row>
    <row r="494" spans="1:32" x14ac:dyDescent="0.35">
      <c r="A494">
        <f t="shared" si="227"/>
        <v>222</v>
      </c>
      <c r="B494" s="487" t="str">
        <f t="shared" si="228"/>
        <v>Su-24 (RUS legacy can refuel midair)</v>
      </c>
      <c r="C494" s="505" t="s">
        <v>698</v>
      </c>
      <c r="D494" s="506" t="s">
        <v>698</v>
      </c>
      <c r="E494" s="489" t="s">
        <v>34</v>
      </c>
      <c r="F494" s="508" t="s">
        <v>34</v>
      </c>
      <c r="G494" s="498" t="s">
        <v>34</v>
      </c>
      <c r="H494" s="498" t="s">
        <v>34</v>
      </c>
      <c r="I494" s="498" t="s">
        <v>34</v>
      </c>
      <c r="J494" s="528" t="s">
        <v>34</v>
      </c>
      <c r="K494" s="487" t="s">
        <v>698</v>
      </c>
      <c r="L494" s="487" t="s">
        <v>659</v>
      </c>
      <c r="M494" s="487" t="s">
        <v>35</v>
      </c>
      <c r="N494" s="487" t="s">
        <v>699</v>
      </c>
      <c r="O494" s="505" t="s">
        <v>700</v>
      </c>
      <c r="P494" s="505" t="s">
        <v>704</v>
      </c>
      <c r="Q494" s="487"/>
      <c r="R494">
        <f t="shared" si="226"/>
        <v>222</v>
      </c>
      <c r="V494" t="s">
        <v>34</v>
      </c>
      <c r="W494" s="159" t="s">
        <v>34</v>
      </c>
      <c r="AF494" t="s">
        <v>34</v>
      </c>
    </row>
    <row r="495" spans="1:32" x14ac:dyDescent="0.35">
      <c r="A495">
        <f t="shared" si="227"/>
        <v>223</v>
      </c>
      <c r="B495" s="487" t="str">
        <f t="shared" si="228"/>
        <v>Su-25 old Rus fighter no midair refuel</v>
      </c>
      <c r="C495" s="505" t="s">
        <v>660</v>
      </c>
      <c r="D495" s="506" t="s">
        <v>661</v>
      </c>
      <c r="E495" s="489" t="s">
        <v>34</v>
      </c>
      <c r="F495" s="508" t="s">
        <v>34</v>
      </c>
      <c r="G495" s="498" t="s">
        <v>34</v>
      </c>
      <c r="H495" s="498" t="s">
        <v>34</v>
      </c>
      <c r="I495" s="498" t="s">
        <v>34</v>
      </c>
      <c r="J495" s="528" t="s">
        <v>34</v>
      </c>
      <c r="K495" s="487" t="s">
        <v>660</v>
      </c>
      <c r="L495" s="487" t="s">
        <v>660</v>
      </c>
      <c r="M495" s="487" t="s">
        <v>35</v>
      </c>
      <c r="N495" s="487" t="s">
        <v>660</v>
      </c>
      <c r="O495" s="505" t="s">
        <v>659</v>
      </c>
      <c r="P495" s="505" t="s">
        <v>704</v>
      </c>
      <c r="Q495" s="487"/>
      <c r="R495">
        <f t="shared" si="226"/>
        <v>223</v>
      </c>
      <c r="V495" s="3" t="s">
        <v>34</v>
      </c>
      <c r="W495" s="159" t="s">
        <v>34</v>
      </c>
      <c r="AF495" t="s">
        <v>34</v>
      </c>
    </row>
    <row r="496" spans="1:32" x14ac:dyDescent="0.35">
      <c r="A496">
        <f t="shared" si="227"/>
        <v>224</v>
      </c>
      <c r="B496" s="487" t="str">
        <f t="shared" si="228"/>
        <v>Su-35 (Rus main fighter jet)</v>
      </c>
      <c r="C496" s="507" t="s">
        <v>506</v>
      </c>
      <c r="D496" s="506" t="s">
        <v>507</v>
      </c>
      <c r="E496" s="498" t="s">
        <v>35</v>
      </c>
      <c r="F496" s="498" t="s">
        <v>35</v>
      </c>
      <c r="G496" s="498" t="s">
        <v>34</v>
      </c>
      <c r="H496" s="498" t="s">
        <v>34</v>
      </c>
      <c r="I496" s="498" t="s">
        <v>34</v>
      </c>
      <c r="J496" s="528" t="s">
        <v>34</v>
      </c>
      <c r="K496" s="521" t="s">
        <v>506</v>
      </c>
      <c r="L496" s="487" t="s">
        <v>506</v>
      </c>
      <c r="M496" s="487" t="s">
        <v>34</v>
      </c>
      <c r="N496" s="487" t="s">
        <v>506</v>
      </c>
      <c r="O496" s="505" t="s">
        <v>506</v>
      </c>
      <c r="P496" s="505" t="s">
        <v>704</v>
      </c>
      <c r="Q496" s="487"/>
      <c r="R496">
        <f t="shared" si="226"/>
        <v>224</v>
      </c>
      <c r="V496" s="3" t="s">
        <v>34</v>
      </c>
      <c r="W496" s="159" t="s">
        <v>34</v>
      </c>
      <c r="AF496" t="s">
        <v>34</v>
      </c>
    </row>
    <row r="497" spans="1:33" x14ac:dyDescent="0.35">
      <c r="A497">
        <f t="shared" si="227"/>
        <v>225</v>
      </c>
      <c r="B497" s="487" t="str">
        <f t="shared" si="228"/>
        <v>Su-34 (other Rus  main fighter jet)</v>
      </c>
      <c r="C497" s="507" t="s">
        <v>509</v>
      </c>
      <c r="D497" s="523" t="s">
        <v>510</v>
      </c>
      <c r="E497" s="498" t="s">
        <v>35</v>
      </c>
      <c r="F497" s="498" t="s">
        <v>35</v>
      </c>
      <c r="G497" s="498" t="s">
        <v>34</v>
      </c>
      <c r="H497" s="498" t="s">
        <v>34</v>
      </c>
      <c r="I497" s="498" t="s">
        <v>34</v>
      </c>
      <c r="J497" s="528" t="s">
        <v>34</v>
      </c>
      <c r="K497" s="523" t="s">
        <v>509</v>
      </c>
      <c r="L497" s="521" t="s">
        <v>509</v>
      </c>
      <c r="M497" s="487" t="s">
        <v>34</v>
      </c>
      <c r="N497" s="521" t="s">
        <v>509</v>
      </c>
      <c r="O497" s="505" t="s">
        <v>509</v>
      </c>
      <c r="P497" s="505" t="s">
        <v>704</v>
      </c>
      <c r="Q497" s="487"/>
      <c r="R497">
        <f t="shared" si="226"/>
        <v>225</v>
      </c>
      <c r="V497" s="3" t="s">
        <v>34</v>
      </c>
      <c r="W497" s="159" t="s">
        <v>34</v>
      </c>
      <c r="AF497" t="s">
        <v>34</v>
      </c>
    </row>
    <row r="498" spans="1:33" x14ac:dyDescent="0.35">
      <c r="A498">
        <f t="shared" si="227"/>
        <v>226</v>
      </c>
      <c r="B498" s="487" t="str">
        <f t="shared" si="228"/>
        <v xml:space="preserve"> - UMPK Russia’s JDAM also called FAB-500</v>
      </c>
      <c r="C498" s="505" t="s">
        <v>512</v>
      </c>
      <c r="D498" s="506" t="s">
        <v>514</v>
      </c>
      <c r="E498" s="489" t="s">
        <v>34</v>
      </c>
      <c r="F498" s="508" t="s">
        <v>34</v>
      </c>
      <c r="G498" s="498" t="s">
        <v>35</v>
      </c>
      <c r="H498" s="498" t="s">
        <v>35</v>
      </c>
      <c r="I498" s="498" t="s">
        <v>35</v>
      </c>
      <c r="J498" s="498" t="s">
        <v>34</v>
      </c>
      <c r="K498" s="487" t="s">
        <v>512</v>
      </c>
      <c r="L498" s="487" t="s">
        <v>34</v>
      </c>
      <c r="M498" s="487" t="s">
        <v>34</v>
      </c>
      <c r="N498" s="487" t="s">
        <v>511</v>
      </c>
      <c r="O498" s="505" t="s">
        <v>515</v>
      </c>
      <c r="P498" s="505"/>
      <c r="Q498" s="521" t="s">
        <v>1246</v>
      </c>
      <c r="R498">
        <f t="shared" si="226"/>
        <v>226</v>
      </c>
      <c r="V498" s="3" t="s">
        <v>34</v>
      </c>
      <c r="W498" s="159" t="s">
        <v>34</v>
      </c>
      <c r="AF498" t="s">
        <v>34</v>
      </c>
    </row>
    <row r="499" spans="1:33" x14ac:dyDescent="0.35">
      <c r="A499">
        <f t="shared" si="227"/>
        <v>227</v>
      </c>
      <c r="B499" s="487" t="str">
        <f t="shared" si="228"/>
        <v xml:space="preserve"> - Kh-69 small cruise missile</v>
      </c>
      <c r="C499" s="505" t="s">
        <v>534</v>
      </c>
      <c r="D499" s="506" t="s">
        <v>156</v>
      </c>
      <c r="E499" s="498" t="s">
        <v>35</v>
      </c>
      <c r="F499" s="498" t="s">
        <v>35</v>
      </c>
      <c r="G499" s="498" t="s">
        <v>34</v>
      </c>
      <c r="H499" s="498" t="s">
        <v>34</v>
      </c>
      <c r="I499" s="498" t="s">
        <v>34</v>
      </c>
      <c r="J499" s="498" t="s">
        <v>34</v>
      </c>
      <c r="K499" s="487" t="s">
        <v>534</v>
      </c>
      <c r="L499" s="487" t="s">
        <v>534</v>
      </c>
      <c r="M499" s="487" t="s">
        <v>35</v>
      </c>
      <c r="N499" s="487" t="s">
        <v>534</v>
      </c>
      <c r="O499" s="505" t="s">
        <v>1991</v>
      </c>
      <c r="P499" s="505"/>
      <c r="Q499" s="487"/>
      <c r="R499">
        <f t="shared" si="226"/>
        <v>227</v>
      </c>
      <c r="W499" s="159" t="s">
        <v>34</v>
      </c>
      <c r="AF499" t="s">
        <v>34</v>
      </c>
    </row>
    <row r="500" spans="1:33" x14ac:dyDescent="0.35">
      <c r="A500">
        <f t="shared" si="227"/>
        <v>228</v>
      </c>
      <c r="B500" s="487" t="str">
        <f t="shared" si="228"/>
        <v xml:space="preserve"> - 30mm Gryazev-Shipunov GSh-30-1</v>
      </c>
      <c r="C500" s="505" t="s">
        <v>537</v>
      </c>
      <c r="D500" s="506" t="s">
        <v>156</v>
      </c>
      <c r="E500" s="489" t="s">
        <v>34</v>
      </c>
      <c r="F500" s="508" t="s">
        <v>34</v>
      </c>
      <c r="G500" s="498" t="s">
        <v>34</v>
      </c>
      <c r="H500" s="498" t="s">
        <v>35</v>
      </c>
      <c r="I500" s="498" t="s">
        <v>35</v>
      </c>
      <c r="J500" s="498" t="s">
        <v>35</v>
      </c>
      <c r="K500" s="487" t="s">
        <v>537</v>
      </c>
      <c r="L500" s="487" t="s">
        <v>537</v>
      </c>
      <c r="M500" s="487"/>
      <c r="N500" s="487" t="s">
        <v>34</v>
      </c>
      <c r="O500" s="505" t="s">
        <v>180</v>
      </c>
      <c r="P500" s="505"/>
      <c r="Q500" s="487"/>
      <c r="R500">
        <f t="shared" si="226"/>
        <v>228</v>
      </c>
      <c r="W500" s="159" t="s">
        <v>34</v>
      </c>
      <c r="AF500" t="s">
        <v>34</v>
      </c>
    </row>
    <row r="501" spans="1:33" x14ac:dyDescent="0.35">
      <c r="A501">
        <f t="shared" si="227"/>
        <v>229</v>
      </c>
      <c r="B501" s="487" t="str">
        <f t="shared" si="228"/>
        <v xml:space="preserve"> - Kh-35 small cruise missile</v>
      </c>
      <c r="C501" s="505" t="s">
        <v>566</v>
      </c>
      <c r="D501" s="506" t="s">
        <v>566</v>
      </c>
      <c r="E501" s="498" t="s">
        <v>35</v>
      </c>
      <c r="F501" s="498" t="s">
        <v>35</v>
      </c>
      <c r="G501" s="498" t="s">
        <v>34</v>
      </c>
      <c r="H501" s="498" t="s">
        <v>34</v>
      </c>
      <c r="I501" s="498" t="s">
        <v>34</v>
      </c>
      <c r="J501" s="498" t="s">
        <v>34</v>
      </c>
      <c r="K501" s="487" t="s">
        <v>566</v>
      </c>
      <c r="L501" s="487" t="s">
        <v>567</v>
      </c>
      <c r="M501" s="487" t="s">
        <v>568</v>
      </c>
      <c r="N501" s="487" t="s">
        <v>569</v>
      </c>
      <c r="O501" s="507" t="s">
        <v>550</v>
      </c>
      <c r="P501" s="507"/>
      <c r="Q501" s="521"/>
      <c r="R501">
        <f t="shared" si="226"/>
        <v>229</v>
      </c>
      <c r="S501" s="20"/>
      <c r="T501" s="20"/>
      <c r="U501" s="20"/>
      <c r="V501" s="3" t="s">
        <v>34</v>
      </c>
      <c r="W501" s="159" t="s">
        <v>34</v>
      </c>
      <c r="AF501" t="s">
        <v>34</v>
      </c>
    </row>
    <row r="502" spans="1:33" x14ac:dyDescent="0.35">
      <c r="A502">
        <f t="shared" si="227"/>
        <v>230</v>
      </c>
      <c r="B502" s="487" t="str">
        <f t="shared" si="228"/>
        <v>Ilyushin Il-76 Russian mil. transport</v>
      </c>
      <c r="C502" s="505" t="s">
        <v>672</v>
      </c>
      <c r="D502" s="506" t="s">
        <v>653</v>
      </c>
      <c r="E502" s="498" t="s">
        <v>35</v>
      </c>
      <c r="F502" s="498" t="s">
        <v>35</v>
      </c>
      <c r="G502" s="498" t="s">
        <v>34</v>
      </c>
      <c r="H502" s="498" t="s">
        <v>34</v>
      </c>
      <c r="I502" s="498" t="s">
        <v>34</v>
      </c>
      <c r="J502" s="498" t="s">
        <v>34</v>
      </c>
      <c r="K502" s="506" t="s">
        <v>672</v>
      </c>
      <c r="L502" s="506" t="s">
        <v>673</v>
      </c>
      <c r="M502" s="506" t="s">
        <v>674</v>
      </c>
      <c r="N502" s="506" t="s">
        <v>675</v>
      </c>
      <c r="O502" s="506" t="s">
        <v>676</v>
      </c>
      <c r="P502" s="505" t="s">
        <v>704</v>
      </c>
      <c r="Q502" s="487"/>
      <c r="R502">
        <f t="shared" si="226"/>
        <v>230</v>
      </c>
      <c r="V502" t="s">
        <v>677</v>
      </c>
      <c r="W502" s="159" t="s">
        <v>34</v>
      </c>
      <c r="AF502" t="s">
        <v>34</v>
      </c>
      <c r="AG502" s="20" t="s">
        <v>682</v>
      </c>
    </row>
    <row r="503" spans="1:33" x14ac:dyDescent="0.35">
      <c r="A503">
        <f t="shared" si="227"/>
        <v>231</v>
      </c>
      <c r="B503" s="123" t="str">
        <f t="shared" si="228"/>
        <v>Boeing C-17 US mil. Transport</v>
      </c>
      <c r="C503" s="51" t="s">
        <v>683</v>
      </c>
      <c r="D503" t="s">
        <v>683</v>
      </c>
      <c r="E503" s="70" t="s">
        <v>35</v>
      </c>
      <c r="F503" s="58" t="s">
        <v>34</v>
      </c>
      <c r="G503" s="174" t="s">
        <v>34</v>
      </c>
      <c r="H503" s="58" t="s">
        <v>34</v>
      </c>
      <c r="I503" s="58" t="s">
        <v>34</v>
      </c>
      <c r="J503" s="70" t="s">
        <v>34</v>
      </c>
      <c r="K503" t="s">
        <v>683</v>
      </c>
      <c r="L503" t="s">
        <v>683</v>
      </c>
      <c r="M503" t="s">
        <v>683</v>
      </c>
      <c r="N503" t="s">
        <v>683</v>
      </c>
      <c r="O503" t="s">
        <v>683</v>
      </c>
      <c r="P503" s="51"/>
      <c r="Q503" s="123"/>
      <c r="R503">
        <f t="shared" si="226"/>
        <v>231</v>
      </c>
      <c r="W503" s="159" t="s">
        <v>34</v>
      </c>
      <c r="AF503" t="s">
        <v>34</v>
      </c>
      <c r="AG503" s="20"/>
    </row>
    <row r="504" spans="1:33" x14ac:dyDescent="0.35">
      <c r="A504">
        <f t="shared" si="227"/>
        <v>232</v>
      </c>
      <c r="B504" s="123" t="str">
        <f t="shared" si="228"/>
        <v>Lockheed C-130 Hercules US mil. Transport</v>
      </c>
      <c r="C504" s="51" t="s">
        <v>684</v>
      </c>
      <c r="D504" t="s">
        <v>687</v>
      </c>
      <c r="E504" s="70" t="s">
        <v>35</v>
      </c>
      <c r="F504" s="58" t="s">
        <v>34</v>
      </c>
      <c r="G504" s="174" t="s">
        <v>34</v>
      </c>
      <c r="H504" s="58" t="s">
        <v>34</v>
      </c>
      <c r="I504" s="58" t="s">
        <v>34</v>
      </c>
      <c r="J504" s="70" t="s">
        <v>34</v>
      </c>
      <c r="K504" t="s">
        <v>684</v>
      </c>
      <c r="L504" t="s">
        <v>684</v>
      </c>
      <c r="M504" t="s">
        <v>684</v>
      </c>
      <c r="N504" t="s">
        <v>684</v>
      </c>
      <c r="O504" t="s">
        <v>684</v>
      </c>
      <c r="P504" s="51"/>
      <c r="Q504" s="123"/>
      <c r="R504">
        <f t="shared" si="226"/>
        <v>232</v>
      </c>
      <c r="W504" s="159" t="s">
        <v>34</v>
      </c>
      <c r="AF504" t="s">
        <v>34</v>
      </c>
      <c r="AG504" s="20"/>
    </row>
    <row r="505" spans="1:33" x14ac:dyDescent="0.35">
      <c r="A505">
        <f t="shared" si="227"/>
        <v>233</v>
      </c>
      <c r="B505" s="487" t="str">
        <f t="shared" si="228"/>
        <v>Ilyushin Il-78 Russian fuel tanker</v>
      </c>
      <c r="C505" s="505" t="s">
        <v>651</v>
      </c>
      <c r="D505" s="506" t="s">
        <v>678</v>
      </c>
      <c r="E505" s="498" t="s">
        <v>35</v>
      </c>
      <c r="F505" s="508" t="s">
        <v>34</v>
      </c>
      <c r="G505" s="529" t="s">
        <v>34</v>
      </c>
      <c r="H505" s="508" t="s">
        <v>34</v>
      </c>
      <c r="I505" s="508" t="s">
        <v>34</v>
      </c>
      <c r="J505" s="498" t="s">
        <v>34</v>
      </c>
      <c r="K505" s="506" t="s">
        <v>651</v>
      </c>
      <c r="L505" s="506" t="s">
        <v>651</v>
      </c>
      <c r="M505" s="487" t="s">
        <v>34</v>
      </c>
      <c r="N505" s="487" t="s">
        <v>34</v>
      </c>
      <c r="O505" s="507" t="s">
        <v>651</v>
      </c>
      <c r="P505" s="507" t="s">
        <v>704</v>
      </c>
      <c r="Q505" s="521"/>
      <c r="R505">
        <f t="shared" si="226"/>
        <v>233</v>
      </c>
      <c r="S505" s="20"/>
      <c r="T505" s="20"/>
      <c r="U505" s="20"/>
      <c r="V505" t="s">
        <v>649</v>
      </c>
      <c r="W505" s="159" t="s">
        <v>34</v>
      </c>
      <c r="AF505" t="s">
        <v>34</v>
      </c>
      <c r="AG505" t="s">
        <v>650</v>
      </c>
    </row>
    <row r="506" spans="1:33" x14ac:dyDescent="0.35">
      <c r="A506">
        <f t="shared" si="227"/>
        <v>234</v>
      </c>
      <c r="B506" s="123" t="str">
        <f t="shared" si="228"/>
        <v>Boeing KC-46 Pegasus, fuel tanker, transport</v>
      </c>
      <c r="C506" s="51" t="s">
        <v>655</v>
      </c>
      <c r="D506" t="s">
        <v>655</v>
      </c>
      <c r="E506" s="70" t="s">
        <v>35</v>
      </c>
      <c r="F506" s="58" t="s">
        <v>34</v>
      </c>
      <c r="G506" s="174" t="s">
        <v>34</v>
      </c>
      <c r="H506" s="58" t="s">
        <v>34</v>
      </c>
      <c r="I506" s="58" t="s">
        <v>34</v>
      </c>
      <c r="J506" s="70" t="s">
        <v>34</v>
      </c>
      <c r="K506" t="s">
        <v>655</v>
      </c>
      <c r="L506" t="s">
        <v>655</v>
      </c>
      <c r="M506" t="s">
        <v>655</v>
      </c>
      <c r="N506" t="s">
        <v>34</v>
      </c>
      <c r="O506" t="s">
        <v>655</v>
      </c>
      <c r="P506" s="51"/>
      <c r="Q506" s="123"/>
      <c r="R506">
        <f t="shared" si="226"/>
        <v>234</v>
      </c>
      <c r="V506" t="s">
        <v>655</v>
      </c>
      <c r="W506" s="159" t="s">
        <v>34</v>
      </c>
      <c r="AF506" t="s">
        <v>34</v>
      </c>
    </row>
    <row r="507" spans="1:33" x14ac:dyDescent="0.35">
      <c r="A507">
        <f t="shared" si="227"/>
        <v>235</v>
      </c>
      <c r="B507" s="123" t="str">
        <f t="shared" si="228"/>
        <v>Boeing MQ-25 unmanned stealth fuel tanker plus surveillance and reconnaissance. It was originally designed as a long-range stealth bomber and it can do that for sure. In 2024 it was show by Boeing with two JASSMs strapped under the wings. See video https://youtu.be/asW47GIXEC4?si=qh2ANdxUExYNRpE9&amp;t=154</v>
      </c>
      <c r="C507" s="51" t="s">
        <v>1242</v>
      </c>
      <c r="D507" s="395" t="s">
        <v>2165</v>
      </c>
      <c r="E507" s="70" t="s">
        <v>35</v>
      </c>
      <c r="F507" s="58"/>
      <c r="G507" s="174"/>
      <c r="H507" s="58"/>
      <c r="I507" s="58"/>
      <c r="J507" s="70"/>
      <c r="K507" s="4" t="s">
        <v>2041</v>
      </c>
      <c r="P507" s="51"/>
      <c r="Q507" s="123"/>
      <c r="R507">
        <f t="shared" si="226"/>
        <v>235</v>
      </c>
      <c r="V507" s="4" t="s">
        <v>2167</v>
      </c>
    </row>
    <row r="508" spans="1:33" x14ac:dyDescent="0.35">
      <c r="A508">
        <f t="shared" si="227"/>
        <v>236</v>
      </c>
      <c r="B508" s="123" t="str">
        <f t="shared" si="228"/>
        <v>AWACS E3 Sentry (radar and command legacy)</v>
      </c>
      <c r="C508" s="51" t="s">
        <v>580</v>
      </c>
      <c r="D508" s="4" t="s">
        <v>581</v>
      </c>
      <c r="E508" s="70" t="s">
        <v>35</v>
      </c>
      <c r="F508" s="58" t="s">
        <v>34</v>
      </c>
      <c r="G508" s="174" t="s">
        <v>34</v>
      </c>
      <c r="H508" s="58" t="s">
        <v>34</v>
      </c>
      <c r="I508" s="58" t="s">
        <v>34</v>
      </c>
      <c r="J508" s="70" t="s">
        <v>34</v>
      </c>
      <c r="K508" t="s">
        <v>580</v>
      </c>
      <c r="L508" t="s">
        <v>580</v>
      </c>
      <c r="M508" s="123" t="s">
        <v>34</v>
      </c>
      <c r="N508" s="123" t="s">
        <v>719</v>
      </c>
      <c r="O508" s="31" t="s">
        <v>580</v>
      </c>
      <c r="P508" s="31"/>
      <c r="Q508" s="149"/>
      <c r="R508">
        <f t="shared" si="226"/>
        <v>236</v>
      </c>
      <c r="S508" s="20"/>
      <c r="T508" s="20"/>
      <c r="U508" s="20"/>
      <c r="V508" s="3" t="s">
        <v>34</v>
      </c>
      <c r="W508" s="159" t="s">
        <v>34</v>
      </c>
      <c r="AF508" t="s">
        <v>34</v>
      </c>
    </row>
    <row r="509" spans="1:33" x14ac:dyDescent="0.35">
      <c r="A509">
        <f t="shared" si="227"/>
        <v>237</v>
      </c>
      <c r="B509" s="123" t="str">
        <f t="shared" si="228"/>
        <v>Boeing E-7 Wedgetail AWACS replacement</v>
      </c>
      <c r="C509" s="51" t="s">
        <v>716</v>
      </c>
      <c r="D509" t="s">
        <v>716</v>
      </c>
      <c r="E509" s="70" t="s">
        <v>35</v>
      </c>
      <c r="F509" s="58" t="s">
        <v>34</v>
      </c>
      <c r="G509" s="174" t="s">
        <v>34</v>
      </c>
      <c r="H509" s="58" t="s">
        <v>34</v>
      </c>
      <c r="I509" s="58" t="s">
        <v>34</v>
      </c>
      <c r="J509" s="70" t="s">
        <v>34</v>
      </c>
      <c r="K509" t="s">
        <v>716</v>
      </c>
      <c r="L509" t="s">
        <v>716</v>
      </c>
      <c r="M509" t="s">
        <v>716</v>
      </c>
      <c r="N509" t="s">
        <v>716</v>
      </c>
      <c r="O509" t="s">
        <v>716</v>
      </c>
      <c r="P509" s="31"/>
      <c r="Q509" s="149"/>
      <c r="R509">
        <f t="shared" si="226"/>
        <v>237</v>
      </c>
      <c r="S509" s="20"/>
      <c r="T509" s="20"/>
      <c r="U509" s="20"/>
      <c r="V509" s="3" t="s">
        <v>717</v>
      </c>
      <c r="W509" s="159" t="s">
        <v>34</v>
      </c>
      <c r="AF509" t="s">
        <v>34</v>
      </c>
    </row>
    <row r="510" spans="1:33" x14ac:dyDescent="0.35">
      <c r="A510">
        <f t="shared" si="227"/>
        <v>238</v>
      </c>
      <c r="B510" s="123" t="str">
        <f t="shared" si="228"/>
        <v>E-2D Hawkeye Navy version, radar and command aircraft. Every US aircraft carrier has 4 Hawkeye aircraft</v>
      </c>
      <c r="C510" s="51" t="s">
        <v>1169</v>
      </c>
      <c r="D510" s="51" t="s">
        <v>1169</v>
      </c>
      <c r="E510" s="70" t="s">
        <v>35</v>
      </c>
      <c r="F510" s="58" t="s">
        <v>34</v>
      </c>
      <c r="G510" s="174" t="s">
        <v>34</v>
      </c>
      <c r="H510" s="58" t="s">
        <v>34</v>
      </c>
      <c r="I510" s="58" t="s">
        <v>34</v>
      </c>
      <c r="J510" s="70" t="s">
        <v>34</v>
      </c>
      <c r="K510" t="s">
        <v>35</v>
      </c>
      <c r="L510" t="s">
        <v>1169</v>
      </c>
      <c r="M510" t="s">
        <v>1178</v>
      </c>
      <c r="N510" t="s">
        <v>1169</v>
      </c>
      <c r="O510" t="s">
        <v>1169</v>
      </c>
      <c r="P510" s="90" t="s">
        <v>1992</v>
      </c>
      <c r="Q510" s="149"/>
      <c r="R510">
        <f t="shared" si="226"/>
        <v>238</v>
      </c>
      <c r="S510" s="20"/>
      <c r="T510" s="20"/>
      <c r="U510" s="20"/>
      <c r="V510" s="3"/>
      <c r="W510" s="159" t="s">
        <v>34</v>
      </c>
      <c r="AF510" t="s">
        <v>34</v>
      </c>
    </row>
    <row r="511" spans="1:33" x14ac:dyDescent="0.35">
      <c r="A511">
        <f t="shared" si="227"/>
        <v>239</v>
      </c>
      <c r="B511" s="123" t="str">
        <f t="shared" si="228"/>
        <v>E-2D Hawkeye Air F. version, radar and command aircraft. Used from land airports has more fuel because less structure is needed when not used on carrier. Increases flight time to 8H up from 6H. Otherwise the same.</v>
      </c>
      <c r="C511" s="51" t="s">
        <v>1168</v>
      </c>
      <c r="D511" s="51" t="s">
        <v>1168</v>
      </c>
      <c r="E511" s="70" t="s">
        <v>35</v>
      </c>
      <c r="F511" s="58" t="s">
        <v>34</v>
      </c>
      <c r="G511" s="174" t="s">
        <v>34</v>
      </c>
      <c r="H511" s="58" t="s">
        <v>34</v>
      </c>
      <c r="I511" s="58" t="s">
        <v>34</v>
      </c>
      <c r="J511" s="70" t="s">
        <v>34</v>
      </c>
      <c r="K511" t="s">
        <v>35</v>
      </c>
      <c r="L511" t="s">
        <v>1168</v>
      </c>
      <c r="M511" t="s">
        <v>1178</v>
      </c>
      <c r="N511" t="s">
        <v>1168</v>
      </c>
      <c r="O511" t="s">
        <v>1168</v>
      </c>
      <c r="P511" s="90" t="s">
        <v>1992</v>
      </c>
      <c r="Q511" s="149"/>
      <c r="R511">
        <f t="shared" si="226"/>
        <v>239</v>
      </c>
      <c r="S511" s="20"/>
      <c r="T511" s="20"/>
      <c r="U511" s="20"/>
      <c r="V511" s="3"/>
      <c r="W511" s="159" t="s">
        <v>34</v>
      </c>
      <c r="AF511" t="s">
        <v>34</v>
      </c>
    </row>
    <row r="512" spans="1:33" x14ac:dyDescent="0.35">
      <c r="A512">
        <f t="shared" si="227"/>
        <v>240</v>
      </c>
      <c r="B512" s="123" t="str">
        <f t="shared" si="228"/>
        <v>Saab 340 AEW&amp;C radar and control airplane, 2 pledged for Ukraine by Sweden on May 2024</v>
      </c>
      <c r="C512" s="51" t="s">
        <v>714</v>
      </c>
      <c r="E512" s="70" t="s">
        <v>35</v>
      </c>
      <c r="F512" s="58" t="s">
        <v>34</v>
      </c>
      <c r="G512" s="174" t="s">
        <v>34</v>
      </c>
      <c r="H512" s="58" t="s">
        <v>34</v>
      </c>
      <c r="I512" s="58" t="s">
        <v>34</v>
      </c>
      <c r="J512" s="70" t="s">
        <v>34</v>
      </c>
      <c r="K512" t="s">
        <v>714</v>
      </c>
      <c r="L512" t="s">
        <v>714</v>
      </c>
      <c r="M512" t="s">
        <v>714</v>
      </c>
      <c r="N512" t="s">
        <v>714</v>
      </c>
      <c r="O512" t="s">
        <v>714</v>
      </c>
      <c r="P512" s="31"/>
      <c r="Q512" s="149"/>
      <c r="R512">
        <f t="shared" si="226"/>
        <v>240</v>
      </c>
      <c r="S512" s="20"/>
      <c r="T512" s="20"/>
      <c r="U512" s="20"/>
      <c r="V512" s="3"/>
      <c r="W512" s="159" t="s">
        <v>34</v>
      </c>
      <c r="AF512" t="s">
        <v>34</v>
      </c>
    </row>
    <row r="513" spans="1:32" x14ac:dyDescent="0.35">
      <c r="A513">
        <f t="shared" si="227"/>
        <v>241</v>
      </c>
      <c r="B513" s="487" t="str">
        <f t="shared" si="228"/>
        <v>Beriev A-50 (Russian AWACS, legacy)</v>
      </c>
      <c r="C513" s="507" t="s">
        <v>577</v>
      </c>
      <c r="D513" s="530" t="s">
        <v>578</v>
      </c>
      <c r="E513" s="498" t="s">
        <v>35</v>
      </c>
      <c r="F513" s="508" t="s">
        <v>34</v>
      </c>
      <c r="G513" s="529" t="s">
        <v>34</v>
      </c>
      <c r="H513" s="508" t="s">
        <v>34</v>
      </c>
      <c r="I513" s="508" t="s">
        <v>34</v>
      </c>
      <c r="J513" s="498" t="s">
        <v>34</v>
      </c>
      <c r="K513" s="521" t="s">
        <v>577</v>
      </c>
      <c r="L513" s="487" t="s">
        <v>579</v>
      </c>
      <c r="M513" s="487" t="s">
        <v>34</v>
      </c>
      <c r="N513" s="487" t="s">
        <v>34</v>
      </c>
      <c r="O513" s="505" t="s">
        <v>577</v>
      </c>
      <c r="P513" s="4" t="s">
        <v>664</v>
      </c>
      <c r="Q513" s="487" t="s">
        <v>2636</v>
      </c>
      <c r="R513">
        <f t="shared" si="226"/>
        <v>241</v>
      </c>
      <c r="V513" s="4" t="s">
        <v>664</v>
      </c>
      <c r="W513" t="s">
        <v>704</v>
      </c>
      <c r="AF513" t="s">
        <v>34</v>
      </c>
    </row>
    <row r="514" spans="1:32" x14ac:dyDescent="0.35">
      <c r="A514">
        <f t="shared" si="227"/>
        <v>242</v>
      </c>
      <c r="B514" s="487" t="str">
        <f t="shared" si="228"/>
        <v>Ka-52M Russian combat helicopter no refuel midair</v>
      </c>
      <c r="C514" s="505" t="s">
        <v>592</v>
      </c>
      <c r="D514" s="508" t="s">
        <v>592</v>
      </c>
      <c r="E514" s="498" t="s">
        <v>35</v>
      </c>
      <c r="F514" s="498" t="s">
        <v>35</v>
      </c>
      <c r="G514" s="498" t="s">
        <v>34</v>
      </c>
      <c r="H514" s="498" t="s">
        <v>34</v>
      </c>
      <c r="I514" s="498" t="s">
        <v>34</v>
      </c>
      <c r="J514" s="498" t="s">
        <v>34</v>
      </c>
      <c r="K514" s="487" t="s">
        <v>592</v>
      </c>
      <c r="L514" s="487" t="s">
        <v>592</v>
      </c>
      <c r="M514" s="487" t="s">
        <v>34</v>
      </c>
      <c r="N514" s="487" t="s">
        <v>592</v>
      </c>
      <c r="O514" s="505" t="s">
        <v>593</v>
      </c>
      <c r="P514" s="505" t="s">
        <v>704</v>
      </c>
      <c r="Q514" s="487"/>
      <c r="R514">
        <f t="shared" si="226"/>
        <v>242</v>
      </c>
      <c r="V514" s="3" t="s">
        <v>34</v>
      </c>
      <c r="W514" s="159" t="s">
        <v>34</v>
      </c>
      <c r="AF514" t="s">
        <v>34</v>
      </c>
    </row>
    <row r="515" spans="1:32" x14ac:dyDescent="0.35">
      <c r="A515">
        <f t="shared" si="227"/>
        <v>243</v>
      </c>
      <c r="B515" s="487" t="str">
        <f t="shared" si="228"/>
        <v xml:space="preserve"> - Khrizantema-9M123 antitank missile</v>
      </c>
      <c r="C515" s="505" t="s">
        <v>586</v>
      </c>
      <c r="D515" s="508" t="s">
        <v>422</v>
      </c>
      <c r="E515" s="498" t="s">
        <v>35</v>
      </c>
      <c r="F515" s="498" t="s">
        <v>35</v>
      </c>
      <c r="G515" s="498" t="s">
        <v>35</v>
      </c>
      <c r="H515" s="498" t="s">
        <v>34</v>
      </c>
      <c r="I515" s="498" t="s">
        <v>34</v>
      </c>
      <c r="J515" s="498" t="s">
        <v>34</v>
      </c>
      <c r="K515" s="487" t="s">
        <v>586</v>
      </c>
      <c r="L515" s="487" t="s">
        <v>586</v>
      </c>
      <c r="M515" s="487" t="s">
        <v>35</v>
      </c>
      <c r="N515" s="487" t="s">
        <v>586</v>
      </c>
      <c r="O515" s="505" t="s">
        <v>422</v>
      </c>
      <c r="P515" s="505"/>
      <c r="Q515" s="487"/>
      <c r="R515">
        <f t="shared" si="226"/>
        <v>243</v>
      </c>
      <c r="V515" s="3" t="s">
        <v>34</v>
      </c>
      <c r="W515" s="159" t="s">
        <v>34</v>
      </c>
      <c r="AF515" t="s">
        <v>34</v>
      </c>
    </row>
    <row r="516" spans="1:32" x14ac:dyDescent="0.35">
      <c r="A516">
        <f t="shared" si="227"/>
        <v>244</v>
      </c>
      <c r="B516" s="487" t="str">
        <f t="shared" si="228"/>
        <v xml:space="preserve"> - LMUR antitank missile</v>
      </c>
      <c r="C516" s="505" t="s">
        <v>584</v>
      </c>
      <c r="D516" s="531" t="s">
        <v>589</v>
      </c>
      <c r="E516" s="498" t="s">
        <v>35</v>
      </c>
      <c r="F516" s="498" t="s">
        <v>35</v>
      </c>
      <c r="G516" s="498" t="s">
        <v>35</v>
      </c>
      <c r="H516" s="498" t="s">
        <v>34</v>
      </c>
      <c r="I516" s="498" t="s">
        <v>34</v>
      </c>
      <c r="J516" s="498" t="s">
        <v>34</v>
      </c>
      <c r="K516" s="487" t="s">
        <v>584</v>
      </c>
      <c r="L516" s="487" t="s">
        <v>589</v>
      </c>
      <c r="M516" s="487" t="s">
        <v>35</v>
      </c>
      <c r="N516" s="487" t="s">
        <v>589</v>
      </c>
      <c r="O516" s="506" t="s">
        <v>590</v>
      </c>
      <c r="P516" s="505"/>
      <c r="Q516" s="487"/>
      <c r="R516">
        <f t="shared" si="226"/>
        <v>244</v>
      </c>
      <c r="V516" s="3" t="s">
        <v>34</v>
      </c>
      <c r="W516" s="159" t="s">
        <v>34</v>
      </c>
      <c r="AF516" t="s">
        <v>34</v>
      </c>
    </row>
    <row r="517" spans="1:32" x14ac:dyDescent="0.35">
      <c r="A517">
        <f t="shared" si="227"/>
        <v>245</v>
      </c>
      <c r="B517" s="487" t="str">
        <f t="shared" si="228"/>
        <v>Mi-28NM Russian combat helicopter, no refuel midair</v>
      </c>
      <c r="C517" s="505" t="s">
        <v>595</v>
      </c>
      <c r="D517" s="508" t="s">
        <v>1993</v>
      </c>
      <c r="E517" s="498" t="s">
        <v>35</v>
      </c>
      <c r="F517" s="498" t="s">
        <v>35</v>
      </c>
      <c r="G517" s="498" t="s">
        <v>34</v>
      </c>
      <c r="H517" s="498" t="s">
        <v>34</v>
      </c>
      <c r="I517" s="498" t="s">
        <v>34</v>
      </c>
      <c r="J517" s="498" t="s">
        <v>34</v>
      </c>
      <c r="K517" s="487" t="s">
        <v>595</v>
      </c>
      <c r="L517" s="487" t="s">
        <v>595</v>
      </c>
      <c r="M517" s="487" t="s">
        <v>35</v>
      </c>
      <c r="N517" s="487" t="s">
        <v>595</v>
      </c>
      <c r="O517" s="505" t="s">
        <v>595</v>
      </c>
      <c r="P517" s="507" t="s">
        <v>704</v>
      </c>
      <c r="Q517" s="487"/>
      <c r="R517">
        <f t="shared" si="226"/>
        <v>245</v>
      </c>
      <c r="V517" s="3" t="s">
        <v>34</v>
      </c>
      <c r="W517" s="159" t="s">
        <v>34</v>
      </c>
      <c r="AF517" t="s">
        <v>34</v>
      </c>
    </row>
    <row r="518" spans="1:32" x14ac:dyDescent="0.35">
      <c r="A518">
        <f t="shared" si="227"/>
        <v>246</v>
      </c>
      <c r="B518" s="123" t="str">
        <f t="shared" ref="B518" si="229">B254</f>
        <v>AH-64 Apache US attack helicopter</v>
      </c>
      <c r="C518" s="51" t="s">
        <v>852</v>
      </c>
      <c r="D518" s="51" t="s">
        <v>863</v>
      </c>
      <c r="E518" s="70" t="s">
        <v>35</v>
      </c>
      <c r="F518" s="70" t="s">
        <v>35</v>
      </c>
      <c r="G518" s="70" t="s">
        <v>34</v>
      </c>
      <c r="H518" s="70" t="s">
        <v>34</v>
      </c>
      <c r="I518" s="70" t="s">
        <v>34</v>
      </c>
      <c r="J518" s="70" t="s">
        <v>34</v>
      </c>
      <c r="K518" s="123" t="s">
        <v>852</v>
      </c>
      <c r="L518" s="123" t="s">
        <v>852</v>
      </c>
      <c r="M518" s="123" t="s">
        <v>35</v>
      </c>
      <c r="N518" s="123" t="s">
        <v>852</v>
      </c>
      <c r="O518" s="123" t="s">
        <v>852</v>
      </c>
      <c r="P518" s="85"/>
      <c r="Q518" s="123"/>
      <c r="R518">
        <f t="shared" si="226"/>
        <v>246</v>
      </c>
      <c r="V518" s="3"/>
      <c r="W518" s="159" t="s">
        <v>34</v>
      </c>
      <c r="AF518" t="s">
        <v>34</v>
      </c>
    </row>
    <row r="519" spans="1:32" x14ac:dyDescent="0.35">
      <c r="A519">
        <f t="shared" si="227"/>
        <v>247</v>
      </c>
      <c r="B519" s="123" t="str">
        <f t="shared" ref="B519:B522" si="230">B255</f>
        <v xml:space="preserve"> - M230, 30mm machine gun 1200 rounds</v>
      </c>
      <c r="C519" s="51" t="s">
        <v>433</v>
      </c>
      <c r="D519" s="58" t="s">
        <v>864</v>
      </c>
      <c r="E519" s="70" t="s">
        <v>35</v>
      </c>
      <c r="F519" s="70" t="s">
        <v>35</v>
      </c>
      <c r="G519" s="70" t="s">
        <v>34</v>
      </c>
      <c r="H519" s="70" t="s">
        <v>34</v>
      </c>
      <c r="I519" s="70" t="s">
        <v>34</v>
      </c>
      <c r="J519" s="70" t="s">
        <v>34</v>
      </c>
      <c r="K519" s="123" t="s">
        <v>433</v>
      </c>
      <c r="L519" s="123" t="s">
        <v>433</v>
      </c>
      <c r="M519" s="123" t="s">
        <v>35</v>
      </c>
      <c r="N519" s="123" t="s">
        <v>433</v>
      </c>
      <c r="O519" s="51" t="s">
        <v>422</v>
      </c>
      <c r="P519" s="85" t="s">
        <v>1455</v>
      </c>
      <c r="Q519" s="123"/>
      <c r="R519">
        <f t="shared" si="226"/>
        <v>247</v>
      </c>
      <c r="V519" s="3"/>
      <c r="W519" s="159" t="s">
        <v>34</v>
      </c>
      <c r="AF519" t="s">
        <v>34</v>
      </c>
    </row>
    <row r="520" spans="1:32" x14ac:dyDescent="0.35">
      <c r="A520">
        <f t="shared" si="227"/>
        <v>248</v>
      </c>
      <c r="B520" s="123" t="str">
        <f t="shared" si="230"/>
        <v xml:space="preserve"> - AGM-114 Hellfire missile, any aircraft</v>
      </c>
      <c r="C520" s="51"/>
      <c r="D520" s="58" t="str">
        <f>D480</f>
        <v>https://en.wikipedia.org/wiki/AGM-114_Hellfire</v>
      </c>
      <c r="E520" s="70" t="s">
        <v>88</v>
      </c>
      <c r="F520" s="58" t="s">
        <v>34</v>
      </c>
      <c r="G520" s="174" t="s">
        <v>34</v>
      </c>
      <c r="H520" s="58" t="s">
        <v>34</v>
      </c>
      <c r="I520" s="58" t="s">
        <v>34</v>
      </c>
      <c r="J520" s="70" t="s">
        <v>34</v>
      </c>
      <c r="K520" s="123"/>
      <c r="L520" s="123"/>
      <c r="M520" s="123" t="s">
        <v>35</v>
      </c>
      <c r="N520" s="123"/>
      <c r="O520" s="51"/>
      <c r="P520" s="85"/>
      <c r="Q520" s="123"/>
      <c r="R520">
        <f t="shared" si="226"/>
        <v>248</v>
      </c>
      <c r="V520" s="3"/>
      <c r="W520" s="159" t="s">
        <v>34</v>
      </c>
      <c r="AF520" t="s">
        <v>34</v>
      </c>
    </row>
    <row r="521" spans="1:32" x14ac:dyDescent="0.35">
      <c r="A521">
        <f t="shared" si="227"/>
        <v>249</v>
      </c>
      <c r="B521" s="123" t="str">
        <f t="shared" si="230"/>
        <v xml:space="preserve"> - AGM-179 JAGM missile any aircraft</v>
      </c>
      <c r="C521" s="51"/>
      <c r="D521" s="58" t="str">
        <f>D481</f>
        <v>https://en.wikipedia.org/wiki/AGM-179_JAGM</v>
      </c>
      <c r="E521" s="70" t="s">
        <v>88</v>
      </c>
      <c r="F521" s="58" t="s">
        <v>34</v>
      </c>
      <c r="G521" s="174" t="s">
        <v>34</v>
      </c>
      <c r="H521" s="58" t="s">
        <v>34</v>
      </c>
      <c r="I521" s="58" t="s">
        <v>34</v>
      </c>
      <c r="J521" s="70" t="s">
        <v>34</v>
      </c>
      <c r="K521" s="123"/>
      <c r="L521" s="123"/>
      <c r="M521" s="123" t="s">
        <v>35</v>
      </c>
      <c r="N521" s="123"/>
      <c r="O521" s="51"/>
      <c r="P521" s="85"/>
      <c r="Q521" s="123"/>
      <c r="R521">
        <f t="shared" si="226"/>
        <v>249</v>
      </c>
      <c r="V521" s="3"/>
      <c r="W521" s="159" t="s">
        <v>34</v>
      </c>
      <c r="AF521" t="s">
        <v>34</v>
      </c>
    </row>
    <row r="522" spans="1:32" x14ac:dyDescent="0.35">
      <c r="A522">
        <f t="shared" si="227"/>
        <v>250</v>
      </c>
      <c r="B522" s="123" t="str">
        <f t="shared" si="230"/>
        <v>Sikorsky CH-53K-E, heavy lift helicopter, US</v>
      </c>
      <c r="C522" s="51" t="s">
        <v>1117</v>
      </c>
      <c r="D522" s="58"/>
      <c r="E522" s="70" t="s">
        <v>35</v>
      </c>
      <c r="F522" s="58" t="s">
        <v>34</v>
      </c>
      <c r="G522" s="174" t="s">
        <v>34</v>
      </c>
      <c r="H522" s="58" t="s">
        <v>34</v>
      </c>
      <c r="I522" s="58" t="s">
        <v>34</v>
      </c>
      <c r="J522" s="70" t="s">
        <v>34</v>
      </c>
      <c r="K522" s="123" t="s">
        <v>1117</v>
      </c>
      <c r="L522" s="123" t="s">
        <v>1117</v>
      </c>
      <c r="M522" s="123" t="s">
        <v>35</v>
      </c>
      <c r="N522" s="123" t="s">
        <v>1117</v>
      </c>
      <c r="O522" s="123" t="s">
        <v>1117</v>
      </c>
      <c r="P522" s="123" t="s">
        <v>1117</v>
      </c>
      <c r="Q522" s="123"/>
      <c r="R522">
        <f t="shared" si="226"/>
        <v>250</v>
      </c>
      <c r="V522" s="3"/>
      <c r="W522" s="159" t="s">
        <v>34</v>
      </c>
      <c r="AF522" t="s">
        <v>34</v>
      </c>
    </row>
    <row r="523" spans="1:32" x14ac:dyDescent="0.35">
      <c r="A523">
        <f t="shared" si="227"/>
        <v>251</v>
      </c>
      <c r="B523" s="487" t="str">
        <f t="shared" ref="B523:B524" si="231">B259</f>
        <v>Mi-26 Russian heavy transport helicopter</v>
      </c>
      <c r="C523" s="505" t="s">
        <v>768</v>
      </c>
      <c r="D523" s="532" t="s">
        <v>767</v>
      </c>
      <c r="E523" s="498" t="s">
        <v>35</v>
      </c>
      <c r="F523" s="498" t="s">
        <v>35</v>
      </c>
      <c r="G523" s="498" t="s">
        <v>34</v>
      </c>
      <c r="H523" s="498" t="s">
        <v>34</v>
      </c>
      <c r="I523" s="498" t="s">
        <v>34</v>
      </c>
      <c r="J523" s="498" t="s">
        <v>34</v>
      </c>
      <c r="K523" s="487" t="s">
        <v>768</v>
      </c>
      <c r="L523" s="487" t="s">
        <v>768</v>
      </c>
      <c r="M523" s="487" t="s">
        <v>35</v>
      </c>
      <c r="N523" s="487" t="s">
        <v>768</v>
      </c>
      <c r="O523" s="487" t="s">
        <v>768</v>
      </c>
      <c r="P523" s="507" t="s">
        <v>704</v>
      </c>
      <c r="Q523" s="487"/>
      <c r="R523">
        <f t="shared" si="226"/>
        <v>251</v>
      </c>
      <c r="V523" s="3"/>
      <c r="W523" s="159" t="s">
        <v>34</v>
      </c>
      <c r="AF523" t="s">
        <v>34</v>
      </c>
    </row>
    <row r="524" spans="1:32" x14ac:dyDescent="0.35">
      <c r="A524">
        <f t="shared" si="227"/>
        <v>252</v>
      </c>
      <c r="B524" s="487" t="str">
        <f t="shared" si="231"/>
        <v>Mil Mi-8 RUS transport and medical helicopter</v>
      </c>
      <c r="C524" s="505" t="s">
        <v>773</v>
      </c>
      <c r="D524" s="532" t="s">
        <v>772</v>
      </c>
      <c r="E524" s="498" t="s">
        <v>35</v>
      </c>
      <c r="F524" s="498" t="s">
        <v>35</v>
      </c>
      <c r="G524" s="498" t="s">
        <v>34</v>
      </c>
      <c r="H524" s="498" t="s">
        <v>34</v>
      </c>
      <c r="I524" s="498" t="s">
        <v>34</v>
      </c>
      <c r="J524" s="498" t="s">
        <v>34</v>
      </c>
      <c r="K524" s="487" t="s">
        <v>773</v>
      </c>
      <c r="L524" s="487" t="s">
        <v>774</v>
      </c>
      <c r="M524" s="487" t="s">
        <v>35</v>
      </c>
      <c r="N524" s="487" t="s">
        <v>775</v>
      </c>
      <c r="O524" s="487" t="s">
        <v>776</v>
      </c>
      <c r="P524" s="505" t="s">
        <v>704</v>
      </c>
      <c r="Q524" s="487"/>
      <c r="R524">
        <f t="shared" si="226"/>
        <v>252</v>
      </c>
      <c r="V524" s="3"/>
      <c r="W524" s="159" t="s">
        <v>34</v>
      </c>
      <c r="AF524" t="s">
        <v>34</v>
      </c>
    </row>
    <row r="525" spans="1:32" x14ac:dyDescent="0.35">
      <c r="A525">
        <f t="shared" si="227"/>
        <v>253</v>
      </c>
      <c r="B525" s="123"/>
      <c r="C525" s="51"/>
      <c r="D525" s="465"/>
      <c r="E525" s="70"/>
      <c r="F525" s="70"/>
      <c r="G525" s="70"/>
      <c r="H525" s="70"/>
      <c r="I525" s="70"/>
      <c r="J525" s="70"/>
      <c r="K525" s="123"/>
      <c r="L525" s="123"/>
      <c r="M525" s="123"/>
      <c r="N525" s="123"/>
      <c r="O525" s="51"/>
      <c r="P525" s="51"/>
      <c r="Q525" s="123"/>
      <c r="R525">
        <f t="shared" si="226"/>
        <v>253</v>
      </c>
      <c r="V525" s="3"/>
      <c r="W525" s="159" t="s">
        <v>34</v>
      </c>
      <c r="AF525" t="s">
        <v>34</v>
      </c>
    </row>
    <row r="526" spans="1:32" x14ac:dyDescent="0.35">
      <c r="A526">
        <f t="shared" si="227"/>
        <v>254</v>
      </c>
      <c r="B526" s="123"/>
      <c r="C526" s="51"/>
      <c r="D526" s="465"/>
      <c r="E526" s="70"/>
      <c r="F526" s="70"/>
      <c r="G526" s="70"/>
      <c r="H526" s="70"/>
      <c r="I526" s="70"/>
      <c r="J526" s="70"/>
      <c r="K526" s="123"/>
      <c r="L526" s="123"/>
      <c r="M526" s="123"/>
      <c r="N526" s="123"/>
      <c r="O526" s="51"/>
      <c r="P526" s="51"/>
      <c r="Q526" s="123"/>
      <c r="R526">
        <f t="shared" si="226"/>
        <v>254</v>
      </c>
      <c r="V526" s="3"/>
      <c r="W526" s="159" t="s">
        <v>34</v>
      </c>
      <c r="AF526" t="s">
        <v>34</v>
      </c>
    </row>
    <row r="527" spans="1:32" x14ac:dyDescent="0.35">
      <c r="A527">
        <f t="shared" si="227"/>
        <v>255</v>
      </c>
      <c r="B527" s="123"/>
      <c r="C527" s="51"/>
      <c r="K527" s="123"/>
      <c r="L527" s="123"/>
      <c r="M527" s="123"/>
      <c r="N527" s="123"/>
      <c r="O527" s="51"/>
      <c r="P527" s="51"/>
      <c r="Q527" s="123"/>
      <c r="R527">
        <f t="shared" si="226"/>
        <v>255</v>
      </c>
      <c r="V527" s="3"/>
      <c r="W527" s="159" t="s">
        <v>34</v>
      </c>
      <c r="AF527" t="s">
        <v>34</v>
      </c>
    </row>
    <row r="528" spans="1:32" x14ac:dyDescent="0.35">
      <c r="A528">
        <f t="shared" si="227"/>
        <v>256</v>
      </c>
      <c r="B528" s="123"/>
      <c r="C528" s="51"/>
      <c r="K528" s="123"/>
      <c r="L528" s="123"/>
      <c r="M528" s="123"/>
      <c r="N528" s="51"/>
      <c r="O528" s="51"/>
      <c r="P528" s="51"/>
      <c r="Q528" s="123"/>
      <c r="R528">
        <f t="shared" si="226"/>
        <v>256</v>
      </c>
      <c r="V528" s="3" t="s">
        <v>34</v>
      </c>
      <c r="W528" s="159" t="s">
        <v>34</v>
      </c>
      <c r="AF528" t="s">
        <v>34</v>
      </c>
    </row>
    <row r="529" spans="1:32" ht="15" thickBot="1" x14ac:dyDescent="0.4">
      <c r="A529">
        <f t="shared" si="227"/>
        <v>257</v>
      </c>
      <c r="B529" s="112"/>
      <c r="C529" s="17"/>
      <c r="D529" s="14"/>
      <c r="E529" s="14"/>
      <c r="F529" s="14"/>
      <c r="G529" s="14"/>
      <c r="H529" s="14"/>
      <c r="I529" s="14"/>
      <c r="J529" s="28"/>
      <c r="K529" s="112"/>
      <c r="L529" s="112"/>
      <c r="M529" s="112"/>
      <c r="N529" s="17"/>
      <c r="O529" s="17"/>
      <c r="P529" s="17"/>
      <c r="Q529" s="112"/>
      <c r="R529">
        <f t="shared" si="226"/>
        <v>257</v>
      </c>
      <c r="V529" s="3" t="s">
        <v>34</v>
      </c>
      <c r="W529" s="159" t="s">
        <v>34</v>
      </c>
      <c r="AF529" t="s">
        <v>34</v>
      </c>
    </row>
    <row r="530" spans="1:32" ht="15" thickTop="1" x14ac:dyDescent="0.35"/>
  </sheetData>
  <phoneticPr fontId="8" type="noConversion"/>
  <hyperlinks>
    <hyperlink ref="D277" r:id="rId1" xr:uid="{617574D0-154B-406F-ABED-37EFE6169D16}"/>
    <hyperlink ref="K302" r:id="rId2" xr:uid="{7B3A7752-1FA2-4D2C-9E5C-B1D6915A7BE8}"/>
    <hyperlink ref="D330" r:id="rId3" xr:uid="{1FEDC223-9918-4E8F-8DFB-5B1CAF4D83F5}"/>
    <hyperlink ref="D274" r:id="rId4" xr:uid="{EF57936D-EC83-4F86-BCFB-A44CB978FD11}"/>
    <hyperlink ref="D287" r:id="rId5" xr:uid="{B38E383C-5111-4A91-82C9-62DD88D63D7D}"/>
    <hyperlink ref="D288" r:id="rId6" xr:uid="{FA8A52D7-C316-4F5F-8D6F-6E8079184919}"/>
    <hyperlink ref="D289" r:id="rId7" xr:uid="{A2F160E5-2EF7-46CA-A2EC-43AFE0B26528}"/>
    <hyperlink ref="N329" r:id="rId8" xr:uid="{11AD6390-D6CA-46B7-8CCE-EAEC3260E027}"/>
    <hyperlink ref="N287" r:id="rId9" xr:uid="{5F656278-C68E-4A44-9A3B-68BB8411BD05}"/>
    <hyperlink ref="D293" r:id="rId10" xr:uid="{B9B987A8-AEA7-4550-A0E6-683A46DDDC10}"/>
    <hyperlink ref="D294" r:id="rId11" xr:uid="{BD83CB91-9B8B-4A90-A6B3-DD5B0D252C06}"/>
    <hyperlink ref="D298" r:id="rId12" xr:uid="{9B26B9B4-9FD1-4869-A123-8122593480DE}"/>
    <hyperlink ref="K296" r:id="rId13" xr:uid="{4FEC5E02-4D04-4F2D-A702-AC628E46F278}"/>
    <hyperlink ref="D292" r:id="rId14" xr:uid="{72506C61-A04D-417A-B4E9-831823C53C58}"/>
    <hyperlink ref="N289" r:id="rId15" xr:uid="{22130153-30A8-45C9-8D79-8ACA5A7E5D33}"/>
    <hyperlink ref="K289" r:id="rId16" xr:uid="{1A932006-50E5-4DF3-B107-FEDCCB38F1CB}"/>
    <hyperlink ref="K290" r:id="rId17" xr:uid="{43CDC700-093E-467D-9D0D-F96F24A27B49}"/>
    <hyperlink ref="N274" r:id="rId18" xr:uid="{15FF9207-7404-4172-96C1-2FF619A84BEC}"/>
    <hyperlink ref="L274" r:id="rId19" xr:uid="{4C402D29-91D7-46EC-AE2D-A3377DDE03EA}"/>
    <hyperlink ref="N291" r:id="rId20" xr:uid="{47E2287A-685B-4704-9883-10759C0BCA8E}"/>
    <hyperlink ref="K294" r:id="rId21" xr:uid="{0EF1C889-48D4-496D-86D0-9DA64E2AA5BD}"/>
    <hyperlink ref="L294" r:id="rId22" xr:uid="{F70BC822-09B9-4EF1-B21E-4C7CB3179319}"/>
    <hyperlink ref="M294" r:id="rId23" xr:uid="{4DAB2711-254B-471D-A81D-815BE3B02628}"/>
    <hyperlink ref="N294" r:id="rId24" xr:uid="{FD078366-6F25-4C6E-9FCC-EEC49C2316ED}"/>
    <hyperlink ref="L296:N296" r:id="rId25" display="https://en.wikipedia.org/wiki/CAESAR_self-propelled_howitzer" xr:uid="{B2238D92-7A68-4259-BD78-EBE44CD48CEB}"/>
    <hyperlink ref="N298" r:id="rId26" xr:uid="{467D4DD5-C499-4979-801F-1FCB3C3A168B}"/>
    <hyperlink ref="K301" r:id="rId27" xr:uid="{1AD18A76-8574-4A60-A834-D1753C8CB3F8}"/>
    <hyperlink ref="K447" r:id="rId28" xr:uid="{4AFB8EB0-36E3-4874-B357-DCD70DEF951A}"/>
    <hyperlink ref="K305" r:id="rId29" location="cite_note-Marine_Corps_Gazette-78" xr:uid="{F20F191D-4385-46FC-9489-6AF8EA7D4E9D}"/>
    <hyperlink ref="K304" r:id="rId30" xr:uid="{A6A20127-07A5-4737-94D4-DD82B55002B7}"/>
    <hyperlink ref="K379" r:id="rId31" xr:uid="{F2DCF795-E046-414C-A801-D7C65F990684}"/>
    <hyperlink ref="N342" r:id="rId32" xr:uid="{8098B974-A977-4749-98FB-1C54E9CB22D1}"/>
    <hyperlink ref="N311" r:id="rId33" xr:uid="{B7783BFC-8122-492B-BA94-7DB63DAA8C0B}"/>
    <hyperlink ref="D367" r:id="rId34" xr:uid="{F51FBAAB-D04D-4ACF-8EC0-CB6FE6537BC2}"/>
    <hyperlink ref="D364" r:id="rId35" xr:uid="{2B21FD6E-CF11-4239-8865-EDDB9731CD4A}"/>
    <hyperlink ref="K346" r:id="rId36" xr:uid="{B7B9CCB2-D0B7-4846-89CC-25D168007E1E}"/>
    <hyperlink ref="D346" r:id="rId37" xr:uid="{83511785-EC07-42C0-9D1E-6B6366E1CA3D}"/>
    <hyperlink ref="K465" r:id="rId38" location="Specifications" xr:uid="{00EBAA4E-5FB2-4673-B74D-41401ADE7C72}"/>
    <hyperlink ref="N447" r:id="rId39" xr:uid="{59B0F948-216C-4418-A0BF-E651B47E23A3}"/>
    <hyperlink ref="N465" r:id="rId40" xr:uid="{E381960D-C8CA-4690-9846-DF2C6A4BE904}"/>
    <hyperlink ref="N497" r:id="rId41" xr:uid="{83228B1B-8EB8-4DA8-BCD7-DD333604934C}"/>
    <hyperlink ref="D497" r:id="rId42" xr:uid="{A51A0CD7-6B06-40D0-9032-D2B8AAEDB887}"/>
    <hyperlink ref="K497" r:id="rId43" xr:uid="{03BA201E-A61B-4998-875D-58D73CC8112B}"/>
    <hyperlink ref="L497" r:id="rId44" xr:uid="{24747CE4-775B-4BCC-BB6D-63F77608523D}"/>
    <hyperlink ref="K458" r:id="rId45" location="Specifications_(F-35A)" xr:uid="{EF01D706-A42A-49A9-A886-7EAB1F949AAC}"/>
    <hyperlink ref="O501" r:id="rId46" xr:uid="{D68B51FC-5C4C-4090-82A7-A512458238A7}"/>
    <hyperlink ref="N458" r:id="rId47" location="Specifications_(F-35A)" xr:uid="{6EB861CB-B82C-4BA8-8795-B0A2C5B1C5B1}"/>
    <hyperlink ref="D329" r:id="rId48" xr:uid="{9E5D3041-2C73-4891-85A4-AD96291472F2}"/>
    <hyperlink ref="D516" r:id="rId49" xr:uid="{839B3312-1F99-417C-945A-AE0279FFF66C}"/>
    <hyperlink ref="D316" r:id="rId50" xr:uid="{144632DA-B581-48A7-B55B-61C235D3EAAF}"/>
    <hyperlink ref="L352" r:id="rId51" xr:uid="{CB7802C3-FC1F-4C74-AD6D-33327B2CD3EE}"/>
    <hyperlink ref="D378" r:id="rId52" xr:uid="{726E9884-C15C-477C-A837-2F4F029FE5F1}"/>
    <hyperlink ref="J379" r:id="rId53" xr:uid="{2FA69305-28F0-4F75-83D0-712EEF87B9B6}"/>
    <hyperlink ref="D487" r:id="rId54" xr:uid="{5A149C3A-585D-4998-9643-6272A2F88E78}"/>
    <hyperlink ref="G431" r:id="rId55" xr:uid="{54AEEE1D-8184-4F63-A39B-69B2438CBDF2}"/>
    <hyperlink ref="K431" r:id="rId56" xr:uid="{3450BE7C-ADE2-4822-961C-F930685DB75A}"/>
    <hyperlink ref="D431" r:id="rId57" xr:uid="{67076871-7402-482B-B6B9-9ACAACA09695}"/>
    <hyperlink ref="V431" r:id="rId58" xr:uid="{555EC381-19D3-4114-8648-6B938CB28749}"/>
    <hyperlink ref="N430" r:id="rId59" xr:uid="{2111A4EA-FE4D-4CA0-A0A3-A2C3611AC154}"/>
    <hyperlink ref="L430" r:id="rId60" xr:uid="{609D8CA3-4F08-43B7-A3AB-9AFA51516A01}"/>
    <hyperlink ref="L431" r:id="rId61" xr:uid="{5F266D0F-6F81-408D-8A64-081E98A17904}"/>
    <hyperlink ref="D317" r:id="rId62" location="Variants" xr:uid="{C505CA79-EA2C-44D6-B842-D2E3232DA564}"/>
    <hyperlink ref="D467" r:id="rId63" xr:uid="{98E1ADD0-69EB-4884-8BF9-AB9798577E9C}"/>
    <hyperlink ref="D369" r:id="rId64" xr:uid="{D8CCB698-64D5-4E88-9C4B-334CAD5B234B}"/>
    <hyperlink ref="K496" r:id="rId65" location="Specifications_(Su-35S)" xr:uid="{1E3797DA-26AD-41FF-A758-5F569677F403}"/>
    <hyperlink ref="K513" r:id="rId66" xr:uid="{00F24C63-0EE3-42F8-863E-1845AC36623B}"/>
    <hyperlink ref="D513" r:id="rId67" xr:uid="{0FDFBB36-F604-4686-85BF-5BBAB3E166A0}"/>
    <hyperlink ref="AG502" r:id="rId68" location="Operators" xr:uid="{B8A23335-5496-4687-9F94-4591B068CABB}"/>
    <hyperlink ref="P493" r:id="rId69" xr:uid="{015A4595-4D5F-4AB2-B45A-32FFF8B22945}"/>
    <hyperlink ref="K440" r:id="rId70" xr:uid="{915A1228-67D7-4290-B7D5-DF85030239AE}"/>
    <hyperlink ref="K364" r:id="rId71" xr:uid="{13F4CC5D-73C0-43F6-8A79-21A2D802D847}"/>
    <hyperlink ref="K390" r:id="rId72" xr:uid="{DABB6E44-3081-4A51-B3F7-D35456985F61}"/>
    <hyperlink ref="D303" r:id="rId73" xr:uid="{FA16252A-EACF-49E2-BB6D-5594FD1038A5}"/>
    <hyperlink ref="D472" r:id="rId74" xr:uid="{E9D103FB-3A71-40BF-B4A6-D6E296F48D4D}"/>
    <hyperlink ref="D473" r:id="rId75" xr:uid="{F402B5E3-144B-4955-8159-4FC9A84B9EA6}"/>
    <hyperlink ref="D475" r:id="rId76" xr:uid="{98798A1F-202F-4416-B900-25D72B9193F2}"/>
    <hyperlink ref="D480" r:id="rId77" xr:uid="{C7DB2AEA-62F1-48B2-8DF9-8434E8351BD9}"/>
    <hyperlink ref="K482" r:id="rId78" xr:uid="{770DBBDB-C976-48AD-B4BA-7339446934C9}"/>
    <hyperlink ref="C302" r:id="rId79" xr:uid="{E35583CC-C6C9-4E76-A2B6-0FD3A0882F57}"/>
    <hyperlink ref="C296" r:id="rId80" xr:uid="{F7A407B4-94AD-43C5-B2B8-76DC01A7469F}"/>
    <hyperlink ref="C290" r:id="rId81" xr:uid="{E2C3A119-CF20-4E61-81F7-1E3912F25E1A}"/>
    <hyperlink ref="C294" r:id="rId82" xr:uid="{CEB5CDC6-F598-4B99-A95C-B85D2AF966C6}"/>
    <hyperlink ref="C301" r:id="rId83" xr:uid="{CEAAC76C-573D-44E3-8ABA-98ADA7D378ED}"/>
    <hyperlink ref="C447" r:id="rId84" xr:uid="{A02F44C8-00C2-45B9-A72F-6CDEDDE0470A}"/>
    <hyperlink ref="C379" r:id="rId85" xr:uid="{A1EA6270-A3AF-4ADF-8E70-39A71DB9880E}"/>
    <hyperlink ref="C346" r:id="rId86" xr:uid="{697E79A9-C351-4B95-91F6-F61D9E450BCB}"/>
    <hyperlink ref="C465" r:id="rId87" location="Specifications" xr:uid="{A2B9979E-F055-4DCD-814E-D5CC3C9E218C}"/>
    <hyperlink ref="C497" r:id="rId88" xr:uid="{CE08E15B-B20E-46C0-9D00-B6F060358622}"/>
    <hyperlink ref="C458" r:id="rId89" location="Specifications_(F-35A)" xr:uid="{B45239EC-CAEE-464A-BD31-A6E6ACF129C9}"/>
    <hyperlink ref="C431" r:id="rId90" xr:uid="{2D999799-04AF-4D25-8474-2E828AFC4558}"/>
    <hyperlink ref="C496" r:id="rId91" location="Specifications_(Su-35S)" xr:uid="{0ED7947C-6BAA-4153-95F1-EB2250A4C6F0}"/>
    <hyperlink ref="C513" r:id="rId92" xr:uid="{74A60F3D-9E1D-40B2-8C1A-0F7433D5B177}"/>
    <hyperlink ref="C440" r:id="rId93" xr:uid="{D59268DD-CA9E-4070-B5CF-7A376DDC343C}"/>
    <hyperlink ref="C364" r:id="rId94" xr:uid="{C4F9B24D-7E8F-4191-A2AD-1E13E7C9BC49}"/>
    <hyperlink ref="C390" r:id="rId95" xr:uid="{B26B9313-F5FB-4C12-9516-007F90E15CB5}"/>
    <hyperlink ref="C482" r:id="rId96" xr:uid="{A3AB758C-4E42-47EE-9707-19E07A68B4D4}"/>
    <hyperlink ref="S38" r:id="rId97" xr:uid="{4028EC9A-6E9A-4B50-8223-DF2FEE109D8A}"/>
    <hyperlink ref="S32" r:id="rId98" xr:uid="{44B74770-1CA8-40F1-BA38-F87C0D376EAC}"/>
    <hyperlink ref="S30" r:id="rId99" xr:uid="{4AE8ECC5-9C2E-4148-8C80-609CE49AFFFA}"/>
    <hyperlink ref="S37" r:id="rId100" xr:uid="{4F08CE6B-F8AC-4E84-86E8-CF1C107C9744}"/>
    <hyperlink ref="S183" r:id="rId101" xr:uid="{B2C14BAB-0CFC-4191-87A5-051007D183B9}"/>
    <hyperlink ref="S41" r:id="rId102" location="cite_note-Marine_Corps_Gazette-78" xr:uid="{E6F73D96-002F-4F36-852D-690587ACE455}"/>
    <hyperlink ref="S40" r:id="rId103" xr:uid="{B87C2446-851F-44C1-ADA5-09124361F158}"/>
    <hyperlink ref="S115" r:id="rId104" xr:uid="{10834F7C-9103-45B5-8B6A-A4C6DE3EEA16}"/>
    <hyperlink ref="S82" r:id="rId105" xr:uid="{89DF4B78-B1C3-4E1C-8679-AD82297EDA3A}"/>
    <hyperlink ref="S201" r:id="rId106" location="Specifications" xr:uid="{3EB2011D-B0A5-427E-A644-98CE790F235C}"/>
    <hyperlink ref="S233" r:id="rId107" xr:uid="{0891378E-B4B8-424A-9E1A-744D83A82F72}"/>
    <hyperlink ref="S194" r:id="rId108" location="Specifications_(F-35A)" xr:uid="{66AF8EF2-4AFD-4DE7-911C-7FEBA47F2D0D}"/>
    <hyperlink ref="S167" r:id="rId109" xr:uid="{CF2DEC84-0283-4668-87BA-9D75C58DC6AC}"/>
    <hyperlink ref="S232" r:id="rId110" location="Specifications_(Su-35S)" xr:uid="{0130DBC1-A99D-4FD8-9002-62E176016ED7}"/>
    <hyperlink ref="S249" r:id="rId111" xr:uid="{8BBC6CFC-9523-4B09-A4BF-4303D5E71DBE}"/>
    <hyperlink ref="S176" r:id="rId112" xr:uid="{B60ABFB4-D853-4AF6-A356-DBDBB6DADFED}"/>
    <hyperlink ref="S100" r:id="rId113" xr:uid="{E71082F9-8C23-4DED-B08C-C42E147EF7E2}"/>
    <hyperlink ref="S126" r:id="rId114" xr:uid="{8C408869-8CB5-4712-87E5-760C441CAA9C}"/>
    <hyperlink ref="S218" r:id="rId115" xr:uid="{ECC1A5AB-7388-42C6-9960-83BC5E10DEA7}"/>
    <hyperlink ref="S221" r:id="rId116" location="Specifications_(B-52H)" xr:uid="{7C53FC2A-AD00-4D9E-A63A-F4053D98420C}"/>
    <hyperlink ref="S223" r:id="rId117" xr:uid="{7778B6DD-08E4-4F2B-891F-9CCE1B73F655}"/>
    <hyperlink ref="S234" r:id="rId118" xr:uid="{5C882C58-5244-4A78-BB2D-8DB10ECE3EF4}"/>
    <hyperlink ref="S235" r:id="rId119" xr:uid="{862055B4-412C-4474-95F8-D904FED76509}"/>
    <hyperlink ref="S236" r:id="rId120" xr:uid="{1A8B459F-7D34-4921-8ACD-2A80A34B7338}"/>
    <hyperlink ref="S237" r:id="rId121" xr:uid="{9379D962-D506-4B3D-B8EC-0C8B90528DDD}"/>
    <hyperlink ref="S238" r:id="rId122" xr:uid="{10DB5473-7FFB-4A22-8A48-A2F61886DED6}"/>
    <hyperlink ref="S239" r:id="rId123" xr:uid="{40A409DF-36BD-468F-90A7-429F8A091DA0}"/>
    <hyperlink ref="S240" r:id="rId124" xr:uid="{CAA0A9D8-4809-4265-9125-98D05A05FB88}"/>
    <hyperlink ref="S241" r:id="rId125" xr:uid="{FD09F9DC-59BB-4073-9740-FCB3A15A9C56}"/>
    <hyperlink ref="S242" r:id="rId126" xr:uid="{46F8511F-1FA3-477B-8513-0A15510E93BC}"/>
    <hyperlink ref="S244" r:id="rId127" xr:uid="{E0B9724A-30A1-43ED-B6B2-C0F90DEF23A2}"/>
    <hyperlink ref="S245" r:id="rId128" xr:uid="{10AFB4C0-C5DC-4212-9E05-76BC4A7767BB}"/>
    <hyperlink ref="S248" r:id="rId129" xr:uid="{F5AB664F-3EBE-42E9-925B-2AD06B43DBF1}"/>
    <hyperlink ref="S250" r:id="rId130" location="Specifications_(Ka-50)" xr:uid="{BBCCDC31-0EE4-49AA-B469-1650A3F8CDA6}"/>
    <hyperlink ref="S251" r:id="rId131" xr:uid="{92D37ACF-11DB-4C4B-BEA6-65A67416C7B6}"/>
    <hyperlink ref="S252" r:id="rId132" xr:uid="{3CB75E9B-05A9-4596-AD69-EC1499E3233D}"/>
    <hyperlink ref="S253" r:id="rId133" location="Specifications" xr:uid="{0E239A50-489F-4979-AD0E-9A0755C4FF5C}"/>
    <hyperlink ref="S259" r:id="rId134" xr:uid="{CED43C14-38FC-4C17-BCC4-18A1CF2EB509}"/>
    <hyperlink ref="P517" r:id="rId135" xr:uid="{910930F2-2DA0-48FE-A609-5C63C2C78F9C}"/>
    <hyperlink ref="P523" r:id="rId136" xr:uid="{3E74874E-5EB2-4568-91D0-355C41DA0C6B}"/>
    <hyperlink ref="S105" r:id="rId137" xr:uid="{0F08ED40-B9A7-471F-B241-0A6E9D4316E3}"/>
    <hyperlink ref="S103" r:id="rId138" xr:uid="{4B36A7BE-EBEE-49DB-8FDE-AF0341C1118C}"/>
    <hyperlink ref="S13" r:id="rId139" xr:uid="{C26C7448-C69C-46B3-9B7A-0B20C30ED44D}"/>
    <hyperlink ref="S11" r:id="rId140" xr:uid="{3309AA37-91E0-44CB-BD70-C800AEB2F17B}"/>
    <hyperlink ref="S10" r:id="rId141" xr:uid="{996C349E-927F-4641-80E4-BE5E2E20E72E}"/>
    <hyperlink ref="S88" r:id="rId142" xr:uid="{3782F787-8A12-467D-816B-5A61E39CCA5D}"/>
    <hyperlink ref="S78" r:id="rId143" xr:uid="{9D57B306-A23E-4D51-A613-2EE6958CF793}"/>
    <hyperlink ref="S72" r:id="rId144" xr:uid="{E61F96D4-D614-443D-984F-DF4E95C2E1FD}"/>
    <hyperlink ref="S81" r:id="rId145" xr:uid="{18F1BD70-B732-46FC-966C-81711C0AB213}"/>
    <hyperlink ref="S96" r:id="rId146" xr:uid="{8CA1291E-5BD7-4C88-9003-3EFD18B83899}"/>
    <hyperlink ref="S106" r:id="rId147" xr:uid="{40AD5D88-4748-4C3D-AEC9-72C584BA89DA}"/>
    <hyperlink ref="S114" r:id="rId148" xr:uid="{8BB4CFE4-E953-41CD-9C8B-7167BB87C67B}"/>
    <hyperlink ref="S132" r:id="rId149" xr:uid="{790EB790-942E-4D51-9355-87F6C398DF0C}"/>
    <hyperlink ref="S133" r:id="rId150" xr:uid="{7B05C4C2-9A24-4AA9-B752-1BD4EB474A08}"/>
    <hyperlink ref="S134" r:id="rId151" xr:uid="{75E360DF-CC42-4FFB-A3C8-BFB185B86BDF}"/>
    <hyperlink ref="S135" r:id="rId152" xr:uid="{9FE0F37F-A1E4-4F58-9D72-D6FC67AB81E5}"/>
    <hyperlink ref="S136" r:id="rId153" xr:uid="{85E3A806-7290-489E-A421-04A4087FF050}"/>
    <hyperlink ref="S168" r:id="rId154" xr:uid="{26FFF63B-694A-412E-8382-9BDC4B4A76E9}"/>
    <hyperlink ref="S171" r:id="rId155" xr:uid="{A8760F3A-010C-4CC1-9BB9-81F869C9DB45}"/>
    <hyperlink ref="S172" r:id="rId156" xr:uid="{3D1EBB52-B358-4899-9D82-A67DD3A29865}"/>
    <hyperlink ref="V110" r:id="rId157" xr:uid="{21F168C9-3C90-4547-B78A-E229ACFD2543}"/>
    <hyperlink ref="S130" r:id="rId158" xr:uid="{F6AE3CF9-3ED0-4612-8807-A3FAA4E6AAD5}"/>
    <hyperlink ref="S110" r:id="rId159" xr:uid="{653A8153-6AA8-4FCD-859E-E7BCBBC8F57B}"/>
    <hyperlink ref="S227" r:id="rId160" xr:uid="{D685C5C7-4655-47C1-8F9A-9C964CB50896}"/>
    <hyperlink ref="D395" r:id="rId161" xr:uid="{8A42C933-73C3-49C9-8011-E1D960DF5216}"/>
    <hyperlink ref="S131" r:id="rId162" xr:uid="{09649355-A60D-4786-B113-778A5D369782}"/>
    <hyperlink ref="V218" r:id="rId163" xr:uid="{290CAA12-AA65-478A-821A-7A194FEAC21F}"/>
    <hyperlink ref="S55" r:id="rId164" location="Variants" xr:uid="{9F234E02-637E-4232-A1FF-452F1470A13C}"/>
    <hyperlink ref="S57" r:id="rId165" xr:uid="{836B1959-E711-4E73-99C2-9DDF741EFA32}"/>
    <hyperlink ref="S23" r:id="rId166" xr:uid="{C70087B0-999F-44F6-A4D1-974985943B39}"/>
    <hyperlink ref="S24" r:id="rId167" xr:uid="{3776C6C6-A09C-421F-92A3-00D470BDD71E}"/>
    <hyperlink ref="S80" r:id="rId168" xr:uid="{9423A2BA-BC54-46EF-A5E2-74FB54E701D2}"/>
    <hyperlink ref="S127" r:id="rId169" display="https://en.wikipedia.org/wiki/R-360_Neptune" xr:uid="{6C983211-B9BB-42FA-B066-5B8B2E1635F9}"/>
    <hyperlink ref="S184" r:id="rId170" xr:uid="{7209A1E3-1E9A-44AC-AD94-71B054423E2F}"/>
    <hyperlink ref="S185" r:id="rId171" xr:uid="{90E3D162-5923-4439-8404-74D98AC21E28}"/>
    <hyperlink ref="S186" r:id="rId172" xr:uid="{C1159F59-9030-4787-9F1C-FC1609776026}"/>
    <hyperlink ref="S195" r:id="rId173" location="GAU-22/A" xr:uid="{AA4A9D1B-FB2D-4395-8E5E-7B11EA8B15ED}"/>
    <hyperlink ref="S203" r:id="rId174" xr:uid="{9BC5612E-D95F-4448-AD4C-B54EE70F6F39}"/>
    <hyperlink ref="S204" r:id="rId175" location="Operators" xr:uid="{595D154C-A256-4A0B-AB0D-FC7992E80ACA}"/>
    <hyperlink ref="S197" r:id="rId176" xr:uid="{9EDD8392-0413-4664-9519-564852C3D7AB}"/>
    <hyperlink ref="S208" r:id="rId177" xr:uid="{A202727B-7730-41AE-85A9-DF34A498397B}"/>
    <hyperlink ref="S209" r:id="rId178" xr:uid="{F4B71E32-379A-42E9-AF00-7BF720E36167}"/>
    <hyperlink ref="S211" r:id="rId179" xr:uid="{17368AD1-017E-4253-B157-FB99869222D0}"/>
    <hyperlink ref="S216" r:id="rId180" xr:uid="{C6A4BF8E-B1F9-4F08-9B93-D427306ECB7F}"/>
    <hyperlink ref="S217" r:id="rId181" xr:uid="{41DE347E-3357-4243-AF1A-9825EA8DBBF4}"/>
    <hyperlink ref="S142" r:id="rId182" location="Variants" xr:uid="{30AFF80C-007F-48A6-B04E-CC2C59CA16B5}"/>
    <hyperlink ref="D415" r:id="rId183" xr:uid="{D8F4D9B8-F9CE-4EFE-934B-3DE99D5DFEBC}"/>
    <hyperlink ref="S151" r:id="rId184" xr:uid="{96A21CFC-0F53-4634-8E68-2B9D29C0795B}"/>
    <hyperlink ref="S152" r:id="rId185" xr:uid="{ECB76ABD-4D33-49C9-B306-B99B70A5F79F}"/>
    <hyperlink ref="D417" r:id="rId186" xr:uid="{AA0CFA3F-B172-4236-8D2C-ABA1115B5C0E}"/>
    <hyperlink ref="S153" r:id="rId187" xr:uid="{94781020-36A4-4D7E-9D13-16ADECA02397}"/>
    <hyperlink ref="S160" r:id="rId188" xr:uid="{F03B6817-CE8D-4DBD-9D4C-4D1A74AC6B1E}"/>
    <hyperlink ref="S154" r:id="rId189" xr:uid="{0D52E584-4CE6-46DE-B98E-0FF734BF9724}"/>
    <hyperlink ref="S164" r:id="rId190" xr:uid="{B17A238E-AE6E-4220-A13E-4CC9C103BF74}"/>
    <hyperlink ref="S165" r:id="rId191" xr:uid="{762F6758-8E93-434C-A743-D03929A4804C}"/>
    <hyperlink ref="AG167" r:id="rId192" xr:uid="{BA42AC88-76E0-4B70-9EAD-FC19DE62898C}"/>
    <hyperlink ref="S29" r:id="rId193" xr:uid="{525FB342-E391-4279-9773-0E628970611D}"/>
    <hyperlink ref="C289" r:id="rId194" xr:uid="{536F728E-9B1D-4551-B3A5-27246C3A35FC}"/>
    <hyperlink ref="S25" r:id="rId195" xr:uid="{39B943E3-5B6A-4793-B6BC-600B47CAD6E9}"/>
    <hyperlink ref="S26" r:id="rId196" xr:uid="{7DD712F8-E82D-4088-B74B-8D80DCA2AE04}"/>
    <hyperlink ref="S27" r:id="rId197" xr:uid="{5396001B-F1C9-4292-B7EB-856A458B7C35}"/>
    <hyperlink ref="S28" r:id="rId198" xr:uid="{168BE271-8B2A-49D0-878B-ADA246E6DF7D}"/>
    <hyperlink ref="S31" r:id="rId199" xr:uid="{1E3F36BF-9DBA-435B-8824-12910AE6FC48}"/>
    <hyperlink ref="S35" r:id="rId200" xr:uid="{CD8E2A69-1D53-4B10-AB72-E247E770D163}"/>
    <hyperlink ref="S36" r:id="rId201" xr:uid="{15D9DC7C-B5D5-421F-8006-A11DB969CE20}"/>
    <hyperlink ref="D305" r:id="rId202" location="MLRS" xr:uid="{50C520AD-5359-481F-AF99-BECEEA787B56}"/>
    <hyperlink ref="C304" r:id="rId203" location="MLRS" xr:uid="{C1C91C99-F5F4-4B67-8609-C763E668C64D}"/>
    <hyperlink ref="C299" r:id="rId204" xr:uid="{081B9E09-29B2-41A8-A8FB-BC5B8C1D77E2}"/>
    <hyperlink ref="C300" r:id="rId205" xr:uid="{C882A804-7723-4412-8CCE-02B1055FC863}"/>
    <hyperlink ref="C298" r:id="rId206" xr:uid="{E8A788B1-57F0-4621-8FD1-2ED6044224A1}"/>
    <hyperlink ref="C305" r:id="rId207" location="GMLRS" xr:uid="{9DAA3424-6C02-4151-8913-5CB5C41DAF49}"/>
    <hyperlink ref="C306" r:id="rId208" xr:uid="{7BD7A844-5B77-48C1-A007-9924BE0561B3}"/>
    <hyperlink ref="S47" r:id="rId209" xr:uid="{19AE4C1D-8B71-4568-BE94-1B04489018F0}"/>
    <hyperlink ref="S48:S51" r:id="rId210" display="https://en.wikipedia.org/wiki/RPG-7" xr:uid="{4140DBEC-A01C-4D91-BB3B-1ED9A35959D9}"/>
    <hyperlink ref="S52" r:id="rId211" xr:uid="{A08BEC7C-B50A-4AB2-B325-C3D89661A4DC}"/>
    <hyperlink ref="S56" r:id="rId212" xr:uid="{94589A41-F2AF-429C-93AF-A6686E783CD1}"/>
    <hyperlink ref="S58" r:id="rId213" xr:uid="{BE9940EA-A475-4896-BFDA-A9503AAC9027}"/>
    <hyperlink ref="S59" r:id="rId214" location="Production_history" xr:uid="{073BBFB3-97CB-4CE0-98CB-9313073BD748}"/>
    <hyperlink ref="S60" r:id="rId215" xr:uid="{DBCE00A0-447A-464E-B47B-AB08637AC596}"/>
    <hyperlink ref="N336" r:id="rId216" xr:uid="{4A2347A1-29D1-4A75-8AA5-8D276722694B}"/>
    <hyperlink ref="AT80" r:id="rId217" xr:uid="{676C3ECD-B3DB-4017-8613-E206C805605D}"/>
    <hyperlink ref="C311" r:id="rId218" xr:uid="{5DC42055-6EEC-454F-9799-D91533885917}"/>
    <hyperlink ref="N312" r:id="rId219" xr:uid="{D0457A54-2EFF-4F30-A769-9DF8E303753C}"/>
    <hyperlink ref="N313" r:id="rId220" xr:uid="{C8613E91-A557-4545-A8A9-1DCA8E573ED2}"/>
    <hyperlink ref="D312" r:id="rId221" xr:uid="{FC5BD0BD-2AD9-4D4E-9DA4-EE492C075957}"/>
    <hyperlink ref="V65" r:id="rId222" xr:uid="{483B323F-BB6C-4388-8EA1-85660073722E}"/>
    <hyperlink ref="S68" r:id="rId223" xr:uid="{62F04291-E9D7-41A0-9227-E07A1071E2E4}"/>
    <hyperlink ref="S74" r:id="rId224" xr:uid="{33403FB0-60A1-4A0B-95B9-7E9976515EA5}"/>
    <hyperlink ref="S67" r:id="rId225" xr:uid="{DB667D4B-3CB7-4B96-BA8E-519A46E127F6}"/>
    <hyperlink ref="V67" r:id="rId226" xr:uid="{596D3A31-0E23-4651-BB98-203074271BEA}"/>
    <hyperlink ref="V75" r:id="rId227" xr:uid="{849D8956-AAAE-4344-A2C2-C07895419610}"/>
    <hyperlink ref="S75" r:id="rId228" xr:uid="{3C59C683-2948-409C-B574-024BCCDD21DD}"/>
    <hyperlink ref="V82" r:id="rId229" xr:uid="{848563C4-22E9-4FC9-9A72-00F83BF52D36}"/>
    <hyperlink ref="C347" r:id="rId230" xr:uid="{32DBC9B6-6015-4DDC-AF7A-FD98D5C14CE8}"/>
    <hyperlink ref="V84" r:id="rId231" xr:uid="{5B9A37F5-D92F-411B-AFE9-58A2C212C98C}"/>
    <hyperlink ref="C427" r:id="rId232" xr:uid="{17965204-34C4-4B89-AC2F-B72699A0ECDC}"/>
    <hyperlink ref="S163" r:id="rId233" xr:uid="{68DF7935-3082-4E3E-96F5-08F7B1645EE1}"/>
    <hyperlink ref="S84" r:id="rId234" xr:uid="{9FFCEDBE-0CAB-45AC-880E-8D1B9CBC3FF8}"/>
    <hyperlink ref="AG84" r:id="rId235" xr:uid="{C67114CE-FEE6-41BE-8A07-68D0CCCBB3EF}"/>
    <hyperlink ref="V81" r:id="rId236" xr:uid="{DEFB1C70-D4CF-4D49-B4CD-699207AD6202}"/>
    <hyperlink ref="S33" r:id="rId237" xr:uid="{EE3D4D1F-B6DA-4487-B169-4525C0256541}"/>
    <hyperlink ref="D358" r:id="rId238" location=":~:text=Unit%20cost%20US%2421.5m%20%28FY13%29%20US%2431.2m%20%28inc%20R%26D%29%20Developed,a%20Thielert%20Centurion%201.7%20Heavy%20Fuel%20Engine%20%28HFE%29." xr:uid="{7F561D74-6904-4103-A369-AA469488D604}"/>
    <hyperlink ref="D352" r:id="rId239" xr:uid="{3F19ABB6-A251-4210-B6A9-B974B4CCD494}"/>
    <hyperlink ref="M352:O352" r:id="rId240" display="https://en.wikipedia.org/wiki/IAI_Heron" xr:uid="{426E81C1-7563-488A-BCE6-7230C201137D}"/>
    <hyperlink ref="S93" r:id="rId241" xr:uid="{F79E3A17-0348-4493-83E0-94FE1BE41B55}"/>
    <hyperlink ref="S86" r:id="rId242" xr:uid="{93F33007-4F96-44C6-B387-D5ECF45347C6}"/>
    <hyperlink ref="S83" r:id="rId243" xr:uid="{F8873789-307A-4529-87DC-3BA0A6682062}"/>
    <hyperlink ref="V83" r:id="rId244" xr:uid="{475E6EEB-328F-421B-9C7E-9BEC7D8FF5E8}"/>
    <hyperlink ref="AH105" r:id="rId245" xr:uid="{67358D7A-306A-4C26-97BC-18F87E4EF85A}"/>
    <hyperlink ref="AO80" r:id="rId246" xr:uid="{627245A9-A98C-4E5D-903F-A62EA79E8DFD}"/>
    <hyperlink ref="AH106" r:id="rId247" location="Specifications_(WR19)" xr:uid="{D369851D-DE9D-4C3C-AD32-EC7BFAF31876}"/>
    <hyperlink ref="AH127" r:id="rId248" xr:uid="{57423928-7F17-4DAE-96B4-5AB130C1CDBB}"/>
    <hyperlink ref="N373" r:id="rId249" xr:uid="{81C08AA9-C1E5-4E44-8414-E77DFC1B3E9C}"/>
    <hyperlink ref="V105" r:id="rId250" xr:uid="{1A9CC5C7-FCD7-4C7E-9034-7598C06001B4}"/>
    <hyperlink ref="S53" r:id="rId251" location="Variants" xr:uid="{9EF52C70-49EE-4B1F-90C1-7B596BF2F994}"/>
    <hyperlink ref="AG53" r:id="rId252" xr:uid="{B7E49A93-FAC0-4BBF-A7A9-6D06AA6AD5EC}"/>
    <hyperlink ref="AH80" r:id="rId253" xr:uid="{8C2CD531-5120-4378-9DA3-E2B198019FE5}"/>
    <hyperlink ref="AH11" r:id="rId254" xr:uid="{30F2349D-0C1A-4811-9AC1-6E9784D8FF9A}"/>
    <hyperlink ref="AH128" r:id="rId255" xr:uid="{18B2D810-B3C1-4A98-88C1-1EBBB6A8DC7E}"/>
    <hyperlink ref="S128" r:id="rId256" display="https://en.wikipedia.org/wiki/R-360_Neptune" xr:uid="{E70BF649-573B-40CB-993D-3CB9B1DF3386}"/>
    <hyperlink ref="AH130" r:id="rId257" location="Specifications_(WR19)" xr:uid="{38354707-F167-4413-ADA5-0A7E3B7280CF}"/>
    <hyperlink ref="D392" r:id="rId258" xr:uid="{5C1368BC-1C14-4456-8477-6CC23645B0CA}"/>
    <hyperlink ref="AH109" r:id="rId259" location="Specifications_(WR19)" xr:uid="{D0B85AF2-6C31-49FD-8E51-057A1F2BCB29}"/>
    <hyperlink ref="AH107" r:id="rId260" location="Specifications_(WR19)" xr:uid="{413B4A4A-3AFA-41A3-8EA8-F1B21867D5A1}"/>
    <hyperlink ref="S107" r:id="rId261" xr:uid="{D7A5E80F-0933-4F74-BBEC-9E54FE8A4840}"/>
    <hyperlink ref="S109" r:id="rId262" xr:uid="{8932C87F-8FFF-4BA1-8D27-522E1EC8557C}"/>
    <hyperlink ref="D396" r:id="rId263" xr:uid="{6C144E81-139E-4F5C-A550-6C29471451B7}"/>
    <hyperlink ref="S102" r:id="rId264" xr:uid="{3494E67A-5821-413E-86BB-37236213598C}"/>
    <hyperlink ref="S104" r:id="rId265" xr:uid="{B107711E-AE98-48A9-8F1F-EF4D3F5A9B80}"/>
    <hyperlink ref="AG112" r:id="rId266" xr:uid="{8CAC97BE-020E-4288-ABE5-E5F2150F00E1}"/>
    <hyperlink ref="S111" r:id="rId267" xr:uid="{9766E18A-933B-4FA3-A7E9-0680C4B8A050}"/>
    <hyperlink ref="S257" r:id="rId268" xr:uid="{E62F9054-EF89-4D0E-A70B-FBD42E5161B4}"/>
    <hyperlink ref="S258" r:id="rId269" location="Specifications_(CH-53E)" xr:uid="{6FFF4FBA-3FC6-4524-A046-0EE2DBDD1816}"/>
    <hyperlink ref="AH103" r:id="rId270" xr:uid="{3831F782-E688-4DDF-BE40-B86F80650643}"/>
    <hyperlink ref="S101" r:id="rId271" xr:uid="{966BB548-5157-42DF-90F7-8BB61723C44C}"/>
    <hyperlink ref="S17" r:id="rId272" xr:uid="{FE082722-66D7-41E4-8ACA-FD6FFB5D56DD}"/>
    <hyperlink ref="V102" r:id="rId273" xr:uid="{4FBDF2FC-A687-405E-B3EF-439565317788}"/>
    <hyperlink ref="S149" r:id="rId274" xr:uid="{A4AB1C79-3ADE-404A-A215-54274B2300A0}"/>
    <hyperlink ref="D373" r:id="rId275" xr:uid="{F44297A1-B377-47B0-9D5B-4C88CA89EAC3}"/>
    <hyperlink ref="AH14" r:id="rId276" location="Specifications_(WR19)" xr:uid="{18A2371D-D590-4490-9901-ADF304ECC353}"/>
    <hyperlink ref="S14" r:id="rId277" xr:uid="{3D1FCF59-F9E5-4BBB-B4A9-89898FCAB5E4}"/>
    <hyperlink ref="S246" r:id="rId278" xr:uid="{997B0D8F-7BA4-4AE5-838E-C1DEF01D1F21}"/>
    <hyperlink ref="AH246" r:id="rId279" xr:uid="{7129FF7D-EEAE-49AD-A5F2-700048F48D9C}"/>
    <hyperlink ref="S143" r:id="rId280" location="Variants" xr:uid="{60E552AD-5F1F-44E4-B226-45697EEF3537}"/>
    <hyperlink ref="S247" r:id="rId281" xr:uid="{2070266F-2789-4B68-9903-2D7596775445}"/>
    <hyperlink ref="Q368" r:id="rId282" xr:uid="{1D7D4909-190B-41D9-95C7-8647B9174E0A}"/>
    <hyperlink ref="Q413" r:id="rId283" xr:uid="{80FC8C03-19D4-4F75-9450-F9266283FECC}"/>
    <hyperlink ref="S12" r:id="rId284" xr:uid="{83170B39-7A72-4E16-B62D-3E460930A1C3}"/>
    <hyperlink ref="AA281" r:id="rId285" xr:uid="{8A25859D-1F6E-4CB1-8BC7-915AD167DFBD}"/>
    <hyperlink ref="S243" r:id="rId286" xr:uid="{DD29E98B-0B7C-43DE-8F3E-F9C4CB4C9C1E}"/>
    <hyperlink ref="W243" r:id="rId287" xr:uid="{854E75BC-987C-4092-A04F-5A2665D2D0EF}"/>
    <hyperlink ref="U234" r:id="rId288" xr:uid="{8986FD29-5425-4F89-95E8-89BB6D18739E}"/>
    <hyperlink ref="U102" r:id="rId289" xr:uid="{8BE75646-C1B0-4D25-A466-5C9E065A9D09}"/>
    <hyperlink ref="Q498" r:id="rId290" xr:uid="{C0CD4A9D-9857-48F4-A4D7-3F360EEA6585}"/>
    <hyperlink ref="U219" r:id="rId291" xr:uid="{86AA0182-4D7F-4F44-B803-C53DA5823A54}"/>
    <hyperlink ref="D474" r:id="rId292" xr:uid="{965AFA1C-9021-42BB-94B8-722B0035A753}"/>
    <hyperlink ref="D393" r:id="rId293" xr:uid="{2039001A-4E53-4889-B9D3-D0F87A9F86CE}"/>
    <hyperlink ref="AH129" r:id="rId294" xr:uid="{186FC4D8-3425-4C3B-844F-D69CB9DDF002}"/>
    <hyperlink ref="S129" r:id="rId295" display="https://en.wikipedia.org/wiki/R-360_Neptune" xr:uid="{AABCB621-B4E5-4191-8651-7175DE993AE4}"/>
    <hyperlink ref="U53" r:id="rId296" xr:uid="{0EE2A98C-42F0-40D6-B44F-AE95ADDF807F}"/>
    <hyperlink ref="U105" r:id="rId297" xr:uid="{F00F4A07-5667-460A-B3FA-5816979A4DE9}"/>
    <hyperlink ref="Q454" r:id="rId298" xr:uid="{6D81D74D-E8B1-428F-BA22-52A3FAA6A68E}"/>
    <hyperlink ref="U109" r:id="rId299" xr:uid="{AD8B97DD-4C69-4D68-8B71-2197516DB800}"/>
    <hyperlink ref="U106" r:id="rId300" xr:uid="{339FC909-3D90-4308-B971-335CB178915E}"/>
    <hyperlink ref="S190" r:id="rId301" xr:uid="{D2046ADA-0521-4162-9B20-6487923F53A3}"/>
    <hyperlink ref="U190" r:id="rId302" xr:uid="{FA76773F-4F39-4DC1-930E-8AAA80C83FC7}"/>
    <hyperlink ref="K454" r:id="rId303" xr:uid="{B9F990E3-8EF0-4AA9-8D5A-C20955891053}"/>
    <hyperlink ref="S191" r:id="rId304" xr:uid="{EFFB46B1-30CE-4B82-BD1B-B490F9EC7750}"/>
    <hyperlink ref="K455" r:id="rId305" xr:uid="{07388A98-583B-49E7-B6B7-34075B1EDC04}"/>
    <hyperlink ref="W413" r:id="rId306" xr:uid="{1A6B8506-3298-44B7-A7D3-54AD4E0EFCFA}"/>
    <hyperlink ref="S205" r:id="rId307" xr:uid="{68AF6CE7-C626-4339-B79B-306A2ACEB003}"/>
    <hyperlink ref="K420" r:id="rId308" xr:uid="{7FAE2F7D-E990-45BB-82D8-40179789CE3D}"/>
    <hyperlink ref="S158" r:id="rId309" xr:uid="{51009028-A85A-49F2-BF37-B1C31ABC7D8C}"/>
    <hyperlink ref="S159" r:id="rId310" location="Arrow_2" xr:uid="{79B38B05-1935-4FF1-B011-99E48A56FD75}"/>
    <hyperlink ref="S148" r:id="rId311" xr:uid="{40B5D21B-4D5A-4020-B5AF-520F85E4CF23}"/>
    <hyperlink ref="P519" r:id="rId312" location="overview" xr:uid="{06605954-0CE2-443E-89EF-A56F33416F95}"/>
    <hyperlink ref="S144" r:id="rId313" location="SkyCeptor_(PAAC-4)" xr:uid="{5A3F7F69-7C56-4DC1-AE46-10C62756159E}"/>
    <hyperlink ref="C454" r:id="rId314" xr:uid="{B8DCB71C-260F-4574-99A7-D964C8341E69}"/>
    <hyperlink ref="V190" r:id="rId315" xr:uid="{DD8A5980-DCF8-4109-98CE-E08094E2F457}"/>
    <hyperlink ref="S15" r:id="rId316" xr:uid="{762DB0BD-DA5D-42B7-A33A-E2611F522EEA}"/>
    <hyperlink ref="U92" r:id="rId317" xr:uid="{28065020-FFC8-4D05-A852-2CF1F3A5A370}"/>
    <hyperlink ref="U117" r:id="rId318" xr:uid="{580F9605-5B05-4CCB-944C-7BF6019C3547}"/>
    <hyperlink ref="U118" r:id="rId319" xr:uid="{1627C4FE-E840-467C-A567-DE543957FA91}"/>
    <hyperlink ref="S147" r:id="rId320" xr:uid="{02771554-78F0-49AC-A79E-99B10E5B55A0}"/>
    <hyperlink ref="S117" r:id="rId321" xr:uid="{B8B419C0-0AC7-4F0F-BEC8-0AF530191399}"/>
    <hyperlink ref="S118" r:id="rId322" xr:uid="{78731E38-04DD-4DAC-AA4D-2C38CA695095}"/>
    <hyperlink ref="S92" r:id="rId323" xr:uid="{B5F1A5C9-E8DD-4946-9504-116866978E65}"/>
    <hyperlink ref="C352" r:id="rId324" xr:uid="{6A18C28C-E97A-4F27-978F-FDEFC3FF5243}"/>
    <hyperlink ref="C353" r:id="rId325" xr:uid="{D8044E20-DBF5-4819-A273-1D83B4B0F81C}"/>
    <hyperlink ref="S89" r:id="rId326" xr:uid="{F60654ED-9ED8-4415-B805-1B25DB43600F}"/>
    <hyperlink ref="U89" r:id="rId327" xr:uid="{C6D85587-7AED-4FB7-8CD0-44ED54145BCC}"/>
    <hyperlink ref="U199" r:id="rId328" xr:uid="{4B94A193-069B-4DE8-A327-A95939A3BA07}"/>
    <hyperlink ref="S226" r:id="rId329" location="Specifications_(Tu-22M3)" xr:uid="{38EC404F-DE72-446F-8B30-0A8A4E2A03DD}"/>
    <hyperlink ref="D435" r:id="rId330" xr:uid="{97DB2632-1A69-4D24-BFB5-6727369369C7}"/>
    <hyperlink ref="D434" r:id="rId331" xr:uid="{E49A0A09-E5C1-4CFA-83A9-9408C32AB110}"/>
    <hyperlink ref="X412" r:id="rId332" xr:uid="{FDBB32F6-02C7-4FAD-BB6B-37AF56C3FB93}"/>
    <hyperlink ref="N412" r:id="rId333" xr:uid="{D97AFAFD-DF59-4E5E-A343-59BF3F7E4A56}"/>
    <hyperlink ref="S146" r:id="rId334" xr:uid="{F2A36664-4AFF-425C-8B30-2EF86E0E50EA}"/>
    <hyperlink ref="W411" r:id="rId335" xr:uid="{51E70554-D3DC-4797-A78F-EA1B4BDA8A1A}"/>
    <hyperlink ref="K411" r:id="rId336" xr:uid="{42A2FA45-67B6-4AF3-964F-A4933AB8DBED}"/>
    <hyperlink ref="U148" r:id="rId337" xr:uid="{07CC7150-D741-48EF-A8AC-FD8EC164B708}"/>
    <hyperlink ref="U147" r:id="rId338" xr:uid="{D4DCCDE1-5DEC-4EA5-B8AD-67B049C7A1CE}"/>
    <hyperlink ref="L411" r:id="rId339" xr:uid="{5C9F8B7D-C527-4121-967D-C0E9969901D4}"/>
    <hyperlink ref="K412" r:id="rId340" xr:uid="{12A3294A-1397-41D5-91DE-4FFFE834DF17}"/>
    <hyperlink ref="W423" r:id="rId341" xr:uid="{00A8E021-B1D9-4AD6-89A2-1FB2EB57B5A8}"/>
    <hyperlink ref="U243" r:id="rId342" xr:uid="{00C9D67B-C6BE-48A3-85C0-F08C0AB90301}"/>
    <hyperlink ref="S187" r:id="rId343" xr:uid="{1F9563FA-D086-4E15-B5D3-FA9D199A8F8B}"/>
    <hyperlink ref="X243" r:id="rId344" xr:uid="{4399BF4F-88E2-4BDF-8C93-7718BE3E9254}"/>
    <hyperlink ref="S155" r:id="rId345" xr:uid="{D332EA99-26E0-4E94-9468-37268C4F0790}"/>
    <hyperlink ref="D508" r:id="rId346" location=":~:text=Range%3A%20More%20than%205%2C000%20nautical%20miles%20%289%2C250%20kilometers%29,Cost%3A%20%24270%20million%20%28fiscal%2098%20constant%20dollars%20though%29" xr:uid="{10EA0457-B8DC-45C4-9957-937DAC0E286D}"/>
    <hyperlink ref="D507" r:id="rId347" xr:uid="{F2C3CCE0-51FD-46C0-89BD-D2547FA70AD7}"/>
    <hyperlink ref="V507" r:id="rId348" xr:uid="{5195F20E-2A6A-4FB8-826B-2290D49CE3D0}"/>
    <hyperlink ref="W475" r:id="rId349" xr:uid="{96907293-563B-4F14-A6B1-77A03AC8217C}"/>
    <hyperlink ref="P425" r:id="rId350" location="Current_operators" xr:uid="{C734CBA5-8B9E-42A3-8151-139950C688D3}"/>
    <hyperlink ref="S162" r:id="rId351" xr:uid="{FBF4A9E9-28A9-4D5F-9EA4-FAD79BD3E3FE}"/>
    <hyperlink ref="S212" r:id="rId352" xr:uid="{A26A1037-422B-42F3-AA95-2D2E10906BCF}"/>
    <hyperlink ref="V476" r:id="rId353" xr:uid="{FF5B60AA-A9EE-4554-AA36-C3D1E2B68BE7}"/>
    <hyperlink ref="U189" r:id="rId354" xr:uid="{35F704EB-ED5B-4587-8157-118318197FC9}"/>
    <hyperlink ref="S189" r:id="rId355" xr:uid="{75F377EA-15D5-45A4-AF62-B3E7DF450DCF}"/>
    <hyperlink ref="S202" r:id="rId356" xr:uid="{656D6607-6266-47BB-ADA8-35D0A47701C3}"/>
    <hyperlink ref="C453" r:id="rId357" xr:uid="{02CE0EBD-927A-47D4-9574-924DD0A50F0D}"/>
    <hyperlink ref="D453" r:id="rId358" xr:uid="{9FA6153C-9DE2-4246-B67C-D0BA78A14EEF}"/>
    <hyperlink ref="Y243" r:id="rId359" xr:uid="{1894BB25-BA65-410B-82F1-51214AE06275}"/>
    <hyperlink ref="S39" r:id="rId360" xr:uid="{00F2890A-EE5A-43E3-BEBB-65F5DC921770}"/>
    <hyperlink ref="S113" r:id="rId361" xr:uid="{6F3FA477-96C2-4F66-BFCA-5155BD739A46}"/>
    <hyperlink ref="D377" r:id="rId362" xr:uid="{3D757130-9B4B-4FB5-BF37-1BCA2ED0B00D}"/>
    <hyperlink ref="S116" r:id="rId363" xr:uid="{8295188D-B1B1-48ED-88CF-F99CAD857451}"/>
    <hyperlink ref="X371" r:id="rId364" xr:uid="{285727BD-C68E-4F8A-8B5C-F9067D4FB779}"/>
    <hyperlink ref="S210" r:id="rId365" location="Variants_and_upgrades" xr:uid="{77B79E87-DD6D-4784-A304-43E9CF202846}"/>
    <hyperlink ref="S45" r:id="rId366" xr:uid="{631381DD-D7E1-41FA-A135-A87B3348ECDD}"/>
    <hyperlink ref="S44" r:id="rId367" xr:uid="{DAF37BAE-0A0D-4B26-B548-ECC993C4DB84}"/>
    <hyperlink ref="S122" r:id="rId368" xr:uid="{56B1D7CC-A37D-439B-AAEA-D2981A3231CF}"/>
    <hyperlink ref="U224" r:id="rId369" xr:uid="{5BDABE23-DDD6-46FD-BD64-F622F1626AED}"/>
    <hyperlink ref="S198" r:id="rId370" xr:uid="{7EBDE723-DA35-4694-AE5F-C1EDF224E3FC}"/>
    <hyperlink ref="V462" r:id="rId371" xr:uid="{7DF5B0B9-5247-4B7F-B531-EC7E590F6FF7}"/>
    <hyperlink ref="W462" r:id="rId372" xr:uid="{DCD96B23-EEC3-4BCF-A26F-285B31D9D3B5}"/>
    <hyperlink ref="X462" r:id="rId373" xr:uid="{0CAB88CB-98EE-469E-AF17-3B1F89C783A2}"/>
    <hyperlink ref="U200" r:id="rId374" xr:uid="{D02F5B73-F155-4772-A6FC-EE69A785CC7D}"/>
    <hyperlink ref="S200" r:id="rId375" xr:uid="{4178620D-6EA6-4EE9-B7C1-CEE140EE53F5}"/>
    <hyperlink ref="D464" r:id="rId376" xr:uid="{00E2B342-9606-44A1-86EF-DA6B0D4153F8}"/>
    <hyperlink ref="S199" r:id="rId377" xr:uid="{FA7FD9C8-9E9A-415A-BA04-9DFC2CFCD9BB}"/>
    <hyperlink ref="C463" r:id="rId378" xr:uid="{F868A17C-3BCE-441A-9016-C7709D50529D}"/>
    <hyperlink ref="S215" r:id="rId379" xr:uid="{82BA30F3-A353-4AF1-93A7-9FF671DF0636}"/>
    <hyperlink ref="S119" r:id="rId380" xr:uid="{CA15A205-E4D7-456E-9307-C997F2AD3FA9}"/>
    <hyperlink ref="D462" r:id="rId381" xr:uid="{6BC1122D-8C03-4625-94F0-FDF25AE8CD0E}"/>
    <hyperlink ref="S145" r:id="rId382" xr:uid="{FFE7B605-AB40-4402-ABF7-6B5194E5F29E}"/>
    <hyperlink ref="K507" r:id="rId383" xr:uid="{04B4531E-A200-4E8F-9FB7-82F9C7A0FB0A}"/>
    <hyperlink ref="Z243" r:id="rId384" xr:uid="{E83DE419-625A-4B11-AC28-06809BE715FE}"/>
    <hyperlink ref="D422" r:id="rId385" location="Current_operators" display="https://en.wikipedia.org/wiki/David%27s_Sling#Current_operators" xr:uid="{CD84A839-7A58-465A-8FB3-7077DF5768F9}"/>
    <hyperlink ref="O421" r:id="rId386" location="Service_with_Israel " display="https://en.wikipedia.org/wiki/MIM-104_Patriot#Service_with_Israel " xr:uid="{34E9DBE0-1DAF-457E-B6BD-611D20CAD9E6}"/>
    <hyperlink ref="O366" r:id="rId387" xr:uid="{FDA7C2CB-DA3E-42AD-A3AA-2ACCCBD1F8DA}"/>
    <hyperlink ref="P366" r:id="rId388" xr:uid="{EBB66610-506B-49FB-8B9D-3AC63F393576}"/>
    <hyperlink ref="K421" r:id="rId389" xr:uid="{35523EF3-DD0C-4A14-B251-55FAA45C1F6F}"/>
    <hyperlink ref="C421" r:id="rId390" xr:uid="{FF47A5C0-58B2-4847-B79F-CD921AA7CF31}"/>
    <hyperlink ref="S141" r:id="rId391" xr:uid="{D65B945B-8439-40C8-ABE0-E9475230CA01}"/>
    <hyperlink ref="T148" r:id="rId392" xr:uid="{EF66F37C-BC5A-4E4F-A188-4876928E91AD}"/>
    <hyperlink ref="AH108" r:id="rId393" location="Specifications_(WR19)" xr:uid="{5C6F0B69-1C65-497B-8ED1-A4E67B8696F4}"/>
    <hyperlink ref="S108" r:id="rId394" xr:uid="{C0A3030A-B7C2-460A-BD00-CB79812209DC}"/>
    <hyperlink ref="X372" r:id="rId395" xr:uid="{A723C0E7-4316-4EA5-91B3-CD75DFB4F00C}"/>
    <hyperlink ref="O364" r:id="rId396" xr:uid="{65F6FA8E-55D4-4837-9EF0-A5DCCD2A221E}"/>
    <hyperlink ref="N364" r:id="rId397" xr:uid="{A77C90E8-5EC5-4A98-BF7A-8492D2FC98C4}"/>
    <hyperlink ref="C420" r:id="rId398" xr:uid="{7E58E3D6-514F-4D64-938E-C00E51565B8D}"/>
    <hyperlink ref="D420" r:id="rId399" xr:uid="{E2A28ECF-BCE5-4C57-A702-94D02CD46060}"/>
    <hyperlink ref="V513" r:id="rId400" xr:uid="{6F2D2C1A-1EDC-45B7-8C44-15BF26A13D47}"/>
    <hyperlink ref="P513" r:id="rId401" xr:uid="{9277D21B-9073-40A8-9822-7FA84B10E54F}"/>
    <hyperlink ref="W249" r:id="rId402" location="Russian_Aerospace_Forces" xr:uid="{8004869C-47DE-48F0-BDF6-903207B61176}"/>
    <hyperlink ref="Q465" r:id="rId403" xr:uid="{FDC80F62-89F8-49D8-B7F9-0718CF6EEFA9}"/>
    <hyperlink ref="Q474" r:id="rId404" xr:uid="{B4439205-2868-4C99-84AF-D954BE4DA2D0}"/>
    <hyperlink ref="Q451" r:id="rId405" xr:uid="{F1B85871-D032-4CB5-BDB1-0504AD0F5803}"/>
    <hyperlink ref="S196" r:id="rId406" xr:uid="{C5AAEC53-8A3E-4FAE-81AE-48D863FE60D4}"/>
    <hyperlink ref="U192" r:id="rId407" xr:uid="{7083EF91-882A-44F5-B73A-FB1927FDC2DD}"/>
    <hyperlink ref="D456" r:id="rId408" xr:uid="{34F8C215-3A47-4015-9172-985A305D214C}"/>
    <hyperlink ref="Q456" r:id="rId409" xr:uid="{C17AAA90-DA8F-4C01-BCDF-F0F42C789FF4}"/>
    <hyperlink ref="C382" r:id="rId410" xr:uid="{64014A4B-2842-428D-8BBC-F8DF8FFE4222}"/>
  </hyperlinks>
  <pageMargins left="0.7" right="0.7" top="0.75" bottom="0.75" header="0.3" footer="0.3"/>
  <pageSetup paperSize="9" orientation="portrait" verticalDpi="0" r:id="rId4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694DF-1C1D-4036-BE54-4D50A603A1C5}">
  <dimension ref="A1:Y101"/>
  <sheetViews>
    <sheetView zoomScale="130" zoomScaleNormal="130" workbookViewId="0">
      <pane xSplit="2" ySplit="8" topLeftCell="C9" activePane="bottomRight" state="frozen"/>
      <selection pane="topRight" activeCell="C1" sqref="C1"/>
      <selection pane="bottomLeft" activeCell="A9" sqref="A9"/>
      <selection pane="bottomRight" activeCell="G23" sqref="G23"/>
    </sheetView>
  </sheetViews>
  <sheetFormatPr defaultRowHeight="14.5" x14ac:dyDescent="0.35"/>
  <cols>
    <col min="1" max="1" width="4.81640625" customWidth="1"/>
    <col min="2" max="2" width="42.7265625" customWidth="1"/>
    <col min="3" max="4" width="10.453125" customWidth="1"/>
    <col min="5" max="5" width="12.1796875" customWidth="1"/>
    <col min="6" max="6" width="7.7265625" customWidth="1"/>
    <col min="8" max="8" width="10.26953125" customWidth="1"/>
    <col min="9" max="10" width="10.7265625" customWidth="1"/>
    <col min="11" max="11" width="10.6328125" customWidth="1"/>
    <col min="12" max="12" width="10.7265625" customWidth="1"/>
    <col min="15" max="15" width="9.81640625" customWidth="1"/>
    <col min="16" max="16" width="10.81640625" customWidth="1"/>
    <col min="17" max="17" width="11.453125" customWidth="1"/>
    <col min="18" max="18" width="2.1796875" customWidth="1"/>
    <col min="21" max="21" width="10.7265625" customWidth="1"/>
    <col min="24" max="24" width="9.7265625" customWidth="1"/>
  </cols>
  <sheetData>
    <row r="1" spans="1:25" ht="28.5" x14ac:dyDescent="0.65">
      <c r="A1" s="1" t="str">
        <f>UkrAid24jan2022ToOct312023!A1</f>
        <v>AQ Islamists advance to Hama, Putin replaces his top Syrian general &amp; much more #69/96</v>
      </c>
      <c r="X1" s="706">
        <v>45206</v>
      </c>
      <c r="Y1" t="s">
        <v>2149</v>
      </c>
    </row>
    <row r="2" spans="1:25" x14ac:dyDescent="0.35">
      <c r="A2" s="434" t="str">
        <f>UkrAid24jan2022ToOct312023!$A$2</f>
        <v>Proprietary. © H. Mathiesen. This material can be used by others free of charge provided that the author H. Mathiesen is attributed and a clickable link is made visible to the location of used material on www.hmexperience.dk</v>
      </c>
      <c r="X2" s="707">
        <v>44616</v>
      </c>
      <c r="Y2" t="s">
        <v>2146</v>
      </c>
    </row>
    <row r="3" spans="1:25" x14ac:dyDescent="0.35">
      <c r="A3" s="456" t="str">
        <f>UkrAid24jan2022ToOct312023!A3</f>
        <v>Links to all sources are available in sources table below</v>
      </c>
      <c r="B3" s="458"/>
      <c r="H3" s="159"/>
      <c r="X3" s="706">
        <v>45600</v>
      </c>
      <c r="Y3" t="s">
        <v>1150</v>
      </c>
    </row>
    <row r="4" spans="1:25" x14ac:dyDescent="0.35">
      <c r="G4">
        <v>30</v>
      </c>
      <c r="H4" s="159">
        <v>12</v>
      </c>
      <c r="J4" s="159">
        <v>1000000</v>
      </c>
      <c r="K4" s="159">
        <v>1000000</v>
      </c>
      <c r="L4" s="159">
        <v>1000000</v>
      </c>
      <c r="N4">
        <v>1000</v>
      </c>
      <c r="O4">
        <v>10</v>
      </c>
      <c r="Q4" s="159">
        <v>1000000</v>
      </c>
      <c r="T4" t="s">
        <v>1155</v>
      </c>
    </row>
    <row r="5" spans="1:25" ht="24" thickBot="1" x14ac:dyDescent="0.6">
      <c r="B5" s="435" t="s">
        <v>2082</v>
      </c>
      <c r="C5" s="435"/>
      <c r="D5" s="435"/>
      <c r="E5" s="435"/>
      <c r="F5" s="435"/>
      <c r="G5" s="435"/>
      <c r="H5" s="263"/>
      <c r="I5" s="263"/>
      <c r="J5" s="263"/>
      <c r="K5" s="263"/>
      <c r="L5" s="263"/>
      <c r="M5" s="263"/>
      <c r="N5" s="263"/>
      <c r="O5" s="263"/>
      <c r="P5" s="263"/>
      <c r="Q5" s="263"/>
      <c r="R5" s="263"/>
      <c r="S5" s="3"/>
    </row>
    <row r="6" spans="1:25" ht="15" thickTop="1" x14ac:dyDescent="0.35">
      <c r="B6" s="437" t="s">
        <v>2083</v>
      </c>
      <c r="C6" s="437" t="s">
        <v>1147</v>
      </c>
      <c r="D6" s="438" t="s">
        <v>183</v>
      </c>
      <c r="E6" s="438" t="s">
        <v>2099</v>
      </c>
      <c r="F6" s="438" t="s">
        <v>2084</v>
      </c>
      <c r="G6" s="438" t="s">
        <v>2086</v>
      </c>
      <c r="H6" s="438" t="s">
        <v>2090</v>
      </c>
      <c r="I6" s="438" t="s">
        <v>2097</v>
      </c>
      <c r="J6" s="438" t="s">
        <v>2088</v>
      </c>
      <c r="K6" s="438" t="s">
        <v>2088</v>
      </c>
      <c r="L6" s="438" t="s">
        <v>2091</v>
      </c>
      <c r="M6" s="438" t="s">
        <v>2087</v>
      </c>
      <c r="N6" s="438" t="s">
        <v>2090</v>
      </c>
      <c r="O6" s="438" t="s">
        <v>2090</v>
      </c>
      <c r="P6" s="438" t="s">
        <v>2121</v>
      </c>
      <c r="Q6" s="438" t="s">
        <v>2147</v>
      </c>
      <c r="R6" s="558"/>
      <c r="S6" s="3"/>
    </row>
    <row r="7" spans="1:25" x14ac:dyDescent="0.35">
      <c r="B7" s="440"/>
      <c r="C7" s="564"/>
      <c r="D7" s="441" t="s">
        <v>2156</v>
      </c>
      <c r="E7" s="441" t="s">
        <v>2100</v>
      </c>
      <c r="F7" s="441" t="s">
        <v>2085</v>
      </c>
      <c r="G7" s="441" t="s">
        <v>2085</v>
      </c>
      <c r="H7" s="441" t="s">
        <v>2085</v>
      </c>
      <c r="I7" s="441" t="s">
        <v>2096</v>
      </c>
      <c r="J7" s="441" t="s">
        <v>2523</v>
      </c>
      <c r="K7" s="441" t="s">
        <v>1831</v>
      </c>
      <c r="L7" s="441" t="s">
        <v>2089</v>
      </c>
      <c r="M7" s="441" t="s">
        <v>2107</v>
      </c>
      <c r="N7" s="441" t="s">
        <v>2106</v>
      </c>
      <c r="O7" s="441" t="s">
        <v>2209</v>
      </c>
      <c r="P7" s="441" t="s">
        <v>2122</v>
      </c>
      <c r="Q7" s="441" t="s">
        <v>2148</v>
      </c>
      <c r="R7" s="559"/>
      <c r="S7" s="3"/>
    </row>
    <row r="8" spans="1:25" ht="15" thickBot="1" x14ac:dyDescent="0.4">
      <c r="B8" s="444"/>
      <c r="C8" s="444"/>
      <c r="D8" s="445" t="s">
        <v>2157</v>
      </c>
      <c r="E8" s="445" t="s">
        <v>2101</v>
      </c>
      <c r="F8" s="445"/>
      <c r="G8" s="565"/>
      <c r="H8" s="565"/>
      <c r="I8" s="445"/>
      <c r="J8" s="445" t="s">
        <v>731</v>
      </c>
      <c r="K8" s="445" t="s">
        <v>731</v>
      </c>
      <c r="L8" s="445" t="s">
        <v>731</v>
      </c>
      <c r="M8" s="445" t="s">
        <v>2195</v>
      </c>
      <c r="N8" s="445" t="s">
        <v>2108</v>
      </c>
      <c r="O8" s="445" t="s">
        <v>2109</v>
      </c>
      <c r="P8" s="445" t="s">
        <v>2123</v>
      </c>
      <c r="Q8" s="445" t="s">
        <v>731</v>
      </c>
      <c r="R8" s="446"/>
      <c r="S8" s="3"/>
    </row>
    <row r="9" spans="1:25" ht="15" thickTop="1" x14ac:dyDescent="0.35">
      <c r="A9">
        <v>1</v>
      </c>
      <c r="B9" s="699" t="s">
        <v>2528</v>
      </c>
      <c r="C9" s="699"/>
      <c r="D9" s="700"/>
      <c r="E9" s="700"/>
      <c r="F9" s="701"/>
      <c r="G9" s="701"/>
      <c r="H9" s="702"/>
      <c r="I9" s="702"/>
      <c r="J9" s="702"/>
      <c r="K9" s="702"/>
      <c r="L9" s="702"/>
      <c r="M9" s="702"/>
      <c r="N9" s="702"/>
      <c r="O9" s="702"/>
      <c r="P9" s="702"/>
      <c r="Q9" s="702"/>
      <c r="R9" s="703"/>
      <c r="S9">
        <v>1</v>
      </c>
      <c r="T9" t="s">
        <v>2529</v>
      </c>
    </row>
    <row r="10" spans="1:25" x14ac:dyDescent="0.35">
      <c r="A10">
        <f>A9+1</f>
        <v>2</v>
      </c>
      <c r="B10" s="51" t="s">
        <v>2103</v>
      </c>
      <c r="C10" s="51" t="s">
        <v>2110</v>
      </c>
      <c r="D10" s="42" t="str">
        <f>WeaponsSpecs!N25</f>
        <v>43.2/6.9</v>
      </c>
      <c r="E10" s="42" t="s">
        <v>2113</v>
      </c>
      <c r="F10" s="159">
        <v>10000</v>
      </c>
      <c r="G10" s="159">
        <f>F10*G$4</f>
        <v>300000</v>
      </c>
      <c r="H10" s="159">
        <f>G10*H$4</f>
        <v>3600000</v>
      </c>
      <c r="I10" s="667">
        <f>WeaponsSpecs!D25</f>
        <v>4000</v>
      </c>
      <c r="J10" s="746">
        <f>$I10*F10/J$4</f>
        <v>40</v>
      </c>
      <c r="K10" s="667">
        <f t="shared" ref="K10:L12" si="0">$I10*G10/K$4</f>
        <v>1200</v>
      </c>
      <c r="L10" s="667">
        <f t="shared" si="0"/>
        <v>14400</v>
      </c>
      <c r="M10" s="159">
        <f>43.2+10</f>
        <v>53.2</v>
      </c>
      <c r="N10" s="159">
        <f>M10*H10/N$4</f>
        <v>191520</v>
      </c>
      <c r="O10" s="159">
        <f>N10/O$4</f>
        <v>19152</v>
      </c>
      <c r="P10" s="159">
        <v>10000000</v>
      </c>
      <c r="Q10" s="667">
        <f>I10*P10/Q$4</f>
        <v>40000</v>
      </c>
      <c r="R10" s="167"/>
      <c r="S10">
        <f>S9+1</f>
        <v>2</v>
      </c>
    </row>
    <row r="11" spans="1:25" x14ac:dyDescent="0.35">
      <c r="A11">
        <f t="shared" ref="A11:A50" si="1">A10+1</f>
        <v>3</v>
      </c>
      <c r="B11" s="123" t="s">
        <v>2120</v>
      </c>
      <c r="C11" t="s">
        <v>2160</v>
      </c>
      <c r="D11" s="455" t="s">
        <v>2158</v>
      </c>
      <c r="E11" s="42" t="s">
        <v>2112</v>
      </c>
      <c r="F11" s="159">
        <v>150</v>
      </c>
      <c r="G11" s="159">
        <f>F11*G$4</f>
        <v>4500</v>
      </c>
      <c r="H11" s="159">
        <f>G11*H$4</f>
        <v>54000</v>
      </c>
      <c r="I11" s="667">
        <v>120000</v>
      </c>
      <c r="J11" s="746">
        <f t="shared" ref="J11:J15" si="2">$I11*F11/J$4</f>
        <v>18</v>
      </c>
      <c r="K11" s="667">
        <f t="shared" si="0"/>
        <v>540</v>
      </c>
      <c r="L11" s="667">
        <f t="shared" si="0"/>
        <v>6480</v>
      </c>
      <c r="M11" s="172">
        <v>2000</v>
      </c>
      <c r="N11" s="159">
        <f>M11*H11/N$4</f>
        <v>108000</v>
      </c>
      <c r="O11" s="172" t="s">
        <v>34</v>
      </c>
      <c r="P11" s="172">
        <f>F11*X11</f>
        <v>147600</v>
      </c>
      <c r="Q11" s="667">
        <f>I11*P11/Q$4</f>
        <v>17712</v>
      </c>
      <c r="R11" s="167"/>
      <c r="S11">
        <f t="shared" ref="S11:S50" si="3">S10+1</f>
        <v>3</v>
      </c>
      <c r="X11">
        <f>DATEDIF($X$2,$X$3,"D")</f>
        <v>984</v>
      </c>
      <c r="Y11" t="s">
        <v>2145</v>
      </c>
    </row>
    <row r="12" spans="1:25" x14ac:dyDescent="0.35">
      <c r="A12">
        <f t="shared" si="1"/>
        <v>4</v>
      </c>
      <c r="B12" s="51" t="s">
        <v>2441</v>
      </c>
      <c r="C12" s="51" t="s">
        <v>2162</v>
      </c>
      <c r="D12" s="454" t="str">
        <f>WeaponsSpecs!N234</f>
        <v>500</v>
      </c>
      <c r="E12" s="42" t="s">
        <v>2164</v>
      </c>
      <c r="F12" s="159">
        <f>G12/30</f>
        <v>116.66666666666667</v>
      </c>
      <c r="G12" s="159">
        <v>3500</v>
      </c>
      <c r="H12" s="159">
        <f>G12*12</f>
        <v>42000</v>
      </c>
      <c r="I12" s="667">
        <f>WeaponsSpecs!D234</f>
        <v>30000</v>
      </c>
      <c r="J12" s="746">
        <f t="shared" si="2"/>
        <v>3.5</v>
      </c>
      <c r="K12" s="667">
        <f t="shared" si="0"/>
        <v>105</v>
      </c>
      <c r="L12" s="667">
        <f t="shared" si="0"/>
        <v>1260</v>
      </c>
      <c r="M12" s="172" t="str">
        <f>D12</f>
        <v>500</v>
      </c>
      <c r="N12" s="159">
        <f>M12*H12/N$4</f>
        <v>21000</v>
      </c>
      <c r="O12" s="172" t="s">
        <v>34</v>
      </c>
      <c r="P12" s="172" t="s">
        <v>34</v>
      </c>
      <c r="Q12" s="666" t="s">
        <v>34</v>
      </c>
      <c r="R12" s="167"/>
      <c r="S12">
        <f t="shared" si="3"/>
        <v>4</v>
      </c>
    </row>
    <row r="13" spans="1:25" x14ac:dyDescent="0.35">
      <c r="A13">
        <f t="shared" si="1"/>
        <v>5</v>
      </c>
      <c r="B13" s="51" t="s">
        <v>2727</v>
      </c>
      <c r="C13" s="51" t="s">
        <v>2193</v>
      </c>
      <c r="D13">
        <v>500</v>
      </c>
      <c r="E13" s="42" t="s">
        <v>2194</v>
      </c>
      <c r="F13" s="159">
        <f>G13/30</f>
        <v>5.833333333333333</v>
      </c>
      <c r="G13" s="159">
        <v>175</v>
      </c>
      <c r="H13" s="159">
        <f>G13*12</f>
        <v>2100</v>
      </c>
      <c r="I13" s="667">
        <v>2000000</v>
      </c>
      <c r="J13" s="746">
        <f t="shared" si="2"/>
        <v>11.666666666666666</v>
      </c>
      <c r="K13" s="667">
        <f t="shared" ref="K13" si="4">$I13*G13/K$4</f>
        <v>350</v>
      </c>
      <c r="L13" s="667">
        <f t="shared" ref="L13" si="5">$I13*H13/L$4</f>
        <v>4200</v>
      </c>
      <c r="M13" s="172">
        <v>500</v>
      </c>
      <c r="N13" s="159">
        <f>M13*H13/N$4</f>
        <v>1050</v>
      </c>
      <c r="O13" s="172" t="s">
        <v>34</v>
      </c>
      <c r="P13" s="172" t="s">
        <v>34</v>
      </c>
      <c r="Q13" s="666" t="s">
        <v>34</v>
      </c>
      <c r="R13" s="167"/>
      <c r="S13">
        <f t="shared" si="3"/>
        <v>5</v>
      </c>
    </row>
    <row r="14" spans="1:25" x14ac:dyDescent="0.35">
      <c r="A14">
        <f t="shared" si="1"/>
        <v>6</v>
      </c>
      <c r="B14" s="123" t="s">
        <v>2440</v>
      </c>
      <c r="C14" t="s">
        <v>2152</v>
      </c>
      <c r="D14" s="543">
        <f>WeaponsSpecs!N78</f>
        <v>50</v>
      </c>
      <c r="E14" s="42" t="s">
        <v>2155</v>
      </c>
      <c r="F14" s="159">
        <f>G14/30</f>
        <v>67.433333333333337</v>
      </c>
      <c r="G14" s="159">
        <v>2023</v>
      </c>
      <c r="H14" s="159">
        <f>G14*12</f>
        <v>24276</v>
      </c>
      <c r="I14" s="667">
        <f>WeaponsSpecs!D78</f>
        <v>193000</v>
      </c>
      <c r="J14" s="746">
        <f t="shared" si="2"/>
        <v>13.014633333333334</v>
      </c>
      <c r="K14" s="667">
        <f>$I14*G14/K$4</f>
        <v>390.43900000000002</v>
      </c>
      <c r="L14" s="667">
        <f>$I14*H14/L$4</f>
        <v>4685.268</v>
      </c>
      <c r="M14" s="172">
        <v>50</v>
      </c>
      <c r="N14" s="159">
        <f t="shared" ref="N14" si="6">M14*H14/N$4</f>
        <v>1213.8</v>
      </c>
      <c r="O14" s="172" t="s">
        <v>34</v>
      </c>
      <c r="P14" s="172" t="s">
        <v>34</v>
      </c>
      <c r="Q14" s="666" t="s">
        <v>34</v>
      </c>
      <c r="R14" s="167"/>
      <c r="S14">
        <f t="shared" si="3"/>
        <v>6</v>
      </c>
    </row>
    <row r="15" spans="1:25" x14ac:dyDescent="0.35">
      <c r="A15">
        <f t="shared" si="1"/>
        <v>7</v>
      </c>
      <c r="B15" s="123" t="s">
        <v>2198</v>
      </c>
      <c r="C15" t="s">
        <v>2203</v>
      </c>
      <c r="D15" s="8">
        <f>WeaponsSpecs!N65</f>
        <v>2</v>
      </c>
      <c r="E15" s="42" t="s">
        <v>2204</v>
      </c>
      <c r="F15" s="159">
        <f>H15/365</f>
        <v>2739.7260273972602</v>
      </c>
      <c r="G15" s="159">
        <f>H15/12</f>
        <v>83333.333333333328</v>
      </c>
      <c r="H15" s="159">
        <v>1000000</v>
      </c>
      <c r="I15" s="667">
        <f>WeaponsSpecs!D66</f>
        <v>1500</v>
      </c>
      <c r="J15" s="746">
        <f t="shared" si="2"/>
        <v>4.10958904109589</v>
      </c>
      <c r="K15" s="667">
        <f>$I15*G15/K$4</f>
        <v>125</v>
      </c>
      <c r="L15" s="667">
        <f>$I15*H15/L$4</f>
        <v>1500</v>
      </c>
      <c r="M15" s="173">
        <f>D15+2+0.5</f>
        <v>4.5</v>
      </c>
      <c r="N15" s="159">
        <f>M15*H15/N$4</f>
        <v>4500</v>
      </c>
      <c r="O15" s="159">
        <f>N15/O$4</f>
        <v>450</v>
      </c>
      <c r="P15" s="172" t="s">
        <v>34</v>
      </c>
      <c r="Q15" s="666" t="s">
        <v>34</v>
      </c>
      <c r="R15" s="167"/>
      <c r="S15">
        <f t="shared" si="3"/>
        <v>7</v>
      </c>
    </row>
    <row r="16" spans="1:25" x14ac:dyDescent="0.35">
      <c r="A16">
        <f t="shared" si="1"/>
        <v>8</v>
      </c>
      <c r="B16" s="123"/>
      <c r="E16" s="42"/>
      <c r="F16" s="159"/>
      <c r="G16" s="159"/>
      <c r="H16" s="159"/>
      <c r="I16" s="667"/>
      <c r="J16" s="746"/>
      <c r="K16" s="667"/>
      <c r="L16" s="667"/>
      <c r="M16" s="159"/>
      <c r="N16" s="159"/>
      <c r="O16" s="159"/>
      <c r="P16" s="159"/>
      <c r="Q16" s="667"/>
      <c r="R16" s="167"/>
      <c r="S16">
        <f t="shared" si="3"/>
        <v>8</v>
      </c>
    </row>
    <row r="17" spans="1:25" x14ac:dyDescent="0.35">
      <c r="A17">
        <f t="shared" si="1"/>
        <v>9</v>
      </c>
      <c r="B17" s="123"/>
      <c r="E17" s="42"/>
      <c r="F17" s="159"/>
      <c r="G17" s="159"/>
      <c r="H17" s="159"/>
      <c r="I17" s="667"/>
      <c r="J17" s="746"/>
      <c r="K17" s="667"/>
      <c r="L17" s="667"/>
      <c r="M17" s="159"/>
      <c r="N17" s="159"/>
      <c r="O17" s="159"/>
      <c r="P17" s="159"/>
      <c r="Q17" s="667"/>
      <c r="R17" s="167"/>
      <c r="S17">
        <f t="shared" si="3"/>
        <v>9</v>
      </c>
    </row>
    <row r="18" spans="1:25" x14ac:dyDescent="0.35">
      <c r="A18">
        <f>A17+1</f>
        <v>10</v>
      </c>
      <c r="B18" s="51"/>
      <c r="C18" s="51"/>
      <c r="E18" s="42"/>
      <c r="F18" s="159"/>
      <c r="G18" s="159"/>
      <c r="H18" s="159"/>
      <c r="I18" s="667"/>
      <c r="J18" s="746"/>
      <c r="K18" s="667"/>
      <c r="L18" s="667"/>
      <c r="M18" s="159"/>
      <c r="N18" s="159"/>
      <c r="O18" s="159"/>
      <c r="P18" s="159"/>
      <c r="Q18" s="667"/>
      <c r="R18" s="167"/>
      <c r="S18">
        <f>S17+1</f>
        <v>10</v>
      </c>
    </row>
    <row r="19" spans="1:25" x14ac:dyDescent="0.35">
      <c r="A19">
        <f t="shared" si="1"/>
        <v>11</v>
      </c>
      <c r="B19" s="181" t="s">
        <v>2530</v>
      </c>
      <c r="C19" s="181"/>
      <c r="D19" s="473"/>
      <c r="E19" s="464"/>
      <c r="F19" s="183"/>
      <c r="G19" s="183"/>
      <c r="H19" s="183"/>
      <c r="I19" s="768"/>
      <c r="J19" s="817"/>
      <c r="K19" s="768"/>
      <c r="L19" s="768"/>
      <c r="M19" s="183"/>
      <c r="N19" s="183"/>
      <c r="O19" s="183"/>
      <c r="P19" s="183"/>
      <c r="Q19" s="768"/>
      <c r="R19" s="696"/>
      <c r="S19">
        <f t="shared" si="3"/>
        <v>11</v>
      </c>
      <c r="T19" t="s">
        <v>2529</v>
      </c>
    </row>
    <row r="20" spans="1:25" x14ac:dyDescent="0.35">
      <c r="A20">
        <f t="shared" si="1"/>
        <v>12</v>
      </c>
      <c r="B20" s="123" t="s">
        <v>2104</v>
      </c>
      <c r="C20" s="51" t="s">
        <v>2111</v>
      </c>
      <c r="D20" t="str">
        <f>WeaponsSpecs!N25</f>
        <v>43.2/6.9</v>
      </c>
      <c r="E20" s="42" t="s">
        <v>2102</v>
      </c>
      <c r="F20" s="159">
        <v>2000</v>
      </c>
      <c r="G20" s="159">
        <f>F20*G$4</f>
        <v>60000</v>
      </c>
      <c r="H20" s="159">
        <f>G20*H$4</f>
        <v>720000</v>
      </c>
      <c r="I20" s="667">
        <f>WeaponsSpecs!D25</f>
        <v>4000</v>
      </c>
      <c r="J20" s="746">
        <f>$I20*F20/J$4</f>
        <v>8</v>
      </c>
      <c r="K20" s="667">
        <f>$I20*G20/K$4</f>
        <v>240</v>
      </c>
      <c r="L20" s="667">
        <f>$I20*H20/L$4</f>
        <v>2880</v>
      </c>
      <c r="M20" s="159">
        <f>43.2+10</f>
        <v>53.2</v>
      </c>
      <c r="N20" s="159">
        <f>M20*H20/N$4</f>
        <v>38304</v>
      </c>
      <c r="O20" s="159">
        <f>N20/O$4</f>
        <v>3830.4</v>
      </c>
      <c r="P20" s="159">
        <v>2000000</v>
      </c>
      <c r="Q20" s="667">
        <f>I20*P20/Q$4</f>
        <v>8000</v>
      </c>
      <c r="R20" s="167"/>
      <c r="S20">
        <f t="shared" si="3"/>
        <v>12</v>
      </c>
    </row>
    <row r="21" spans="1:25" x14ac:dyDescent="0.35">
      <c r="A21">
        <f t="shared" si="1"/>
        <v>13</v>
      </c>
      <c r="B21" s="123" t="s">
        <v>2120</v>
      </c>
      <c r="C21" t="s">
        <v>2119</v>
      </c>
      <c r="D21" t="s">
        <v>2208</v>
      </c>
      <c r="E21" s="42" t="s">
        <v>2117</v>
      </c>
      <c r="F21" s="159">
        <f>F11/20</f>
        <v>7.5</v>
      </c>
      <c r="G21" s="159">
        <f>F21*G$4</f>
        <v>225</v>
      </c>
      <c r="H21" s="159">
        <f>G21*H$4</f>
        <v>2700</v>
      </c>
      <c r="I21" s="667">
        <v>120000</v>
      </c>
      <c r="J21" s="746">
        <f t="shared" ref="J21:J25" si="7">$I21*F21/J$4</f>
        <v>0.9</v>
      </c>
      <c r="K21" s="667">
        <f>$I21*G21/K$4</f>
        <v>27</v>
      </c>
      <c r="L21" s="667">
        <f>$I21*H21/L$4</f>
        <v>324</v>
      </c>
      <c r="M21" s="172">
        <v>2000</v>
      </c>
      <c r="N21" s="159">
        <f>M21*H21/N$4</f>
        <v>5400</v>
      </c>
      <c r="O21" s="172" t="s">
        <v>34</v>
      </c>
      <c r="P21" s="172">
        <f>F21*X21</f>
        <v>7380</v>
      </c>
      <c r="Q21" s="667">
        <f>I21*P21/Q$4</f>
        <v>885.6</v>
      </c>
      <c r="R21" s="167"/>
      <c r="S21">
        <f t="shared" si="3"/>
        <v>13</v>
      </c>
      <c r="X21">
        <f>DATEDIF($X$2,$X$3,"D")</f>
        <v>984</v>
      </c>
      <c r="Y21" t="s">
        <v>2145</v>
      </c>
    </row>
    <row r="22" spans="1:25" x14ac:dyDescent="0.35">
      <c r="A22">
        <f t="shared" si="1"/>
        <v>14</v>
      </c>
      <c r="B22" s="123" t="s">
        <v>2197</v>
      </c>
      <c r="C22" t="s">
        <v>2205</v>
      </c>
      <c r="D22">
        <v>200</v>
      </c>
      <c r="E22" s="42" t="s">
        <v>2155</v>
      </c>
      <c r="F22" s="159">
        <f>H22/365</f>
        <v>5.4794520547945202</v>
      </c>
      <c r="G22" s="159">
        <f>H22/12</f>
        <v>166.66666666666666</v>
      </c>
      <c r="H22" s="159">
        <v>2000</v>
      </c>
      <c r="I22" s="667">
        <v>150000</v>
      </c>
      <c r="J22" s="746">
        <f t="shared" si="7"/>
        <v>0.82191780821917804</v>
      </c>
      <c r="K22" s="667">
        <f t="shared" ref="K22:K24" si="8">$I22*G22/K$4</f>
        <v>25</v>
      </c>
      <c r="L22" s="667">
        <f t="shared" ref="L22:L24" si="9">$I22*H22/L$4</f>
        <v>300</v>
      </c>
      <c r="M22" s="172">
        <v>200</v>
      </c>
      <c r="N22" s="159">
        <f>M22*H22/N$4</f>
        <v>400</v>
      </c>
      <c r="O22" s="172" t="s">
        <v>34</v>
      </c>
      <c r="P22" s="172" t="s">
        <v>34</v>
      </c>
      <c r="Q22" s="666" t="s">
        <v>34</v>
      </c>
      <c r="R22" s="167"/>
      <c r="S22">
        <f t="shared" si="3"/>
        <v>14</v>
      </c>
    </row>
    <row r="23" spans="1:25" x14ac:dyDescent="0.35">
      <c r="A23">
        <f t="shared" si="1"/>
        <v>15</v>
      </c>
      <c r="B23" s="123" t="s">
        <v>2725</v>
      </c>
      <c r="C23" t="s">
        <v>2210</v>
      </c>
      <c r="D23">
        <v>250</v>
      </c>
      <c r="E23" s="42" t="s">
        <v>2155</v>
      </c>
      <c r="F23" s="173">
        <f>H23/365</f>
        <v>0.54794520547945202</v>
      </c>
      <c r="G23" s="159">
        <f>H23/12</f>
        <v>16.666666666666668</v>
      </c>
      <c r="H23" s="159">
        <v>200</v>
      </c>
      <c r="I23" s="667">
        <v>2000000</v>
      </c>
      <c r="J23" s="746">
        <f t="shared" si="7"/>
        <v>1.095890410958904</v>
      </c>
      <c r="K23" s="667">
        <f t="shared" si="8"/>
        <v>33.333333333333336</v>
      </c>
      <c r="L23" s="667">
        <f t="shared" si="9"/>
        <v>400</v>
      </c>
      <c r="M23" s="172">
        <v>250</v>
      </c>
      <c r="N23" s="159">
        <f t="shared" ref="N23" si="10">M23*H23/N$4</f>
        <v>50</v>
      </c>
      <c r="O23" s="172" t="s">
        <v>34</v>
      </c>
      <c r="P23" s="172">
        <v>1000</v>
      </c>
      <c r="Q23" s="667">
        <f>I23*P23/Q$4</f>
        <v>2000</v>
      </c>
      <c r="R23" s="167"/>
      <c r="S23">
        <f t="shared" si="3"/>
        <v>15</v>
      </c>
    </row>
    <row r="24" spans="1:25" x14ac:dyDescent="0.35">
      <c r="A24">
        <f t="shared" si="1"/>
        <v>16</v>
      </c>
      <c r="B24" s="123" t="s">
        <v>2199</v>
      </c>
      <c r="C24" t="s">
        <v>2200</v>
      </c>
      <c r="D24">
        <v>30</v>
      </c>
      <c r="E24" s="42" t="s">
        <v>2155</v>
      </c>
      <c r="F24" s="159">
        <v>20</v>
      </c>
      <c r="G24" s="159">
        <f>F24*30</f>
        <v>600</v>
      </c>
      <c r="H24" s="159">
        <f>F24*365</f>
        <v>7300</v>
      </c>
      <c r="I24" s="667">
        <v>100000</v>
      </c>
      <c r="J24" s="746">
        <f t="shared" si="7"/>
        <v>2</v>
      </c>
      <c r="K24" s="667">
        <f t="shared" si="8"/>
        <v>60</v>
      </c>
      <c r="L24" s="667">
        <f t="shared" si="9"/>
        <v>730</v>
      </c>
      <c r="M24" s="172">
        <v>30</v>
      </c>
      <c r="N24" s="159">
        <f>M24*H24/N$4</f>
        <v>219</v>
      </c>
      <c r="O24" s="172" t="s">
        <v>34</v>
      </c>
      <c r="P24" s="172" t="s">
        <v>34</v>
      </c>
      <c r="Q24" s="666" t="s">
        <v>34</v>
      </c>
      <c r="R24" s="167"/>
      <c r="S24">
        <f t="shared" si="3"/>
        <v>16</v>
      </c>
    </row>
    <row r="25" spans="1:25" x14ac:dyDescent="0.35">
      <c r="A25">
        <f t="shared" si="1"/>
        <v>17</v>
      </c>
      <c r="B25" s="123" t="s">
        <v>2198</v>
      </c>
      <c r="C25" t="s">
        <v>2212</v>
      </c>
      <c r="D25" s="8">
        <f>WeaponsSpecs!N65</f>
        <v>2</v>
      </c>
      <c r="E25" s="42" t="s">
        <v>2194</v>
      </c>
      <c r="F25" s="159">
        <f>H25/365</f>
        <v>4109.58904109589</v>
      </c>
      <c r="G25" s="159">
        <f>H25/12</f>
        <v>125000</v>
      </c>
      <c r="H25" s="159">
        <v>1500000</v>
      </c>
      <c r="I25" s="667">
        <f>WeaponsSpecs!D66</f>
        <v>1500</v>
      </c>
      <c r="J25" s="746">
        <f t="shared" si="7"/>
        <v>6.1643835616438354</v>
      </c>
      <c r="K25" s="667">
        <f>$I25*G25/K$4</f>
        <v>187.5</v>
      </c>
      <c r="L25" s="667">
        <f>$I25*H25/L$4</f>
        <v>2250</v>
      </c>
      <c r="M25" s="173">
        <f>2+2+0.5</f>
        <v>4.5</v>
      </c>
      <c r="N25" s="159">
        <f>M25*H25/N$4</f>
        <v>6750</v>
      </c>
      <c r="O25" s="159">
        <f>N25/O$4</f>
        <v>675</v>
      </c>
      <c r="P25" s="172" t="s">
        <v>34</v>
      </c>
      <c r="Q25" s="666" t="s">
        <v>34</v>
      </c>
      <c r="R25" s="167"/>
      <c r="S25">
        <f t="shared" si="3"/>
        <v>17</v>
      </c>
    </row>
    <row r="26" spans="1:25" x14ac:dyDescent="0.35">
      <c r="A26">
        <f t="shared" si="1"/>
        <v>18</v>
      </c>
      <c r="B26" s="123"/>
      <c r="E26" s="42"/>
      <c r="F26" s="159"/>
      <c r="G26" s="159"/>
      <c r="H26" s="159"/>
      <c r="I26" s="667"/>
      <c r="J26" s="746"/>
      <c r="K26" s="667"/>
      <c r="L26" s="667"/>
      <c r="M26" s="159"/>
      <c r="N26" s="159"/>
      <c r="O26" s="159"/>
      <c r="P26" s="159"/>
      <c r="Q26" s="667"/>
      <c r="R26" s="167"/>
      <c r="S26">
        <f t="shared" si="3"/>
        <v>18</v>
      </c>
    </row>
    <row r="27" spans="1:25" x14ac:dyDescent="0.35">
      <c r="A27">
        <f t="shared" si="1"/>
        <v>19</v>
      </c>
      <c r="B27" s="704" t="s">
        <v>2526</v>
      </c>
      <c r="C27" s="702"/>
      <c r="D27" s="702"/>
      <c r="E27" s="708"/>
      <c r="F27" s="702"/>
      <c r="G27" s="702"/>
      <c r="H27" s="702"/>
      <c r="I27" s="794"/>
      <c r="J27" s="818"/>
      <c r="K27" s="794"/>
      <c r="L27" s="794"/>
      <c r="M27" s="702"/>
      <c r="N27" s="702"/>
      <c r="O27" s="702"/>
      <c r="P27" s="705"/>
      <c r="Q27" s="794"/>
      <c r="R27" s="703"/>
      <c r="S27">
        <f t="shared" si="3"/>
        <v>19</v>
      </c>
      <c r="T27" s="4" t="s">
        <v>2527</v>
      </c>
    </row>
    <row r="28" spans="1:25" x14ac:dyDescent="0.35">
      <c r="A28">
        <f t="shared" si="1"/>
        <v>20</v>
      </c>
      <c r="B28" s="123" t="s">
        <v>2136</v>
      </c>
      <c r="C28" t="s">
        <v>2137</v>
      </c>
      <c r="D28" s="42" t="s">
        <v>34</v>
      </c>
      <c r="E28" s="42" t="s">
        <v>2138</v>
      </c>
      <c r="F28" s="543">
        <f>U28/V28</f>
        <v>258.33333333333331</v>
      </c>
      <c r="G28" s="159">
        <f>F28*G$4</f>
        <v>7749.9999999999991</v>
      </c>
      <c r="H28" s="159">
        <f>G28*H$4</f>
        <v>92999.999999999985</v>
      </c>
      <c r="I28" s="667">
        <v>50000</v>
      </c>
      <c r="J28" s="747">
        <f>F28*I28/J$4</f>
        <v>12.916666666666666</v>
      </c>
      <c r="K28" s="667">
        <f>$I28*G28/K$4</f>
        <v>387.49999999999994</v>
      </c>
      <c r="L28" s="667">
        <f>$I28*H28/L$4</f>
        <v>4649.9999999999991</v>
      </c>
      <c r="M28" s="172" t="s">
        <v>34</v>
      </c>
      <c r="N28" s="172" t="s">
        <v>34</v>
      </c>
      <c r="O28" s="172" t="s">
        <v>34</v>
      </c>
      <c r="P28" s="159">
        <f>F28*X28</f>
        <v>101783.33333333333</v>
      </c>
      <c r="Q28" s="667">
        <f>I28*P28/Q$4</f>
        <v>5089.1666666666661</v>
      </c>
      <c r="R28" s="167"/>
      <c r="S28">
        <f t="shared" si="3"/>
        <v>20</v>
      </c>
      <c r="U28" s="159">
        <v>31000</v>
      </c>
      <c r="V28">
        <f>4*30</f>
        <v>120</v>
      </c>
      <c r="W28">
        <v>4</v>
      </c>
      <c r="X28">
        <f>DATEDIF($X$1,$X$3,"D")</f>
        <v>394</v>
      </c>
      <c r="Y28" t="s">
        <v>2145</v>
      </c>
    </row>
    <row r="29" spans="1:25" x14ac:dyDescent="0.35">
      <c r="A29">
        <f t="shared" si="1"/>
        <v>21</v>
      </c>
      <c r="B29" s="123" t="s">
        <v>2141</v>
      </c>
      <c r="C29" t="s">
        <v>2142</v>
      </c>
      <c r="D29" t="str">
        <f>D11</f>
        <v>2000kg on average per sortie. An aircraft may drop 2*1000 kilo guided bombs or 4*500 kg bombs or 8*250 kg bombs</v>
      </c>
      <c r="E29" s="42" t="s">
        <v>2138</v>
      </c>
      <c r="F29" s="159">
        <f>F28/2</f>
        <v>129.16666666666666</v>
      </c>
      <c r="G29" s="159">
        <f t="shared" ref="G29:H29" si="11">G28/2</f>
        <v>3874.9999999999995</v>
      </c>
      <c r="H29" s="159">
        <f t="shared" si="11"/>
        <v>46499.999999999993</v>
      </c>
      <c r="I29" s="667">
        <f>I28*2</f>
        <v>100000</v>
      </c>
      <c r="J29" s="747">
        <f t="shared" ref="J29" si="12">F29*I29/J$4</f>
        <v>12.916666666666666</v>
      </c>
      <c r="K29" s="667">
        <f>$I29*G29/K$4</f>
        <v>387.49999999999994</v>
      </c>
      <c r="L29" s="667">
        <f>$I29*H29/L$4</f>
        <v>4649.9999999999991</v>
      </c>
      <c r="M29" s="172">
        <v>2000</v>
      </c>
      <c r="N29" s="159">
        <f>M29*H29/N$4</f>
        <v>92999.999999999985</v>
      </c>
      <c r="O29" s="172" t="s">
        <v>34</v>
      </c>
      <c r="P29" s="159">
        <f>F29*X29</f>
        <v>50891.666666666664</v>
      </c>
      <c r="Q29" s="667">
        <f>I29*P29/Q$4</f>
        <v>5089.1666666666661</v>
      </c>
      <c r="R29" s="167"/>
      <c r="S29">
        <f t="shared" si="3"/>
        <v>21</v>
      </c>
      <c r="U29" s="159"/>
      <c r="X29">
        <f>DATEDIF($X$1,$X$3,"D")</f>
        <v>394</v>
      </c>
      <c r="Y29" t="s">
        <v>2145</v>
      </c>
    </row>
    <row r="30" spans="1:25" x14ac:dyDescent="0.35">
      <c r="A30">
        <f t="shared" si="1"/>
        <v>22</v>
      </c>
      <c r="B30" s="123" t="s">
        <v>2524</v>
      </c>
      <c r="C30" t="s">
        <v>2479</v>
      </c>
      <c r="D30" s="42" t="s">
        <v>34</v>
      </c>
      <c r="E30" s="42" t="s">
        <v>2478</v>
      </c>
      <c r="F30" s="159">
        <v>100</v>
      </c>
      <c r="G30" s="172" t="s">
        <v>34</v>
      </c>
      <c r="H30" s="172" t="s">
        <v>34</v>
      </c>
      <c r="I30" s="666">
        <v>300000</v>
      </c>
      <c r="J30" s="747">
        <f>F30*I30/J$4</f>
        <v>30</v>
      </c>
      <c r="K30" s="172" t="s">
        <v>34</v>
      </c>
      <c r="L30" s="172" t="s">
        <v>34</v>
      </c>
      <c r="M30" s="172" t="s">
        <v>34</v>
      </c>
      <c r="N30" s="172" t="s">
        <v>34</v>
      </c>
      <c r="O30" s="172" t="s">
        <v>34</v>
      </c>
      <c r="P30" s="172" t="s">
        <v>34</v>
      </c>
      <c r="Q30" s="666" t="s">
        <v>34</v>
      </c>
      <c r="R30" s="167"/>
      <c r="S30">
        <f t="shared" si="3"/>
        <v>22</v>
      </c>
      <c r="T30" s="4" t="s">
        <v>2477</v>
      </c>
      <c r="U30" s="159" t="s">
        <v>34</v>
      </c>
    </row>
    <row r="31" spans="1:25" x14ac:dyDescent="0.35">
      <c r="A31">
        <f t="shared" si="1"/>
        <v>23</v>
      </c>
      <c r="B31" s="123"/>
      <c r="E31" s="42"/>
      <c r="F31" s="159"/>
      <c r="G31" s="159"/>
      <c r="H31" s="159"/>
      <c r="I31" s="667"/>
      <c r="J31" s="746"/>
      <c r="K31" s="667"/>
      <c r="L31" s="667"/>
      <c r="M31" s="172"/>
      <c r="N31" s="159"/>
      <c r="O31" s="172"/>
      <c r="P31" s="159"/>
      <c r="Q31" s="667"/>
      <c r="R31" s="167"/>
      <c r="S31">
        <f t="shared" si="3"/>
        <v>23</v>
      </c>
      <c r="U31" s="159"/>
    </row>
    <row r="32" spans="1:25" x14ac:dyDescent="0.35">
      <c r="A32">
        <f t="shared" si="1"/>
        <v>24</v>
      </c>
      <c r="B32" s="123"/>
      <c r="E32" s="42"/>
      <c r="I32" s="667"/>
      <c r="J32" s="746"/>
      <c r="K32" s="667"/>
      <c r="L32" s="667"/>
      <c r="P32" s="159"/>
      <c r="Q32" s="667"/>
      <c r="R32" s="25"/>
      <c r="S32">
        <f t="shared" si="3"/>
        <v>24</v>
      </c>
    </row>
    <row r="33" spans="1:22" x14ac:dyDescent="0.35">
      <c r="A33">
        <f t="shared" si="1"/>
        <v>25</v>
      </c>
      <c r="B33" s="189" t="s">
        <v>2094</v>
      </c>
      <c r="C33" s="192"/>
      <c r="D33" s="192"/>
      <c r="E33" s="562"/>
      <c r="F33" s="192"/>
      <c r="G33" s="192"/>
      <c r="H33" s="192"/>
      <c r="I33" s="768"/>
      <c r="J33" s="817"/>
      <c r="K33" s="768"/>
      <c r="L33" s="768"/>
      <c r="M33" s="192"/>
      <c r="N33" s="192"/>
      <c r="O33" s="192"/>
      <c r="P33" s="183"/>
      <c r="Q33" s="768"/>
      <c r="R33" s="560"/>
      <c r="S33">
        <f t="shared" si="3"/>
        <v>25</v>
      </c>
    </row>
    <row r="34" spans="1:22" x14ac:dyDescent="0.35">
      <c r="A34">
        <f t="shared" si="1"/>
        <v>26</v>
      </c>
      <c r="B34" s="123" t="s">
        <v>2132</v>
      </c>
      <c r="C34" t="s">
        <v>2525</v>
      </c>
      <c r="E34" s="709" t="s">
        <v>2124</v>
      </c>
      <c r="F34" s="159">
        <f>P34/U34</f>
        <v>1.0928961748633881</v>
      </c>
      <c r="G34" s="159">
        <f>P34/V34</f>
        <v>33.333333333333336</v>
      </c>
      <c r="H34" s="159">
        <f>P34</f>
        <v>400</v>
      </c>
      <c r="I34" s="667">
        <v>2000000</v>
      </c>
      <c r="J34" s="747">
        <f>F34*I34/J$4</f>
        <v>2.1857923497267762</v>
      </c>
      <c r="K34" s="667">
        <f>$I34*G34/K$4</f>
        <v>66.666666666666671</v>
      </c>
      <c r="L34" s="667">
        <f>$I34*H34/L$4</f>
        <v>800</v>
      </c>
      <c r="M34" s="172" t="s">
        <v>34</v>
      </c>
      <c r="N34" s="172" t="s">
        <v>34</v>
      </c>
      <c r="O34" s="172" t="s">
        <v>34</v>
      </c>
      <c r="P34" s="159">
        <v>400</v>
      </c>
      <c r="Q34" s="666" t="s">
        <v>34</v>
      </c>
      <c r="R34" s="25"/>
      <c r="S34">
        <f t="shared" si="3"/>
        <v>26</v>
      </c>
      <c r="U34">
        <v>366</v>
      </c>
      <c r="V34">
        <v>12</v>
      </c>
    </row>
    <row r="35" spans="1:22" x14ac:dyDescent="0.35">
      <c r="A35">
        <f t="shared" si="1"/>
        <v>27</v>
      </c>
      <c r="B35" s="123" t="s">
        <v>2483</v>
      </c>
      <c r="E35" s="709" t="s">
        <v>2482</v>
      </c>
      <c r="F35" s="159">
        <v>200</v>
      </c>
      <c r="G35" s="159"/>
      <c r="H35" s="159"/>
      <c r="I35" s="667">
        <v>2000000</v>
      </c>
      <c r="J35" s="747">
        <f>F35*I35/J$4</f>
        <v>400</v>
      </c>
      <c r="K35" s="172" t="s">
        <v>34</v>
      </c>
      <c r="L35" s="172" t="s">
        <v>34</v>
      </c>
      <c r="M35" s="172" t="s">
        <v>34</v>
      </c>
      <c r="N35" s="172" t="s">
        <v>34</v>
      </c>
      <c r="O35" s="172" t="s">
        <v>34</v>
      </c>
      <c r="P35" s="172" t="s">
        <v>34</v>
      </c>
      <c r="Q35" s="172" t="s">
        <v>34</v>
      </c>
      <c r="R35" s="25"/>
      <c r="S35">
        <f t="shared" si="3"/>
        <v>27</v>
      </c>
      <c r="T35" s="4" t="s">
        <v>2480</v>
      </c>
      <c r="U35" t="s">
        <v>34</v>
      </c>
    </row>
    <row r="36" spans="1:22" x14ac:dyDescent="0.35">
      <c r="A36">
        <f t="shared" si="1"/>
        <v>28</v>
      </c>
      <c r="B36" s="123"/>
      <c r="E36" s="42"/>
      <c r="I36" s="667"/>
      <c r="J36" s="746"/>
      <c r="K36" s="667"/>
      <c r="L36" s="667"/>
      <c r="P36" s="159"/>
      <c r="Q36" s="667"/>
      <c r="R36" s="25"/>
      <c r="S36">
        <f t="shared" si="3"/>
        <v>28</v>
      </c>
    </row>
    <row r="37" spans="1:22" x14ac:dyDescent="0.35">
      <c r="A37">
        <f t="shared" si="1"/>
        <v>29</v>
      </c>
      <c r="B37" s="123"/>
      <c r="E37" s="42"/>
      <c r="I37" s="667"/>
      <c r="J37" s="746"/>
      <c r="K37" s="667"/>
      <c r="L37" s="667"/>
      <c r="P37" s="159"/>
      <c r="Q37" s="667"/>
      <c r="R37" s="25"/>
      <c r="S37">
        <f t="shared" si="3"/>
        <v>29</v>
      </c>
    </row>
    <row r="38" spans="1:22" x14ac:dyDescent="0.35">
      <c r="A38">
        <f t="shared" si="1"/>
        <v>30</v>
      </c>
      <c r="B38" s="189" t="s">
        <v>2129</v>
      </c>
      <c r="C38" s="192"/>
      <c r="D38" s="192"/>
      <c r="E38" s="562"/>
      <c r="F38" s="192"/>
      <c r="G38" s="192"/>
      <c r="H38" s="192"/>
      <c r="I38" s="768"/>
      <c r="J38" s="817"/>
      <c r="K38" s="768"/>
      <c r="L38" s="768"/>
      <c r="M38" s="192"/>
      <c r="N38" s="192"/>
      <c r="O38" s="192"/>
      <c r="P38" s="183"/>
      <c r="Q38" s="768"/>
      <c r="R38" s="560"/>
      <c r="S38">
        <f t="shared" si="3"/>
        <v>30</v>
      </c>
    </row>
    <row r="39" spans="1:22" x14ac:dyDescent="0.35">
      <c r="A39">
        <f t="shared" si="1"/>
        <v>31</v>
      </c>
      <c r="B39" s="123" t="s">
        <v>2134</v>
      </c>
      <c r="C39" t="s">
        <v>34</v>
      </c>
      <c r="E39" s="709" t="s">
        <v>2124</v>
      </c>
      <c r="F39" s="173">
        <f>P39/U39</f>
        <v>0.16393442622950818</v>
      </c>
      <c r="G39" s="159">
        <f>P39/V39</f>
        <v>5</v>
      </c>
      <c r="H39" s="159">
        <f>P39</f>
        <v>60</v>
      </c>
      <c r="I39" s="667">
        <v>10000</v>
      </c>
      <c r="J39" s="746"/>
      <c r="K39" s="782">
        <f>$I39*G39/K$4</f>
        <v>0.05</v>
      </c>
      <c r="L39" s="782">
        <f>$I39*H39/L$4</f>
        <v>0.6</v>
      </c>
      <c r="M39" s="172" t="s">
        <v>34</v>
      </c>
      <c r="N39" s="172" t="s">
        <v>34</v>
      </c>
      <c r="O39" s="172" t="s">
        <v>34</v>
      </c>
      <c r="P39" s="159">
        <v>60</v>
      </c>
      <c r="Q39" s="666" t="s">
        <v>34</v>
      </c>
      <c r="R39" s="25"/>
      <c r="S39">
        <f t="shared" si="3"/>
        <v>31</v>
      </c>
      <c r="U39">
        <v>366</v>
      </c>
      <c r="V39">
        <v>12</v>
      </c>
    </row>
    <row r="40" spans="1:22" x14ac:dyDescent="0.35">
      <c r="A40">
        <f t="shared" si="1"/>
        <v>32</v>
      </c>
      <c r="B40" s="123"/>
      <c r="E40" s="42"/>
      <c r="I40" s="667"/>
      <c r="J40" s="746"/>
      <c r="K40" s="667"/>
      <c r="L40" s="667"/>
      <c r="P40" s="159"/>
      <c r="Q40" s="667"/>
      <c r="R40" s="25"/>
      <c r="S40">
        <f t="shared" si="3"/>
        <v>32</v>
      </c>
    </row>
    <row r="41" spans="1:22" x14ac:dyDescent="0.35">
      <c r="A41">
        <f t="shared" si="1"/>
        <v>33</v>
      </c>
      <c r="B41" s="189" t="s">
        <v>2093</v>
      </c>
      <c r="C41" s="192"/>
      <c r="D41" s="192"/>
      <c r="E41" s="562"/>
      <c r="F41" s="192"/>
      <c r="G41" s="192"/>
      <c r="H41" s="192"/>
      <c r="I41" s="768"/>
      <c r="J41" s="817"/>
      <c r="K41" s="768"/>
      <c r="L41" s="768"/>
      <c r="M41" s="192"/>
      <c r="N41" s="192"/>
      <c r="O41" s="192"/>
      <c r="P41" s="183"/>
      <c r="Q41" s="768"/>
      <c r="R41" s="560"/>
      <c r="S41">
        <f t="shared" si="3"/>
        <v>33</v>
      </c>
    </row>
    <row r="42" spans="1:22" x14ac:dyDescent="0.35">
      <c r="A42">
        <f t="shared" si="1"/>
        <v>34</v>
      </c>
      <c r="B42" s="123" t="s">
        <v>2130</v>
      </c>
      <c r="C42" t="s">
        <v>34</v>
      </c>
      <c r="E42" s="709" t="s">
        <v>2124</v>
      </c>
      <c r="F42" s="159">
        <f>P42/U42</f>
        <v>36.065573770491802</v>
      </c>
      <c r="G42" s="159">
        <f>P42/V42</f>
        <v>1100</v>
      </c>
      <c r="H42" s="159">
        <f>P42</f>
        <v>13200</v>
      </c>
      <c r="I42" s="667">
        <v>1000</v>
      </c>
      <c r="J42" s="746"/>
      <c r="K42" s="667">
        <f>$I42*G42/K$4</f>
        <v>1.1000000000000001</v>
      </c>
      <c r="L42" s="667">
        <f>$I42*H42/L$4</f>
        <v>13.2</v>
      </c>
      <c r="M42" s="172" t="s">
        <v>34</v>
      </c>
      <c r="N42" s="172" t="s">
        <v>34</v>
      </c>
      <c r="O42" s="172" t="s">
        <v>34</v>
      </c>
      <c r="P42" s="159">
        <v>13200</v>
      </c>
      <c r="Q42" s="666" t="s">
        <v>34</v>
      </c>
      <c r="R42" s="25"/>
      <c r="S42">
        <f t="shared" si="3"/>
        <v>34</v>
      </c>
      <c r="U42">
        <v>366</v>
      </c>
      <c r="V42">
        <v>12</v>
      </c>
    </row>
    <row r="43" spans="1:22" x14ac:dyDescent="0.35">
      <c r="A43">
        <f t="shared" si="1"/>
        <v>35</v>
      </c>
      <c r="B43" s="123"/>
      <c r="E43" s="42"/>
      <c r="I43" s="667"/>
      <c r="J43" s="746"/>
      <c r="K43" s="667"/>
      <c r="L43" s="667"/>
      <c r="P43" s="159"/>
      <c r="Q43" s="667"/>
      <c r="R43" s="25"/>
      <c r="S43">
        <f t="shared" si="3"/>
        <v>35</v>
      </c>
    </row>
    <row r="44" spans="1:22" x14ac:dyDescent="0.35">
      <c r="A44">
        <f t="shared" si="1"/>
        <v>36</v>
      </c>
      <c r="B44" s="189" t="s">
        <v>2092</v>
      </c>
      <c r="C44" s="473"/>
      <c r="D44" s="473"/>
      <c r="E44" s="464"/>
      <c r="F44" s="473"/>
      <c r="G44" s="473"/>
      <c r="H44" s="473"/>
      <c r="I44" s="770"/>
      <c r="J44" s="819"/>
      <c r="K44" s="770"/>
      <c r="L44" s="770"/>
      <c r="M44" s="473"/>
      <c r="N44" s="473"/>
      <c r="O44" s="473"/>
      <c r="P44" s="469"/>
      <c r="Q44" s="770"/>
      <c r="R44" s="697"/>
      <c r="S44">
        <f t="shared" si="3"/>
        <v>36</v>
      </c>
    </row>
    <row r="45" spans="1:22" x14ac:dyDescent="0.35">
      <c r="A45">
        <f t="shared" si="1"/>
        <v>37</v>
      </c>
      <c r="B45" s="123" t="s">
        <v>2131</v>
      </c>
      <c r="C45" t="s">
        <v>34</v>
      </c>
      <c r="E45" s="709" t="s">
        <v>2124</v>
      </c>
      <c r="F45" s="159">
        <f>P45/U45</f>
        <v>33.879781420765028</v>
      </c>
      <c r="G45" s="159">
        <f>P45/V45</f>
        <v>1033.3333333333333</v>
      </c>
      <c r="H45" s="159">
        <f>P45</f>
        <v>12400</v>
      </c>
      <c r="I45" s="667">
        <v>10000</v>
      </c>
      <c r="J45" s="746"/>
      <c r="K45" s="667">
        <f>$I45*G45/K$4</f>
        <v>10.333333333333332</v>
      </c>
      <c r="L45" s="667">
        <f>$I45*H45/L$4</f>
        <v>124</v>
      </c>
      <c r="M45" s="172" t="s">
        <v>34</v>
      </c>
      <c r="N45" s="172" t="s">
        <v>34</v>
      </c>
      <c r="O45" s="172" t="s">
        <v>34</v>
      </c>
      <c r="P45" s="159">
        <v>12400</v>
      </c>
      <c r="Q45" s="666" t="s">
        <v>34</v>
      </c>
      <c r="R45" s="25"/>
      <c r="S45">
        <f t="shared" si="3"/>
        <v>37</v>
      </c>
      <c r="U45">
        <v>366</v>
      </c>
      <c r="V45">
        <v>12</v>
      </c>
    </row>
    <row r="46" spans="1:22" x14ac:dyDescent="0.35">
      <c r="A46">
        <f t="shared" si="1"/>
        <v>38</v>
      </c>
      <c r="B46" s="123"/>
      <c r="E46" s="42"/>
      <c r="I46" s="667"/>
      <c r="J46" s="746"/>
      <c r="K46" s="667"/>
      <c r="L46" s="667"/>
      <c r="P46" s="159"/>
      <c r="Q46" s="667"/>
      <c r="R46" s="25"/>
      <c r="S46">
        <f t="shared" si="3"/>
        <v>38</v>
      </c>
    </row>
    <row r="47" spans="1:22" x14ac:dyDescent="0.35">
      <c r="A47">
        <f t="shared" si="1"/>
        <v>39</v>
      </c>
      <c r="B47" s="189" t="s">
        <v>2095</v>
      </c>
      <c r="C47" s="192"/>
      <c r="D47" s="192"/>
      <c r="E47" s="562"/>
      <c r="F47" s="192"/>
      <c r="G47" s="192"/>
      <c r="H47" s="192"/>
      <c r="I47" s="768"/>
      <c r="J47" s="817"/>
      <c r="K47" s="768"/>
      <c r="L47" s="768"/>
      <c r="M47" s="192"/>
      <c r="N47" s="192"/>
      <c r="O47" s="192"/>
      <c r="P47" s="183"/>
      <c r="Q47" s="768"/>
      <c r="R47" s="560"/>
      <c r="S47">
        <f t="shared" si="3"/>
        <v>39</v>
      </c>
    </row>
    <row r="48" spans="1:22" x14ac:dyDescent="0.35">
      <c r="A48">
        <f t="shared" si="1"/>
        <v>40</v>
      </c>
      <c r="B48" s="123" t="s">
        <v>2133</v>
      </c>
      <c r="C48" t="s">
        <v>34</v>
      </c>
      <c r="E48" s="709" t="s">
        <v>2124</v>
      </c>
      <c r="F48" s="173">
        <f>P48/U48</f>
        <v>0.49180327868852458</v>
      </c>
      <c r="G48" s="159">
        <f>P48/V48</f>
        <v>15</v>
      </c>
      <c r="H48" s="159">
        <f>P48</f>
        <v>180</v>
      </c>
      <c r="I48" s="667">
        <v>1000000</v>
      </c>
      <c r="J48" s="746"/>
      <c r="K48" s="667">
        <f>$I48*G48/K$4</f>
        <v>15</v>
      </c>
      <c r="L48" s="667">
        <f>$I48*H48/L$4</f>
        <v>180</v>
      </c>
      <c r="M48" s="172" t="s">
        <v>34</v>
      </c>
      <c r="N48" s="172" t="s">
        <v>34</v>
      </c>
      <c r="O48" s="172" t="s">
        <v>34</v>
      </c>
      <c r="P48" s="159">
        <v>180</v>
      </c>
      <c r="Q48" s="666" t="s">
        <v>34</v>
      </c>
      <c r="R48" s="25"/>
      <c r="S48">
        <f t="shared" si="3"/>
        <v>40</v>
      </c>
      <c r="U48">
        <v>366</v>
      </c>
      <c r="V48">
        <v>12</v>
      </c>
    </row>
    <row r="49" spans="1:19" x14ac:dyDescent="0.35">
      <c r="A49">
        <f t="shared" si="1"/>
        <v>41</v>
      </c>
      <c r="B49" s="123"/>
      <c r="E49" s="42"/>
      <c r="I49" s="667"/>
      <c r="J49" s="746"/>
      <c r="K49" s="667"/>
      <c r="L49" s="667"/>
      <c r="P49" s="159"/>
      <c r="Q49" s="667"/>
      <c r="R49" s="25"/>
      <c r="S49">
        <f t="shared" si="3"/>
        <v>41</v>
      </c>
    </row>
    <row r="50" spans="1:19" ht="15" thickBot="1" x14ac:dyDescent="0.4">
      <c r="A50">
        <f t="shared" si="1"/>
        <v>42</v>
      </c>
      <c r="B50" s="112"/>
      <c r="C50" s="14"/>
      <c r="D50" s="14"/>
      <c r="E50" s="108"/>
      <c r="F50" s="14"/>
      <c r="G50" s="14"/>
      <c r="H50" s="14"/>
      <c r="I50" s="668"/>
      <c r="J50" s="795"/>
      <c r="K50" s="668"/>
      <c r="L50" s="668"/>
      <c r="M50" s="14"/>
      <c r="N50" s="14"/>
      <c r="O50" s="14"/>
      <c r="P50" s="160"/>
      <c r="Q50" s="668"/>
      <c r="R50" s="28"/>
      <c r="S50">
        <f t="shared" si="3"/>
        <v>42</v>
      </c>
    </row>
    <row r="51" spans="1:19" ht="15" thickTop="1" x14ac:dyDescent="0.35"/>
    <row r="55" spans="1:19" ht="24" thickBot="1" x14ac:dyDescent="0.6">
      <c r="B55" s="435" t="s">
        <v>21</v>
      </c>
      <c r="C55" s="435"/>
      <c r="D55" s="435"/>
      <c r="E55" s="435"/>
      <c r="F55" s="435"/>
      <c r="G55" s="435"/>
      <c r="H55" s="263"/>
      <c r="I55" s="263"/>
      <c r="J55" s="263"/>
      <c r="K55" s="263"/>
      <c r="L55" s="263"/>
      <c r="M55" s="263"/>
      <c r="N55" s="263"/>
      <c r="O55" s="263"/>
      <c r="P55" s="263"/>
      <c r="Q55" s="263"/>
      <c r="R55" s="263"/>
      <c r="S55" s="3"/>
    </row>
    <row r="56" spans="1:19" ht="15" thickTop="1" x14ac:dyDescent="0.35">
      <c r="B56" s="437" t="str">
        <f t="shared" ref="B56:I58" si="13">B6</f>
        <v>Weapon in mind</v>
      </c>
      <c r="C56" s="437" t="str">
        <f t="shared" si="13"/>
        <v>Description</v>
      </c>
      <c r="D56" s="437" t="str">
        <f t="shared" si="13"/>
        <v>Warhead</v>
      </c>
      <c r="E56" s="438" t="str">
        <f t="shared" si="13"/>
        <v xml:space="preserve">Date </v>
      </c>
      <c r="F56" s="438" t="str">
        <f t="shared" si="13"/>
        <v>Daily</v>
      </c>
      <c r="G56" s="438" t="str">
        <f t="shared" si="13"/>
        <v>Monthly</v>
      </c>
      <c r="H56" s="438" t="str">
        <f t="shared" si="13"/>
        <v>Yearly</v>
      </c>
      <c r="I56" s="438" t="str">
        <f t="shared" si="13"/>
        <v>Average</v>
      </c>
      <c r="J56" s="438"/>
      <c r="K56" s="438" t="str">
        <f t="shared" ref="K56:R58" si="14">K6</f>
        <v>Cost</v>
      </c>
      <c r="L56" s="438" t="str">
        <f t="shared" si="14"/>
        <v xml:space="preserve">Cost </v>
      </c>
      <c r="M56" s="438" t="str">
        <f t="shared" si="14"/>
        <v>Unit</v>
      </c>
      <c r="N56" s="438" t="str">
        <f t="shared" si="14"/>
        <v>Yearly</v>
      </c>
      <c r="O56" s="438" t="str">
        <f t="shared" si="14"/>
        <v>Yearly</v>
      </c>
      <c r="P56" s="438" t="str">
        <f t="shared" si="14"/>
        <v xml:space="preserve">Use since </v>
      </c>
      <c r="Q56" s="438" t="str">
        <f t="shared" si="14"/>
        <v>Cost since</v>
      </c>
      <c r="R56" s="558">
        <f t="shared" si="14"/>
        <v>0</v>
      </c>
      <c r="S56" s="3"/>
    </row>
    <row r="57" spans="1:19" x14ac:dyDescent="0.35">
      <c r="B57" s="564">
        <f t="shared" si="13"/>
        <v>0</v>
      </c>
      <c r="C57" s="564">
        <f t="shared" si="13"/>
        <v>0</v>
      </c>
      <c r="D57" s="564" t="str">
        <f t="shared" si="13"/>
        <v>weight in</v>
      </c>
      <c r="E57" s="441" t="str">
        <f t="shared" si="13"/>
        <v>weapons use</v>
      </c>
      <c r="F57" s="441" t="str">
        <f t="shared" si="13"/>
        <v>use</v>
      </c>
      <c r="G57" s="441" t="str">
        <f t="shared" si="13"/>
        <v>use</v>
      </c>
      <c r="H57" s="441" t="str">
        <f t="shared" si="13"/>
        <v>use</v>
      </c>
      <c r="I57" s="441" t="str">
        <f t="shared" si="13"/>
        <v xml:space="preserve">unit costs </v>
      </c>
      <c r="J57" s="441"/>
      <c r="K57" s="441" t="str">
        <f t="shared" si="14"/>
        <v>monthly</v>
      </c>
      <c r="L57" s="441" t="str">
        <f t="shared" si="14"/>
        <v>yearly</v>
      </c>
      <c r="M57" s="441" t="str">
        <f t="shared" si="14"/>
        <v>used</v>
      </c>
      <c r="N57" s="441" t="str">
        <f t="shared" si="14"/>
        <v>used in</v>
      </c>
      <c r="O57" s="441" t="str">
        <f t="shared" si="14"/>
        <v xml:space="preserve">truckloads to frontlines </v>
      </c>
      <c r="P57" s="441" t="str">
        <f t="shared" si="14"/>
        <v>start of</v>
      </c>
      <c r="Q57" s="441" t="str">
        <f t="shared" si="14"/>
        <v>start of war</v>
      </c>
      <c r="R57" s="559">
        <f t="shared" si="14"/>
        <v>0</v>
      </c>
      <c r="S57" s="3"/>
    </row>
    <row r="58" spans="1:19" ht="15" thickBot="1" x14ac:dyDescent="0.4">
      <c r="B58" s="571">
        <f t="shared" si="13"/>
        <v>0</v>
      </c>
      <c r="C58" s="571">
        <f t="shared" si="13"/>
        <v>0</v>
      </c>
      <c r="D58" s="571" t="str">
        <f t="shared" si="13"/>
        <v>kilo</v>
      </c>
      <c r="E58" s="445" t="str">
        <f t="shared" si="13"/>
        <v>reported</v>
      </c>
      <c r="F58" s="445">
        <f t="shared" si="13"/>
        <v>0</v>
      </c>
      <c r="G58" s="445">
        <f t="shared" si="13"/>
        <v>0</v>
      </c>
      <c r="H58" s="445">
        <f t="shared" si="13"/>
        <v>0</v>
      </c>
      <c r="I58" s="445">
        <f t="shared" si="13"/>
        <v>0</v>
      </c>
      <c r="J58" s="445"/>
      <c r="K58" s="445" t="str">
        <f t="shared" si="14"/>
        <v>million USD</v>
      </c>
      <c r="L58" s="445" t="str">
        <f t="shared" si="14"/>
        <v>million USD</v>
      </c>
      <c r="M58" s="445" t="str">
        <f t="shared" si="14"/>
        <v>in kilo</v>
      </c>
      <c r="N58" s="445" t="str">
        <f t="shared" si="14"/>
        <v>tonnes</v>
      </c>
      <c r="O58" s="445" t="str">
        <f t="shared" si="14"/>
        <v>10t per tr.</v>
      </c>
      <c r="P58" s="445" t="str">
        <f t="shared" si="14"/>
        <v>war</v>
      </c>
      <c r="Q58" s="445" t="str">
        <f t="shared" si="14"/>
        <v>million USD</v>
      </c>
      <c r="R58" s="446">
        <f t="shared" si="14"/>
        <v>0</v>
      </c>
      <c r="S58" s="3"/>
    </row>
    <row r="59" spans="1:19" ht="15" thickTop="1" x14ac:dyDescent="0.35">
      <c r="A59">
        <v>1</v>
      </c>
      <c r="B59" s="181" t="str">
        <f t="shared" ref="B59:B65" si="15">B9</f>
        <v>Russian weapons use in Ukraine war: 24 Feb, 2022-</v>
      </c>
      <c r="C59" s="691"/>
      <c r="D59" s="692"/>
      <c r="E59" s="692"/>
      <c r="F59" s="577"/>
      <c r="G59" s="577"/>
      <c r="H59" s="576"/>
      <c r="I59" s="576"/>
      <c r="J59" s="576"/>
      <c r="K59" s="576"/>
      <c r="L59" s="576"/>
      <c r="M59" s="576"/>
      <c r="N59" s="576"/>
      <c r="O59" s="652"/>
      <c r="P59" s="652"/>
      <c r="Q59" s="652"/>
      <c r="R59" s="698"/>
      <c r="S59">
        <v>1</v>
      </c>
    </row>
    <row r="60" spans="1:19" x14ac:dyDescent="0.35">
      <c r="A60">
        <f>A59+1</f>
        <v>2</v>
      </c>
      <c r="B60" s="51" t="str">
        <f t="shared" si="15"/>
        <v>Use of 152mm artillery shells, March 2024</v>
      </c>
      <c r="C60" s="432" t="s">
        <v>2115</v>
      </c>
      <c r="D60" s="455"/>
      <c r="E60" s="455" t="s">
        <v>2098</v>
      </c>
      <c r="F60" s="427" t="s">
        <v>2098</v>
      </c>
      <c r="G60" s="427" t="s">
        <v>1456</v>
      </c>
      <c r="H60" s="427" t="s">
        <v>1456</v>
      </c>
      <c r="I60" s="455" t="s">
        <v>2196</v>
      </c>
      <c r="J60" s="455"/>
      <c r="K60" s="455" t="s">
        <v>1456</v>
      </c>
      <c r="L60" s="455" t="s">
        <v>1456</v>
      </c>
      <c r="M60" s="427" t="s">
        <v>2105</v>
      </c>
      <c r="N60" s="455" t="s">
        <v>1456</v>
      </c>
      <c r="O60" s="455" t="s">
        <v>1456</v>
      </c>
      <c r="P60" s="455" t="s">
        <v>2163</v>
      </c>
      <c r="Q60" s="455" t="s">
        <v>1456</v>
      </c>
      <c r="R60" s="429"/>
      <c r="S60">
        <f>S59+1</f>
        <v>2</v>
      </c>
    </row>
    <row r="61" spans="1:19" x14ac:dyDescent="0.35">
      <c r="A61">
        <f t="shared" ref="A61:A100" si="16">A60+1</f>
        <v>3</v>
      </c>
      <c r="B61" s="51" t="str">
        <f t="shared" si="15"/>
        <v>Manned air sorties (not helicopters)</v>
      </c>
      <c r="C61" s="432" t="s">
        <v>2115</v>
      </c>
      <c r="D61" s="455"/>
      <c r="E61" s="455" t="s">
        <v>2114</v>
      </c>
      <c r="F61" s="455" t="s">
        <v>2114</v>
      </c>
      <c r="G61" s="427" t="s">
        <v>1456</v>
      </c>
      <c r="H61" s="427" t="s">
        <v>1456</v>
      </c>
      <c r="I61" s="455" t="s">
        <v>2144</v>
      </c>
      <c r="J61" s="455"/>
      <c r="K61" s="455" t="s">
        <v>1456</v>
      </c>
      <c r="L61" s="455" t="s">
        <v>1456</v>
      </c>
      <c r="M61" s="172" t="s">
        <v>34</v>
      </c>
      <c r="N61" s="172" t="s">
        <v>34</v>
      </c>
      <c r="O61" s="172" t="s">
        <v>34</v>
      </c>
      <c r="P61" s="427" t="s">
        <v>1456</v>
      </c>
      <c r="Q61" s="427" t="s">
        <v>1456</v>
      </c>
      <c r="R61" s="429"/>
      <c r="S61">
        <f t="shared" ref="S61:S100" si="17">S60+1</f>
        <v>3</v>
      </c>
    </row>
    <row r="62" spans="1:19" x14ac:dyDescent="0.35">
      <c r="A62">
        <f t="shared" si="16"/>
        <v>4</v>
      </c>
      <c r="B62" s="123" t="str">
        <f t="shared" si="15"/>
        <v>Guided glider bombs 70km</v>
      </c>
      <c r="C62" s="455" t="s">
        <v>2154</v>
      </c>
      <c r="D62" s="455" t="s">
        <v>88</v>
      </c>
      <c r="E62" s="455" t="s">
        <v>2161</v>
      </c>
      <c r="F62" s="427" t="s">
        <v>1456</v>
      </c>
      <c r="G62" s="427" t="s">
        <v>2161</v>
      </c>
      <c r="H62" s="427" t="s">
        <v>1456</v>
      </c>
      <c r="I62" s="455" t="s">
        <v>88</v>
      </c>
      <c r="J62" s="455"/>
      <c r="K62" s="455" t="s">
        <v>1456</v>
      </c>
      <c r="L62" s="455" t="s">
        <v>1456</v>
      </c>
      <c r="M62" s="172" t="s">
        <v>34</v>
      </c>
      <c r="N62" s="172" t="s">
        <v>34</v>
      </c>
      <c r="O62" s="172" t="s">
        <v>34</v>
      </c>
      <c r="P62" s="427"/>
      <c r="Q62" s="427"/>
      <c r="R62" s="429"/>
      <c r="S62">
        <f t="shared" si="17"/>
        <v>4</v>
      </c>
    </row>
    <row r="63" spans="1:19" x14ac:dyDescent="0.35">
      <c r="A63">
        <f t="shared" si="16"/>
        <v>5</v>
      </c>
      <c r="B63" s="51" t="str">
        <f t="shared" si="15"/>
        <v>Cruise and ballistic missiles warheads over 400kg</v>
      </c>
      <c r="C63" s="455" t="s">
        <v>2154</v>
      </c>
      <c r="D63" s="455" t="s">
        <v>2192</v>
      </c>
      <c r="E63" s="455"/>
      <c r="F63" s="427" t="s">
        <v>1456</v>
      </c>
      <c r="G63" s="427" t="s">
        <v>2191</v>
      </c>
      <c r="H63" s="427" t="s">
        <v>1456</v>
      </c>
      <c r="I63" s="455"/>
      <c r="J63" s="455"/>
      <c r="K63" s="455"/>
      <c r="L63" s="427"/>
      <c r="M63" s="427"/>
      <c r="N63" s="427"/>
      <c r="O63" s="427"/>
      <c r="P63" s="427"/>
      <c r="Q63" s="427"/>
      <c r="R63" s="429"/>
      <c r="S63">
        <f t="shared" si="17"/>
        <v>5</v>
      </c>
    </row>
    <row r="64" spans="1:19" x14ac:dyDescent="0.35">
      <c r="A64">
        <f t="shared" si="16"/>
        <v>6</v>
      </c>
      <c r="B64" s="123" t="str">
        <f t="shared" si="15"/>
        <v>Shahed long-range  heavy duty drones &gt;1000 km</v>
      </c>
      <c r="C64" s="455" t="s">
        <v>2154</v>
      </c>
      <c r="D64" s="455"/>
      <c r="E64" s="455" t="s">
        <v>2153</v>
      </c>
      <c r="F64" s="427" t="s">
        <v>1456</v>
      </c>
      <c r="G64" s="427" t="s">
        <v>2153</v>
      </c>
      <c r="H64" s="427" t="s">
        <v>1456</v>
      </c>
      <c r="I64" s="574" t="s">
        <v>88</v>
      </c>
      <c r="J64" s="574"/>
      <c r="K64" s="561"/>
      <c r="L64" s="427"/>
      <c r="M64" s="427"/>
      <c r="N64" s="427"/>
      <c r="O64" s="427"/>
      <c r="P64" s="427"/>
      <c r="Q64" s="427"/>
      <c r="R64" s="429"/>
      <c r="S64">
        <f t="shared" si="17"/>
        <v>6</v>
      </c>
    </row>
    <row r="65" spans="1:21" x14ac:dyDescent="0.35">
      <c r="A65">
        <f t="shared" si="16"/>
        <v>7</v>
      </c>
      <c r="B65" s="123" t="str">
        <f t="shared" si="15"/>
        <v>Small FPV drones &lt;25km</v>
      </c>
      <c r="C65" t="s">
        <v>2212</v>
      </c>
      <c r="D65" s="455"/>
      <c r="E65" s="455"/>
      <c r="F65" s="427"/>
      <c r="G65" s="427"/>
      <c r="H65" s="427" t="s">
        <v>2201</v>
      </c>
      <c r="I65" s="574" t="s">
        <v>88</v>
      </c>
      <c r="J65" s="574"/>
      <c r="K65" s="561"/>
      <c r="L65" s="427"/>
      <c r="M65" s="427"/>
      <c r="N65" s="427"/>
      <c r="O65" s="427"/>
      <c r="P65" s="427"/>
      <c r="Q65" s="427"/>
      <c r="R65" s="429"/>
      <c r="S65">
        <f t="shared" si="17"/>
        <v>7</v>
      </c>
    </row>
    <row r="66" spans="1:21" x14ac:dyDescent="0.35">
      <c r="A66">
        <f t="shared" si="16"/>
        <v>8</v>
      </c>
      <c r="B66" s="123"/>
      <c r="C66" s="455"/>
      <c r="D66" s="455"/>
      <c r="E66" s="455"/>
      <c r="F66" s="427"/>
      <c r="G66" s="427"/>
      <c r="H66" s="427"/>
      <c r="I66" s="574"/>
      <c r="J66" s="574"/>
      <c r="K66" s="561"/>
      <c r="L66" s="427"/>
      <c r="M66" s="427"/>
      <c r="N66" s="427"/>
      <c r="O66" s="427"/>
      <c r="P66" s="427"/>
      <c r="Q66" s="427"/>
      <c r="R66" s="429"/>
      <c r="S66">
        <f t="shared" si="17"/>
        <v>8</v>
      </c>
    </row>
    <row r="67" spans="1:21" x14ac:dyDescent="0.35">
      <c r="A67">
        <f t="shared" si="16"/>
        <v>9</v>
      </c>
      <c r="B67" s="123"/>
      <c r="C67" s="455"/>
      <c r="D67" s="455"/>
      <c r="E67" s="455"/>
      <c r="F67" s="427"/>
      <c r="G67" s="427"/>
      <c r="H67" s="427"/>
      <c r="I67" s="574"/>
      <c r="J67" s="574"/>
      <c r="K67" s="561"/>
      <c r="L67" s="427"/>
      <c r="M67" s="427"/>
      <c r="N67" s="427"/>
      <c r="O67" s="427"/>
      <c r="P67" s="427"/>
      <c r="Q67" s="427"/>
      <c r="R67" s="429"/>
      <c r="S67">
        <f t="shared" si="17"/>
        <v>9</v>
      </c>
    </row>
    <row r="68" spans="1:21" x14ac:dyDescent="0.35">
      <c r="A68">
        <f t="shared" si="16"/>
        <v>10</v>
      </c>
      <c r="B68" s="51"/>
      <c r="C68" s="432"/>
      <c r="D68" s="455"/>
      <c r="E68" s="455"/>
      <c r="F68" s="427"/>
      <c r="G68" s="427"/>
      <c r="H68" s="427"/>
      <c r="I68" s="455"/>
      <c r="J68" s="455"/>
      <c r="K68" s="455"/>
      <c r="L68" s="427"/>
      <c r="M68" s="427"/>
      <c r="N68" s="427"/>
      <c r="O68" s="427"/>
      <c r="P68" s="427"/>
      <c r="Q68" s="427"/>
      <c r="R68" s="429"/>
      <c r="S68">
        <f t="shared" si="17"/>
        <v>10</v>
      </c>
    </row>
    <row r="69" spans="1:21" x14ac:dyDescent="0.35">
      <c r="A69">
        <f t="shared" si="16"/>
        <v>11</v>
      </c>
      <c r="B69" s="181" t="str">
        <f>B19</f>
        <v>Ukraine weapons use in Ukraine war: 24 Feb, 2022-</v>
      </c>
      <c r="C69" s="691"/>
      <c r="D69" s="692"/>
      <c r="E69" s="692"/>
      <c r="F69" s="577"/>
      <c r="G69" s="577"/>
      <c r="H69" s="577"/>
      <c r="I69" s="576"/>
      <c r="J69" s="576"/>
      <c r="K69" s="576"/>
      <c r="L69" s="577"/>
      <c r="M69" s="577"/>
      <c r="N69" s="577"/>
      <c r="O69" s="577"/>
      <c r="P69" s="577"/>
      <c r="Q69" s="577"/>
      <c r="R69" s="578"/>
      <c r="S69">
        <f t="shared" si="17"/>
        <v>11</v>
      </c>
    </row>
    <row r="70" spans="1:21" x14ac:dyDescent="0.35">
      <c r="A70">
        <f t="shared" si="16"/>
        <v>12</v>
      </c>
      <c r="B70" s="123" t="str">
        <f>B20</f>
        <v>Use of 155mm/152mm artillery shells, March 2024</v>
      </c>
      <c r="C70" s="455" t="s">
        <v>34</v>
      </c>
      <c r="D70" s="455"/>
      <c r="E70" s="455" t="s">
        <v>2098</v>
      </c>
      <c r="F70" s="427" t="s">
        <v>2098</v>
      </c>
      <c r="G70" s="427" t="s">
        <v>1456</v>
      </c>
      <c r="H70" s="427" t="s">
        <v>1456</v>
      </c>
      <c r="I70" s="455" t="s">
        <v>88</v>
      </c>
      <c r="J70" s="455"/>
      <c r="K70" s="455" t="s">
        <v>1456</v>
      </c>
      <c r="L70" s="455" t="s">
        <v>1456</v>
      </c>
      <c r="M70" s="427" t="s">
        <v>2105</v>
      </c>
      <c r="N70" s="455" t="s">
        <v>1456</v>
      </c>
      <c r="O70" s="455" t="s">
        <v>1456</v>
      </c>
      <c r="P70" s="455" t="s">
        <v>2150</v>
      </c>
      <c r="Q70" s="455"/>
      <c r="R70" s="429"/>
      <c r="S70">
        <f t="shared" si="17"/>
        <v>12</v>
      </c>
    </row>
    <row r="71" spans="1:21" x14ac:dyDescent="0.35">
      <c r="A71">
        <f t="shared" si="16"/>
        <v>13</v>
      </c>
      <c r="B71" s="123" t="str">
        <f>B21</f>
        <v>Manned air sorties (not helicopters)</v>
      </c>
      <c r="C71" s="455" t="s">
        <v>34</v>
      </c>
      <c r="D71" s="455"/>
      <c r="E71" s="455" t="s">
        <v>2118</v>
      </c>
      <c r="F71" s="455" t="s">
        <v>2118</v>
      </c>
      <c r="G71" s="427" t="s">
        <v>1456</v>
      </c>
      <c r="H71" s="427" t="s">
        <v>1456</v>
      </c>
      <c r="I71" s="455" t="s">
        <v>2144</v>
      </c>
      <c r="J71" s="455"/>
      <c r="K71" s="455" t="s">
        <v>1456</v>
      </c>
      <c r="L71" s="455" t="s">
        <v>1456</v>
      </c>
      <c r="M71" s="427" t="s">
        <v>34</v>
      </c>
      <c r="N71" s="427" t="s">
        <v>34</v>
      </c>
      <c r="O71" s="427" t="s">
        <v>34</v>
      </c>
      <c r="P71" s="427"/>
      <c r="Q71" s="427"/>
      <c r="R71" s="429"/>
      <c r="S71">
        <f t="shared" si="17"/>
        <v>13</v>
      </c>
    </row>
    <row r="72" spans="1:21" x14ac:dyDescent="0.35">
      <c r="A72">
        <f t="shared" si="16"/>
        <v>14</v>
      </c>
      <c r="B72" s="123" t="str">
        <f t="shared" ref="B72:B75" si="18">B22</f>
        <v>Rocket propelled guided bombs &gt;100km</v>
      </c>
      <c r="C72" s="455" t="s">
        <v>2206</v>
      </c>
      <c r="D72" s="455" t="s">
        <v>2206</v>
      </c>
      <c r="E72" s="455"/>
      <c r="F72" s="455"/>
      <c r="G72" s="427"/>
      <c r="H72" s="427" t="s">
        <v>2207</v>
      </c>
      <c r="I72" s="455" t="s">
        <v>2206</v>
      </c>
      <c r="J72" s="455"/>
      <c r="K72" s="455" t="s">
        <v>1456</v>
      </c>
      <c r="L72" s="455" t="s">
        <v>1456</v>
      </c>
      <c r="M72" s="427"/>
      <c r="N72" s="427"/>
      <c r="O72" s="427"/>
      <c r="P72" s="427"/>
      <c r="Q72" s="427"/>
      <c r="R72" s="429"/>
      <c r="S72">
        <f t="shared" si="17"/>
        <v>14</v>
      </c>
    </row>
    <row r="73" spans="1:21" x14ac:dyDescent="0.35">
      <c r="A73">
        <f t="shared" si="16"/>
        <v>15</v>
      </c>
      <c r="B73" s="123" t="str">
        <f t="shared" si="18"/>
        <v>Cruise and ballistic missiles - Storm Shadow, ATACAMS, Neptune with warheads over 200kg</v>
      </c>
      <c r="C73" s="455" t="s">
        <v>2210</v>
      </c>
      <c r="D73" s="455" t="s">
        <v>2210</v>
      </c>
      <c r="E73" s="455" t="s">
        <v>34</v>
      </c>
      <c r="F73" s="427" t="s">
        <v>1456</v>
      </c>
      <c r="G73" s="427" t="s">
        <v>1456</v>
      </c>
      <c r="H73" s="427" t="s">
        <v>2726</v>
      </c>
      <c r="I73" s="455" t="s">
        <v>2210</v>
      </c>
      <c r="J73" s="455"/>
      <c r="K73" s="455" t="s">
        <v>1456</v>
      </c>
      <c r="L73" s="455" t="s">
        <v>1456</v>
      </c>
      <c r="M73" s="427"/>
      <c r="N73" s="427"/>
      <c r="O73" s="427"/>
      <c r="P73" s="427" t="s">
        <v>180</v>
      </c>
      <c r="Q73" s="427" t="s">
        <v>1456</v>
      </c>
      <c r="R73" s="429"/>
      <c r="S73">
        <f t="shared" si="17"/>
        <v>15</v>
      </c>
    </row>
    <row r="74" spans="1:21" x14ac:dyDescent="0.35">
      <c r="A74">
        <f t="shared" si="16"/>
        <v>16</v>
      </c>
      <c r="B74" s="123" t="str">
        <f t="shared" si="18"/>
        <v>Various Ukraine made long-rage drones &gt;100 km</v>
      </c>
      <c r="C74" t="s">
        <v>2200</v>
      </c>
      <c r="D74" s="455"/>
      <c r="E74" s="455"/>
      <c r="F74" s="427" t="s">
        <v>2211</v>
      </c>
      <c r="G74" s="427" t="s">
        <v>1456</v>
      </c>
      <c r="H74" s="427" t="s">
        <v>1456</v>
      </c>
      <c r="I74" s="455" t="s">
        <v>2200</v>
      </c>
      <c r="J74" s="455"/>
      <c r="K74" s="455" t="s">
        <v>1456</v>
      </c>
      <c r="L74" s="455" t="s">
        <v>1456</v>
      </c>
      <c r="M74" s="427"/>
      <c r="N74" s="427"/>
      <c r="O74" s="427"/>
      <c r="P74" s="427"/>
      <c r="Q74" s="427"/>
      <c r="R74" s="429"/>
      <c r="S74">
        <f t="shared" si="17"/>
        <v>16</v>
      </c>
    </row>
    <row r="75" spans="1:21" x14ac:dyDescent="0.35">
      <c r="A75">
        <f t="shared" si="16"/>
        <v>17</v>
      </c>
      <c r="B75" s="123" t="str">
        <f t="shared" si="18"/>
        <v>Small FPV drones &lt;25km</v>
      </c>
      <c r="C75" t="s">
        <v>2212</v>
      </c>
      <c r="D75" s="455"/>
      <c r="E75" s="455"/>
      <c r="F75" s="427" t="s">
        <v>1456</v>
      </c>
      <c r="G75" s="427" t="s">
        <v>1456</v>
      </c>
      <c r="H75" s="427" t="s">
        <v>2202</v>
      </c>
      <c r="I75" s="574" t="s">
        <v>88</v>
      </c>
      <c r="J75" s="574"/>
      <c r="K75" s="455" t="s">
        <v>1456</v>
      </c>
      <c r="L75" s="455" t="s">
        <v>1456</v>
      </c>
      <c r="M75" s="427"/>
      <c r="N75" s="427"/>
      <c r="O75" s="427"/>
      <c r="P75" s="427"/>
      <c r="Q75" s="427"/>
      <c r="R75" s="429"/>
      <c r="S75">
        <f t="shared" si="17"/>
        <v>17</v>
      </c>
    </row>
    <row r="76" spans="1:21" x14ac:dyDescent="0.35">
      <c r="A76">
        <f t="shared" si="16"/>
        <v>18</v>
      </c>
      <c r="B76" s="123"/>
      <c r="C76" s="455"/>
      <c r="D76" s="455"/>
      <c r="E76" s="455"/>
      <c r="F76" s="427"/>
      <c r="G76" s="427"/>
      <c r="H76" s="427"/>
      <c r="I76" s="455"/>
      <c r="J76" s="455"/>
      <c r="K76" s="455"/>
      <c r="L76" s="427"/>
      <c r="M76" s="427"/>
      <c r="N76" s="427"/>
      <c r="O76" s="427"/>
      <c r="P76" s="427"/>
      <c r="Q76" s="427"/>
      <c r="R76" s="429"/>
      <c r="S76">
        <f t="shared" si="17"/>
        <v>18</v>
      </c>
    </row>
    <row r="77" spans="1:21" x14ac:dyDescent="0.35">
      <c r="A77">
        <f t="shared" si="16"/>
        <v>19</v>
      </c>
      <c r="B77" s="189" t="str">
        <f>B27</f>
        <v>Israeli use of weapons in Israeli war: 7 Oct, 2023-</v>
      </c>
      <c r="C77" s="576"/>
      <c r="D77" s="576"/>
      <c r="E77" s="576"/>
      <c r="F77" s="576"/>
      <c r="G77" s="576"/>
      <c r="H77" s="576"/>
      <c r="I77" s="576"/>
      <c r="J77" s="576"/>
      <c r="K77" s="576"/>
      <c r="L77" s="576"/>
      <c r="M77" s="576"/>
      <c r="N77" s="576"/>
      <c r="O77" s="576"/>
      <c r="P77" s="576"/>
      <c r="Q77" s="576"/>
      <c r="R77" s="693"/>
      <c r="S77">
        <f t="shared" si="17"/>
        <v>19</v>
      </c>
    </row>
    <row r="78" spans="1:21" x14ac:dyDescent="0.35">
      <c r="A78">
        <f t="shared" si="16"/>
        <v>20</v>
      </c>
      <c r="B78" s="123" t="str">
        <f>B28</f>
        <v>Israeli airstrikes to date: Ends Jan 2024</v>
      </c>
      <c r="C78" s="455" t="s">
        <v>34</v>
      </c>
      <c r="D78" s="455"/>
      <c r="E78" s="455" t="s">
        <v>2139</v>
      </c>
      <c r="F78" s="455" t="s">
        <v>1456</v>
      </c>
      <c r="G78" s="455" t="s">
        <v>1456</v>
      </c>
      <c r="H78" s="455" t="s">
        <v>1456</v>
      </c>
      <c r="I78" s="455" t="s">
        <v>2481</v>
      </c>
      <c r="J78" s="455"/>
      <c r="K78" s="455" t="s">
        <v>1456</v>
      </c>
      <c r="L78" s="455" t="s">
        <v>1456</v>
      </c>
      <c r="M78" s="427" t="s">
        <v>34</v>
      </c>
      <c r="N78" s="427" t="s">
        <v>34</v>
      </c>
      <c r="O78" s="427" t="s">
        <v>34</v>
      </c>
      <c r="R78" s="645"/>
      <c r="S78">
        <f t="shared" si="17"/>
        <v>20</v>
      </c>
      <c r="U78" s="556" t="s">
        <v>2139</v>
      </c>
    </row>
    <row r="79" spans="1:21" x14ac:dyDescent="0.35">
      <c r="A79">
        <f t="shared" si="16"/>
        <v>21</v>
      </c>
      <c r="B79" s="123" t="str">
        <f>B29</f>
        <v xml:space="preserve"> - Implied air sorties assuming 2 strikes per sortie</v>
      </c>
      <c r="C79" s="455" t="s">
        <v>34</v>
      </c>
      <c r="D79" s="455"/>
      <c r="E79" s="455" t="s">
        <v>2151</v>
      </c>
      <c r="F79" s="455" t="s">
        <v>1456</v>
      </c>
      <c r="G79" s="455" t="s">
        <v>1456</v>
      </c>
      <c r="H79" s="455" t="s">
        <v>1456</v>
      </c>
      <c r="I79" s="455" t="s">
        <v>2143</v>
      </c>
      <c r="J79" s="455"/>
      <c r="K79" s="455" t="s">
        <v>1456</v>
      </c>
      <c r="L79" s="455" t="s">
        <v>1456</v>
      </c>
      <c r="M79" s="427" t="s">
        <v>34</v>
      </c>
      <c r="N79" s="427" t="s">
        <v>34</v>
      </c>
      <c r="O79" s="427" t="s">
        <v>34</v>
      </c>
      <c r="P79" s="455"/>
      <c r="Q79" s="455"/>
      <c r="R79" s="645"/>
      <c r="S79">
        <f t="shared" si="17"/>
        <v>21</v>
      </c>
    </row>
    <row r="80" spans="1:21" x14ac:dyDescent="0.35">
      <c r="A80">
        <f t="shared" si="16"/>
        <v>22</v>
      </c>
      <c r="B80" s="123" t="str">
        <f>B30</f>
        <v>Israeli air strikes on Iran, Oct, 2024, 100 air sorties</v>
      </c>
      <c r="C80" s="4" t="s">
        <v>2477</v>
      </c>
      <c r="D80" s="455"/>
      <c r="E80" s="455"/>
      <c r="F80" s="455"/>
      <c r="G80" s="455"/>
      <c r="H80" s="455"/>
      <c r="I80" s="455" t="s">
        <v>2484</v>
      </c>
      <c r="J80" s="455"/>
      <c r="K80" s="455"/>
      <c r="L80" s="455"/>
      <c r="M80" s="427"/>
      <c r="N80" s="427"/>
      <c r="O80" s="427"/>
      <c r="P80" s="455"/>
      <c r="Q80" s="455"/>
      <c r="R80" s="645"/>
      <c r="S80">
        <f t="shared" si="17"/>
        <v>22</v>
      </c>
    </row>
    <row r="81" spans="1:22" x14ac:dyDescent="0.35">
      <c r="A81">
        <f t="shared" si="16"/>
        <v>23</v>
      </c>
      <c r="B81" s="123"/>
      <c r="C81" s="455"/>
      <c r="D81" s="455"/>
      <c r="E81" s="455"/>
      <c r="F81" s="455"/>
      <c r="G81" s="455"/>
      <c r="H81" s="455"/>
      <c r="I81" s="455"/>
      <c r="J81" s="455"/>
      <c r="K81" s="455"/>
      <c r="L81" s="455"/>
      <c r="M81" s="427"/>
      <c r="N81" s="427"/>
      <c r="O81" s="427"/>
      <c r="P81" s="455"/>
      <c r="Q81" s="455"/>
      <c r="R81" s="645"/>
      <c r="S81">
        <f t="shared" si="17"/>
        <v>23</v>
      </c>
    </row>
    <row r="82" spans="1:22" x14ac:dyDescent="0.35">
      <c r="A82">
        <f t="shared" si="16"/>
        <v>24</v>
      </c>
      <c r="B82" s="123"/>
      <c r="C82" s="455"/>
      <c r="D82" s="455"/>
      <c r="E82" s="455"/>
      <c r="F82" s="455"/>
      <c r="G82" s="455"/>
      <c r="H82" s="455"/>
      <c r="I82" s="455"/>
      <c r="J82" s="455"/>
      <c r="K82" s="455"/>
      <c r="L82" s="455"/>
      <c r="M82" s="427"/>
      <c r="N82" s="427"/>
      <c r="O82" s="427"/>
      <c r="P82" s="455"/>
      <c r="Q82" s="455"/>
      <c r="R82" s="645"/>
      <c r="S82">
        <f t="shared" si="17"/>
        <v>24</v>
      </c>
    </row>
    <row r="83" spans="1:22" x14ac:dyDescent="0.35">
      <c r="A83">
        <f t="shared" si="16"/>
        <v>25</v>
      </c>
      <c r="B83" s="189" t="str">
        <f>B33</f>
        <v>Iran weapons use on Israel</v>
      </c>
      <c r="C83" s="576"/>
      <c r="D83" s="576"/>
      <c r="E83" s="576"/>
      <c r="F83" s="576"/>
      <c r="G83" s="576"/>
      <c r="H83" s="576"/>
      <c r="I83" s="576"/>
      <c r="J83" s="576"/>
      <c r="K83" s="576"/>
      <c r="L83" s="576"/>
      <c r="M83" s="576"/>
      <c r="N83" s="576"/>
      <c r="O83" s="576"/>
      <c r="P83" s="576"/>
      <c r="Q83" s="576"/>
      <c r="R83" s="693"/>
      <c r="S83">
        <f t="shared" si="17"/>
        <v>25</v>
      </c>
    </row>
    <row r="84" spans="1:22" x14ac:dyDescent="0.35">
      <c r="A84">
        <f t="shared" si="16"/>
        <v>26</v>
      </c>
      <c r="B84" s="123" t="str">
        <f>B34</f>
        <v>Rocket attacks on Israel from Iran: Ends Oct7 2024</v>
      </c>
      <c r="C84" s="455" t="s">
        <v>34</v>
      </c>
      <c r="D84" s="455"/>
      <c r="E84" s="455" t="s">
        <v>2125</v>
      </c>
      <c r="F84" s="455"/>
      <c r="G84" s="455"/>
      <c r="H84" s="455"/>
      <c r="I84" s="455" t="s">
        <v>2128</v>
      </c>
      <c r="J84" s="455"/>
      <c r="K84" s="455" t="s">
        <v>1456</v>
      </c>
      <c r="L84" s="455" t="s">
        <v>1456</v>
      </c>
      <c r="M84" s="427" t="s">
        <v>34</v>
      </c>
      <c r="N84" s="427" t="s">
        <v>34</v>
      </c>
      <c r="O84" s="427" t="s">
        <v>34</v>
      </c>
      <c r="P84" s="455" t="s">
        <v>2125</v>
      </c>
      <c r="Q84" s="455"/>
      <c r="R84" s="645"/>
      <c r="S84">
        <f t="shared" si="17"/>
        <v>26</v>
      </c>
    </row>
    <row r="85" spans="1:22" x14ac:dyDescent="0.35">
      <c r="A85">
        <f t="shared" si="16"/>
        <v>27</v>
      </c>
      <c r="B85" s="123" t="str">
        <f>B35</f>
        <v>Iran ballistic missile attack on Israel, Oct, 2024</v>
      </c>
      <c r="C85" s="455"/>
      <c r="D85" s="455"/>
      <c r="E85" s="455"/>
      <c r="F85" s="455"/>
      <c r="G85" s="455"/>
      <c r="H85" s="455"/>
      <c r="I85" s="455"/>
      <c r="J85" s="455"/>
      <c r="K85" s="455"/>
      <c r="L85" s="455"/>
      <c r="M85" s="455"/>
      <c r="N85" s="455"/>
      <c r="O85" s="455"/>
      <c r="P85" s="455"/>
      <c r="Q85" s="455"/>
      <c r="R85" s="645"/>
      <c r="S85">
        <f t="shared" si="17"/>
        <v>27</v>
      </c>
    </row>
    <row r="86" spans="1:22" x14ac:dyDescent="0.35">
      <c r="A86">
        <f t="shared" si="16"/>
        <v>28</v>
      </c>
      <c r="B86" s="123"/>
      <c r="C86" s="455"/>
      <c r="D86" s="455"/>
      <c r="E86" s="455"/>
      <c r="F86" s="455"/>
      <c r="G86" s="455"/>
      <c r="H86" s="455"/>
      <c r="I86" s="455"/>
      <c r="J86" s="455"/>
      <c r="K86" s="455"/>
      <c r="L86" s="455"/>
      <c r="M86" s="455"/>
      <c r="N86" s="455"/>
      <c r="O86" s="455"/>
      <c r="P86" s="455"/>
      <c r="Q86" s="455"/>
      <c r="R86" s="645"/>
      <c r="S86">
        <f t="shared" si="17"/>
        <v>28</v>
      </c>
    </row>
    <row r="87" spans="1:22" x14ac:dyDescent="0.35">
      <c r="A87">
        <f t="shared" si="16"/>
        <v>29</v>
      </c>
      <c r="B87" s="123"/>
      <c r="C87" s="455"/>
      <c r="D87" s="455"/>
      <c r="E87" s="455"/>
      <c r="F87" s="455"/>
      <c r="G87" s="455"/>
      <c r="H87" s="455"/>
      <c r="I87" s="455"/>
      <c r="J87" s="455"/>
      <c r="K87" s="455"/>
      <c r="L87" s="455"/>
      <c r="M87" s="455"/>
      <c r="N87" s="455"/>
      <c r="O87" s="455"/>
      <c r="P87" s="455"/>
      <c r="Q87" s="455"/>
      <c r="R87" s="645"/>
      <c r="S87">
        <f t="shared" si="17"/>
        <v>29</v>
      </c>
    </row>
    <row r="88" spans="1:22" x14ac:dyDescent="0.35">
      <c r="A88">
        <f t="shared" si="16"/>
        <v>30</v>
      </c>
      <c r="B88" s="189" t="str">
        <f>B38</f>
        <v>Syria weapons use on Israel</v>
      </c>
      <c r="C88" s="576"/>
      <c r="D88" s="576"/>
      <c r="E88" s="576"/>
      <c r="F88" s="576"/>
      <c r="G88" s="576"/>
      <c r="H88" s="576"/>
      <c r="I88" s="576"/>
      <c r="J88" s="576"/>
      <c r="K88" s="576"/>
      <c r="L88" s="576"/>
      <c r="M88" s="576"/>
      <c r="N88" s="576"/>
      <c r="O88" s="576"/>
      <c r="P88" s="576"/>
      <c r="Q88" s="576"/>
      <c r="R88" s="693"/>
      <c r="S88">
        <f t="shared" si="17"/>
        <v>30</v>
      </c>
    </row>
    <row r="89" spans="1:22" x14ac:dyDescent="0.35">
      <c r="A89">
        <f t="shared" si="16"/>
        <v>31</v>
      </c>
      <c r="B89" s="123" t="str">
        <f>B39</f>
        <v>Rocket attacks on Israel from Syria: Ends Oct7 2024</v>
      </c>
      <c r="C89" s="455" t="s">
        <v>34</v>
      </c>
      <c r="D89" s="455"/>
      <c r="E89" s="455" t="s">
        <v>2125</v>
      </c>
      <c r="F89" s="455"/>
      <c r="G89" s="455"/>
      <c r="H89" s="455"/>
      <c r="I89" s="455" t="s">
        <v>2128</v>
      </c>
      <c r="J89" s="455"/>
      <c r="K89" s="455" t="s">
        <v>1456</v>
      </c>
      <c r="L89" s="455" t="s">
        <v>1456</v>
      </c>
      <c r="M89" s="427" t="s">
        <v>34</v>
      </c>
      <c r="N89" s="427" t="s">
        <v>34</v>
      </c>
      <c r="O89" s="427" t="s">
        <v>34</v>
      </c>
      <c r="P89" s="455" t="s">
        <v>2125</v>
      </c>
      <c r="Q89" s="455"/>
      <c r="R89" s="645"/>
      <c r="S89">
        <f t="shared" si="17"/>
        <v>31</v>
      </c>
    </row>
    <row r="90" spans="1:22" x14ac:dyDescent="0.35">
      <c r="A90">
        <f t="shared" si="16"/>
        <v>32</v>
      </c>
      <c r="B90" s="123"/>
      <c r="C90" s="455"/>
      <c r="D90" s="455"/>
      <c r="E90" s="455"/>
      <c r="F90" s="455"/>
      <c r="G90" s="455"/>
      <c r="H90" s="455"/>
      <c r="I90" s="455"/>
      <c r="J90" s="455"/>
      <c r="K90" s="455"/>
      <c r="L90" s="455"/>
      <c r="M90" s="455"/>
      <c r="N90" s="455"/>
      <c r="O90" s="455"/>
      <c r="P90" s="455"/>
      <c r="Q90" s="455"/>
      <c r="R90" s="645"/>
      <c r="S90">
        <f t="shared" si="17"/>
        <v>32</v>
      </c>
    </row>
    <row r="91" spans="1:22" x14ac:dyDescent="0.35">
      <c r="A91">
        <f t="shared" si="16"/>
        <v>33</v>
      </c>
      <c r="B91" s="189" t="str">
        <f>B41</f>
        <v>Hamas weapons use on Israel</v>
      </c>
      <c r="C91" s="576"/>
      <c r="D91" s="576"/>
      <c r="E91" s="576"/>
      <c r="F91" s="576"/>
      <c r="G91" s="576"/>
      <c r="H91" s="576"/>
      <c r="I91" s="576"/>
      <c r="J91" s="576"/>
      <c r="K91" s="576"/>
      <c r="L91" s="576"/>
      <c r="M91" s="576"/>
      <c r="N91" s="576"/>
      <c r="O91" s="576"/>
      <c r="P91" s="576"/>
      <c r="Q91" s="576"/>
      <c r="R91" s="693"/>
      <c r="S91">
        <f t="shared" si="17"/>
        <v>33</v>
      </c>
    </row>
    <row r="92" spans="1:22" x14ac:dyDescent="0.35">
      <c r="A92">
        <f t="shared" si="16"/>
        <v>34</v>
      </c>
      <c r="B92" s="123" t="str">
        <f>B42</f>
        <v>Rocket attacks on Israel from Gaza: Ends Oct7 2024</v>
      </c>
      <c r="C92" s="455" t="s">
        <v>34</v>
      </c>
      <c r="D92" s="455"/>
      <c r="E92" s="455" t="s">
        <v>2125</v>
      </c>
      <c r="F92" s="455" t="s">
        <v>1456</v>
      </c>
      <c r="G92" s="455" t="s">
        <v>1456</v>
      </c>
      <c r="H92" s="455" t="s">
        <v>1456</v>
      </c>
      <c r="I92" s="455" t="s">
        <v>2128</v>
      </c>
      <c r="J92" s="455"/>
      <c r="K92" s="455" t="s">
        <v>1456</v>
      </c>
      <c r="L92" s="455" t="s">
        <v>1456</v>
      </c>
      <c r="M92" s="427" t="s">
        <v>34</v>
      </c>
      <c r="N92" s="427" t="s">
        <v>34</v>
      </c>
      <c r="O92" s="427" t="s">
        <v>34</v>
      </c>
      <c r="P92" s="455" t="s">
        <v>2125</v>
      </c>
      <c r="Q92" s="455"/>
      <c r="R92" s="645"/>
      <c r="S92">
        <f t="shared" si="17"/>
        <v>34</v>
      </c>
      <c r="U92" t="s">
        <v>2126</v>
      </c>
      <c r="V92" t="s">
        <v>2127</v>
      </c>
    </row>
    <row r="93" spans="1:22" x14ac:dyDescent="0.35">
      <c r="A93">
        <f t="shared" si="16"/>
        <v>35</v>
      </c>
      <c r="B93" s="123"/>
      <c r="C93" s="455"/>
      <c r="D93" s="455"/>
      <c r="E93" s="455"/>
      <c r="F93" s="455"/>
      <c r="G93" s="455"/>
      <c r="H93" s="455"/>
      <c r="I93" s="455"/>
      <c r="J93" s="455"/>
      <c r="K93" s="455"/>
      <c r="L93" s="455"/>
      <c r="M93" s="455"/>
      <c r="N93" s="455"/>
      <c r="O93" s="455"/>
      <c r="P93" s="455"/>
      <c r="Q93" s="455"/>
      <c r="R93" s="645"/>
      <c r="S93">
        <f t="shared" si="17"/>
        <v>35</v>
      </c>
    </row>
    <row r="94" spans="1:22" x14ac:dyDescent="0.35">
      <c r="A94">
        <f t="shared" si="16"/>
        <v>36</v>
      </c>
      <c r="B94" s="189" t="str">
        <f>B44</f>
        <v>Hizbollah weapons use on Israel</v>
      </c>
      <c r="C94" s="692"/>
      <c r="D94" s="692"/>
      <c r="E94" s="692"/>
      <c r="F94" s="692"/>
      <c r="G94" s="692"/>
      <c r="H94" s="692"/>
      <c r="I94" s="692"/>
      <c r="J94" s="692"/>
      <c r="K94" s="692"/>
      <c r="L94" s="692"/>
      <c r="M94" s="692"/>
      <c r="N94" s="692"/>
      <c r="O94" s="692"/>
      <c r="P94" s="692"/>
      <c r="Q94" s="692"/>
      <c r="R94" s="694"/>
      <c r="S94">
        <f t="shared" si="17"/>
        <v>36</v>
      </c>
    </row>
    <row r="95" spans="1:22" x14ac:dyDescent="0.35">
      <c r="A95">
        <f t="shared" si="16"/>
        <v>37</v>
      </c>
      <c r="B95" s="123" t="str">
        <f>B45</f>
        <v>Rocket attacks on Israel from Lebanon: Ends Oct7 2024</v>
      </c>
      <c r="C95" s="455"/>
      <c r="D95" s="455"/>
      <c r="E95" s="455" t="s">
        <v>2125</v>
      </c>
      <c r="F95" s="455"/>
      <c r="G95" s="455"/>
      <c r="H95" s="455"/>
      <c r="I95" s="455" t="s">
        <v>2135</v>
      </c>
      <c r="J95" s="455"/>
      <c r="K95" s="455" t="s">
        <v>1456</v>
      </c>
      <c r="L95" s="455" t="s">
        <v>1456</v>
      </c>
      <c r="M95" s="427" t="s">
        <v>34</v>
      </c>
      <c r="N95" s="427" t="s">
        <v>34</v>
      </c>
      <c r="O95" s="427" t="s">
        <v>34</v>
      </c>
      <c r="P95" s="455" t="s">
        <v>2125</v>
      </c>
      <c r="Q95" s="455"/>
      <c r="R95" s="645"/>
      <c r="S95">
        <f t="shared" si="17"/>
        <v>37</v>
      </c>
    </row>
    <row r="96" spans="1:22" x14ac:dyDescent="0.35">
      <c r="A96">
        <f t="shared" si="16"/>
        <v>38</v>
      </c>
      <c r="B96" s="123"/>
      <c r="C96" s="455"/>
      <c r="D96" s="455"/>
      <c r="E96" s="455"/>
      <c r="F96" s="455"/>
      <c r="G96" s="455"/>
      <c r="H96" s="455"/>
      <c r="I96" s="455"/>
      <c r="J96" s="455"/>
      <c r="K96" s="455"/>
      <c r="L96" s="455"/>
      <c r="M96" s="455"/>
      <c r="N96" s="455"/>
      <c r="O96" s="455"/>
      <c r="P96" s="455"/>
      <c r="Q96" s="455"/>
      <c r="R96" s="645"/>
      <c r="S96">
        <f t="shared" si="17"/>
        <v>38</v>
      </c>
    </row>
    <row r="97" spans="1:19" x14ac:dyDescent="0.35">
      <c r="A97">
        <f t="shared" si="16"/>
        <v>39</v>
      </c>
      <c r="B97" s="189" t="str">
        <f>B47</f>
        <v>Yemen Houthis weapons use on Israel</v>
      </c>
      <c r="C97" s="576"/>
      <c r="D97" s="576"/>
      <c r="E97" s="576"/>
      <c r="F97" s="576"/>
      <c r="G97" s="576"/>
      <c r="H97" s="576"/>
      <c r="I97" s="576"/>
      <c r="J97" s="576"/>
      <c r="K97" s="576"/>
      <c r="L97" s="576"/>
      <c r="M97" s="576"/>
      <c r="N97" s="576"/>
      <c r="O97" s="576"/>
      <c r="P97" s="576"/>
      <c r="Q97" s="576"/>
      <c r="R97" s="693"/>
      <c r="S97">
        <f t="shared" si="17"/>
        <v>39</v>
      </c>
    </row>
    <row r="98" spans="1:19" x14ac:dyDescent="0.35">
      <c r="A98">
        <f t="shared" si="16"/>
        <v>40</v>
      </c>
      <c r="B98" s="123" t="str">
        <f>B48</f>
        <v>Rocket attacks on Israel from Yemen: Ends Oct7 2024</v>
      </c>
      <c r="C98" s="455" t="s">
        <v>34</v>
      </c>
      <c r="D98" s="455"/>
      <c r="E98" s="455" t="s">
        <v>2125</v>
      </c>
      <c r="F98" s="455"/>
      <c r="G98" s="455"/>
      <c r="H98" s="455"/>
      <c r="I98" s="455" t="s">
        <v>2128</v>
      </c>
      <c r="J98" s="455"/>
      <c r="K98" s="455" t="s">
        <v>1456</v>
      </c>
      <c r="L98" s="455" t="s">
        <v>1456</v>
      </c>
      <c r="M98" s="427" t="s">
        <v>34</v>
      </c>
      <c r="N98" s="427" t="s">
        <v>34</v>
      </c>
      <c r="O98" s="427" t="s">
        <v>34</v>
      </c>
      <c r="P98" s="455" t="s">
        <v>2125</v>
      </c>
      <c r="Q98" s="455"/>
      <c r="R98" s="645"/>
      <c r="S98">
        <f t="shared" si="17"/>
        <v>40</v>
      </c>
    </row>
    <row r="99" spans="1:19" x14ac:dyDescent="0.35">
      <c r="A99">
        <f t="shared" si="16"/>
        <v>41</v>
      </c>
      <c r="B99" s="123"/>
      <c r="C99" s="455"/>
      <c r="D99" s="455"/>
      <c r="E99" s="455"/>
      <c r="F99" s="455"/>
      <c r="G99" s="455"/>
      <c r="H99" s="455"/>
      <c r="I99" s="455"/>
      <c r="J99" s="455"/>
      <c r="K99" s="455"/>
      <c r="L99" s="455"/>
      <c r="M99" s="455"/>
      <c r="N99" s="455"/>
      <c r="O99" s="455"/>
      <c r="P99" s="455"/>
      <c r="Q99" s="455"/>
      <c r="R99" s="645"/>
      <c r="S99">
        <f t="shared" si="17"/>
        <v>41</v>
      </c>
    </row>
    <row r="100" spans="1:19" ht="15" thickBot="1" x14ac:dyDescent="0.4">
      <c r="A100">
        <f t="shared" si="16"/>
        <v>42</v>
      </c>
      <c r="B100" s="112"/>
      <c r="C100" s="579"/>
      <c r="D100" s="579"/>
      <c r="E100" s="579"/>
      <c r="F100" s="579"/>
      <c r="G100" s="579"/>
      <c r="H100" s="579"/>
      <c r="I100" s="579"/>
      <c r="J100" s="579"/>
      <c r="K100" s="579"/>
      <c r="L100" s="579"/>
      <c r="M100" s="579"/>
      <c r="N100" s="579"/>
      <c r="O100" s="579"/>
      <c r="P100" s="579"/>
      <c r="Q100" s="579"/>
      <c r="R100" s="695"/>
      <c r="S100">
        <f t="shared" si="17"/>
        <v>42</v>
      </c>
    </row>
    <row r="101" spans="1:19" ht="15" thickTop="1" x14ac:dyDescent="0.35"/>
  </sheetData>
  <phoneticPr fontId="8" type="noConversion"/>
  <hyperlinks>
    <hyperlink ref="U78" r:id="rId1" xr:uid="{21370E91-F6FD-4C2A-82E6-FEA6C26F4AD7}"/>
    <hyperlink ref="T30" r:id="rId2" xr:uid="{BB6825E4-712F-42B5-9A34-16DD80C68ECE}"/>
    <hyperlink ref="T35" r:id="rId3" xr:uid="{D77A79FF-CDE4-4E21-A9D3-02B1541A65AC}"/>
    <hyperlink ref="C80" r:id="rId4" xr:uid="{71C2C516-22D3-49AA-BDF1-07B7C1764C4D}"/>
    <hyperlink ref="T27" r:id="rId5" xr:uid="{EBD43A5A-5D67-482B-A1E7-AAC1039CAB7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3BBAF-3064-4DD8-9CF4-FDED4D7F86F2}">
  <dimension ref="A1:AC126"/>
  <sheetViews>
    <sheetView zoomScale="120" zoomScaleNormal="120" workbookViewId="0">
      <pane xSplit="2" ySplit="9" topLeftCell="C10" activePane="bottomRight" state="frozen"/>
      <selection pane="topRight" activeCell="C1" sqref="C1"/>
      <selection pane="bottomLeft" activeCell="A10" sqref="A10"/>
      <selection pane="bottomRight" activeCell="B16" sqref="B16"/>
    </sheetView>
  </sheetViews>
  <sheetFormatPr defaultRowHeight="14.5" x14ac:dyDescent="0.35"/>
  <cols>
    <col min="1" max="1" width="5.36328125" customWidth="1"/>
    <col min="2" max="2" width="37.90625" customWidth="1"/>
    <col min="3" max="3" width="10.36328125" customWidth="1"/>
    <col min="4" max="4" width="10" customWidth="1"/>
    <col min="5" max="5" width="8.81640625" customWidth="1"/>
    <col min="6" max="6" width="7.26953125" customWidth="1"/>
    <col min="7" max="7" width="8.08984375" customWidth="1"/>
    <col min="8" max="8" width="9.36328125" customWidth="1"/>
    <col min="9" max="9" width="8.08984375" customWidth="1"/>
    <col min="10" max="11" width="7.81640625" customWidth="1"/>
    <col min="12" max="12" width="8.08984375" customWidth="1"/>
    <col min="13" max="13" width="14.36328125" customWidth="1"/>
    <col min="14" max="14" width="13.36328125" customWidth="1"/>
    <col min="16" max="16" width="11.81640625" customWidth="1"/>
    <col min="17" max="17" width="7.7265625" customWidth="1"/>
    <col min="18" max="18" width="7.453125" customWidth="1"/>
    <col min="19" max="19" width="10.453125" customWidth="1"/>
    <col min="20" max="20" width="10.36328125" customWidth="1"/>
    <col min="21" max="21" width="9.90625" customWidth="1"/>
    <col min="22" max="22" width="13" customWidth="1"/>
    <col min="23" max="23" width="11.81640625" customWidth="1"/>
    <col min="24" max="24" width="10.6328125" customWidth="1"/>
    <col min="25" max="25" width="12.81640625" customWidth="1"/>
    <col min="26" max="26" width="4.6328125" customWidth="1"/>
    <col min="27" max="27" width="7" customWidth="1"/>
    <col min="28" max="28" width="5.90625" customWidth="1"/>
    <col min="29" max="29" width="5.26953125" customWidth="1"/>
  </cols>
  <sheetData>
    <row r="1" spans="1:29" ht="28.5" x14ac:dyDescent="0.65">
      <c r="A1" s="1" t="str">
        <f>UkrAid24jan2022ToOct312023!A1</f>
        <v>AQ Islamists advance to Hama, Putin replaces his top Syrian general &amp; much more #69/96</v>
      </c>
      <c r="P1" s="159">
        <v>1000000</v>
      </c>
      <c r="Q1" s="797">
        <v>6</v>
      </c>
      <c r="R1" s="797"/>
      <c r="S1" t="s">
        <v>2724</v>
      </c>
    </row>
    <row r="2" spans="1:29" x14ac:dyDescent="0.35">
      <c r="A2" s="434" t="str">
        <f>UkrAid24jan2022ToOct312023!$A$2</f>
        <v>Proprietary. © H. Mathiesen. This material can be used by others free of charge provided that the author H. Mathiesen is attributed and a clickable link is made visible to the location of used material on www.hmexperience.dk</v>
      </c>
      <c r="Q2">
        <v>12</v>
      </c>
      <c r="S2" t="s">
        <v>2724</v>
      </c>
    </row>
    <row r="3" spans="1:29" x14ac:dyDescent="0.35">
      <c r="A3" s="456" t="str">
        <f>UkrAid24jan2022ToOct312023!A3</f>
        <v>Links to all sources are available in sources table below</v>
      </c>
      <c r="B3" s="458"/>
      <c r="G3" s="796">
        <v>100</v>
      </c>
      <c r="H3" s="796" t="s">
        <v>2722</v>
      </c>
      <c r="K3" s="796"/>
      <c r="L3" s="796"/>
      <c r="M3" s="796"/>
      <c r="N3" s="796"/>
      <c r="O3" s="796"/>
      <c r="P3" s="796"/>
      <c r="Q3">
        <v>24</v>
      </c>
      <c r="S3" t="s">
        <v>2723</v>
      </c>
      <c r="Z3" s="796"/>
    </row>
    <row r="4" spans="1:29" x14ac:dyDescent="0.35">
      <c r="A4" t="s">
        <v>2771</v>
      </c>
      <c r="G4" s="796">
        <v>100</v>
      </c>
      <c r="H4" s="796" t="s">
        <v>2229</v>
      </c>
      <c r="K4" s="796"/>
      <c r="L4" s="796"/>
      <c r="M4" s="796"/>
      <c r="N4" s="796"/>
      <c r="O4" s="796"/>
      <c r="P4" s="796"/>
      <c r="Q4">
        <v>48</v>
      </c>
      <c r="S4" t="s">
        <v>2721</v>
      </c>
      <c r="T4" s="796"/>
      <c r="U4" s="796"/>
      <c r="AA4" t="s">
        <v>2071</v>
      </c>
      <c r="AB4" t="s">
        <v>1155</v>
      </c>
      <c r="AC4" t="s">
        <v>1375</v>
      </c>
    </row>
    <row r="5" spans="1:29" ht="24" thickBot="1" x14ac:dyDescent="0.6">
      <c r="B5" s="435" t="s">
        <v>2742</v>
      </c>
      <c r="C5" s="435"/>
      <c r="D5" s="435"/>
      <c r="E5" s="435"/>
      <c r="F5" s="435"/>
      <c r="G5" s="435"/>
      <c r="H5" s="435"/>
      <c r="I5" s="435"/>
      <c r="J5" s="435"/>
      <c r="K5" s="435"/>
      <c r="L5" s="435"/>
      <c r="M5" s="435"/>
      <c r="N5" s="435"/>
      <c r="O5" s="435"/>
      <c r="P5" s="263"/>
      <c r="Q5" s="263"/>
      <c r="R5" s="263"/>
      <c r="S5" s="263"/>
      <c r="T5" s="263"/>
      <c r="U5" s="263"/>
      <c r="V5" s="263"/>
      <c r="W5" s="263"/>
      <c r="X5" s="263"/>
      <c r="Y5" s="263"/>
      <c r="Z5" s="3"/>
      <c r="AA5" s="3"/>
    </row>
    <row r="6" spans="1:29" ht="15" thickTop="1" x14ac:dyDescent="0.35">
      <c r="B6" s="436" t="s">
        <v>1879</v>
      </c>
      <c r="C6" s="437" t="s">
        <v>1147</v>
      </c>
      <c r="D6" s="438" t="s">
        <v>2615</v>
      </c>
      <c r="E6" s="438" t="s">
        <v>183</v>
      </c>
      <c r="F6" s="438" t="s">
        <v>327</v>
      </c>
      <c r="G6" s="438" t="s">
        <v>1826</v>
      </c>
      <c r="H6" s="438" t="s">
        <v>2553</v>
      </c>
      <c r="I6" s="438" t="s">
        <v>1852</v>
      </c>
      <c r="J6" s="438" t="s">
        <v>345</v>
      </c>
      <c r="K6" s="438" t="s">
        <v>2586</v>
      </c>
      <c r="L6" s="438" t="s">
        <v>1825</v>
      </c>
      <c r="M6" s="438" t="s">
        <v>1828</v>
      </c>
      <c r="N6" s="438" t="s">
        <v>734</v>
      </c>
      <c r="O6" s="438" t="s">
        <v>1273</v>
      </c>
      <c r="P6" s="438" t="s">
        <v>2817</v>
      </c>
      <c r="Q6" s="438" t="s">
        <v>325</v>
      </c>
      <c r="R6" s="438" t="s">
        <v>2735</v>
      </c>
      <c r="S6" s="438" t="s">
        <v>1278</v>
      </c>
      <c r="T6" s="438" t="s">
        <v>1282</v>
      </c>
      <c r="U6" s="438" t="s">
        <v>1849</v>
      </c>
      <c r="V6" s="438" t="s">
        <v>1279</v>
      </c>
      <c r="W6" s="438" t="s">
        <v>2057</v>
      </c>
      <c r="X6" s="438" t="s">
        <v>1287</v>
      </c>
      <c r="Y6" s="558" t="s">
        <v>1284</v>
      </c>
      <c r="Z6" s="3"/>
      <c r="AA6" s="3"/>
    </row>
    <row r="7" spans="1:29" x14ac:dyDescent="0.35">
      <c r="B7" s="440" t="s">
        <v>2009</v>
      </c>
      <c r="C7" s="564" t="s">
        <v>1844</v>
      </c>
      <c r="D7" s="441" t="s">
        <v>2617</v>
      </c>
      <c r="E7" s="441" t="s">
        <v>1197</v>
      </c>
      <c r="F7" s="441" t="s">
        <v>2552</v>
      </c>
      <c r="G7" s="441" t="s">
        <v>1286</v>
      </c>
      <c r="H7" s="441" t="s">
        <v>2554</v>
      </c>
      <c r="I7" s="441" t="s">
        <v>1853</v>
      </c>
      <c r="J7" s="441" t="s">
        <v>2585</v>
      </c>
      <c r="K7" s="441" t="s">
        <v>2587</v>
      </c>
      <c r="L7" s="441" t="s">
        <v>1827</v>
      </c>
      <c r="M7" s="441" t="s">
        <v>1830</v>
      </c>
      <c r="N7" s="441" t="s">
        <v>733</v>
      </c>
      <c r="O7" s="441" t="s">
        <v>1274</v>
      </c>
      <c r="P7" s="441" t="s">
        <v>2816</v>
      </c>
      <c r="Q7" s="441" t="s">
        <v>1831</v>
      </c>
      <c r="R7" s="441" t="s">
        <v>2734</v>
      </c>
      <c r="S7" s="441" t="s">
        <v>1831</v>
      </c>
      <c r="T7" s="441" t="s">
        <v>1275</v>
      </c>
      <c r="U7" s="441" t="s">
        <v>1848</v>
      </c>
      <c r="V7" s="441" t="s">
        <v>1280</v>
      </c>
      <c r="W7" s="441" t="s">
        <v>2601</v>
      </c>
      <c r="X7" s="441" t="s">
        <v>1285</v>
      </c>
      <c r="Y7" s="559" t="s">
        <v>1285</v>
      </c>
      <c r="Z7" s="3"/>
      <c r="AA7" s="3"/>
    </row>
    <row r="8" spans="1:29" ht="15" thickBot="1" x14ac:dyDescent="0.4">
      <c r="B8" s="444" t="s">
        <v>1871</v>
      </c>
      <c r="C8" s="571" t="s">
        <v>1854</v>
      </c>
      <c r="D8" s="445" t="s">
        <v>2616</v>
      </c>
      <c r="E8" s="445" t="s">
        <v>2543</v>
      </c>
      <c r="F8" s="445" t="s">
        <v>2551</v>
      </c>
      <c r="G8" s="445" t="s">
        <v>174</v>
      </c>
      <c r="H8" s="445" t="s">
        <v>2557</v>
      </c>
      <c r="I8" s="445" t="s">
        <v>174</v>
      </c>
      <c r="J8" s="445"/>
      <c r="K8" s="445" t="s">
        <v>2588</v>
      </c>
      <c r="L8" s="445"/>
      <c r="M8" s="445" t="s">
        <v>1829</v>
      </c>
      <c r="N8" s="445" t="s">
        <v>1876</v>
      </c>
      <c r="O8" s="445" t="s">
        <v>1276</v>
      </c>
      <c r="P8" s="445" t="s">
        <v>731</v>
      </c>
      <c r="Q8" s="445" t="s">
        <v>1277</v>
      </c>
      <c r="R8" s="445" t="s">
        <v>1277</v>
      </c>
      <c r="S8" s="445" t="s">
        <v>1850</v>
      </c>
      <c r="T8" s="664"/>
      <c r="U8" s="664" t="s">
        <v>1286</v>
      </c>
      <c r="V8" s="445" t="s">
        <v>1281</v>
      </c>
      <c r="W8" s="445" t="s">
        <v>1286</v>
      </c>
      <c r="X8" s="445" t="s">
        <v>1286</v>
      </c>
      <c r="Y8" s="446" t="s">
        <v>1283</v>
      </c>
      <c r="Z8" s="3"/>
      <c r="AA8" s="3"/>
    </row>
    <row r="9" spans="1:29" ht="15.5" thickTop="1" thickBot="1" x14ac:dyDescent="0.4">
      <c r="B9" s="440" t="s">
        <v>2476</v>
      </c>
      <c r="C9" s="564"/>
      <c r="D9" s="441"/>
      <c r="E9" s="441"/>
      <c r="F9" s="441"/>
      <c r="G9" s="441"/>
      <c r="H9" s="441"/>
      <c r="I9" s="441"/>
      <c r="J9" s="441"/>
      <c r="K9" s="441"/>
      <c r="L9" s="441"/>
      <c r="M9" s="441"/>
      <c r="N9" s="441"/>
      <c r="O9" s="441"/>
      <c r="P9" s="812">
        <f>SUM(P43,P26,P10)</f>
        <v>13427.585714285715</v>
      </c>
      <c r="Q9" s="441"/>
      <c r="R9" s="441"/>
      <c r="S9" s="812">
        <f>SUM(S43,S26,S10)</f>
        <v>673.75773809523798</v>
      </c>
      <c r="T9" s="811"/>
      <c r="U9" s="811"/>
      <c r="V9" s="441"/>
      <c r="W9" s="441"/>
      <c r="X9" s="441"/>
      <c r="Y9" s="559"/>
      <c r="Z9" s="3"/>
      <c r="AA9" s="3"/>
    </row>
    <row r="10" spans="1:29" ht="15" thickTop="1" x14ac:dyDescent="0.35">
      <c r="A10">
        <v>1</v>
      </c>
      <c r="B10" s="233" t="s">
        <v>2772</v>
      </c>
      <c r="C10" s="231"/>
      <c r="D10" s="232"/>
      <c r="E10" s="232"/>
      <c r="F10" s="232"/>
      <c r="G10" s="232"/>
      <c r="H10" s="232"/>
      <c r="I10" s="232"/>
      <c r="J10" s="232"/>
      <c r="K10" s="232"/>
      <c r="L10" s="232"/>
      <c r="M10" s="671"/>
      <c r="N10" s="648"/>
      <c r="O10" s="711"/>
      <c r="P10" s="687">
        <f>SUM(P11:P23)</f>
        <v>3142.6</v>
      </c>
      <c r="Q10" s="711"/>
      <c r="R10" s="711"/>
      <c r="S10" s="687">
        <f>SUM(S11:S23)</f>
        <v>245.21666666666664</v>
      </c>
      <c r="T10" s="658"/>
      <c r="U10" s="658"/>
      <c r="V10" s="658"/>
      <c r="W10" s="658"/>
      <c r="X10" s="658"/>
      <c r="Y10" s="673"/>
      <c r="Z10">
        <v>1</v>
      </c>
    </row>
    <row r="11" spans="1:29" x14ac:dyDescent="0.35">
      <c r="A11" s="712">
        <f>A10+1</f>
        <v>2</v>
      </c>
      <c r="B11" s="123" t="s">
        <v>2340</v>
      </c>
      <c r="C11" s="432" t="s">
        <v>2679</v>
      </c>
      <c r="D11" s="42" t="str">
        <f>WeaponsSpecs!C105</f>
        <v>1998-2016</v>
      </c>
      <c r="E11" s="454" t="str">
        <f>WeaponsSpecs!N105</f>
        <v>450/120</v>
      </c>
      <c r="F11" s="172">
        <f>WeaponsSpecs!L105</f>
        <v>760</v>
      </c>
      <c r="G11" s="172">
        <f>WeaponsSpecs!K105</f>
        <v>370</v>
      </c>
      <c r="H11" s="172" t="str">
        <f>WeaponsSpecs!M105</f>
        <v>29M</v>
      </c>
      <c r="I11" s="172">
        <f>G11-G$4</f>
        <v>270</v>
      </c>
      <c r="J11" s="172">
        <f>WeaponsSpecs!O105</f>
        <v>7500</v>
      </c>
      <c r="K11" s="172">
        <f>WeaponsSpecs!Q105</f>
        <v>0</v>
      </c>
      <c r="L11" s="467" t="s">
        <v>2000</v>
      </c>
      <c r="M11" s="455" t="s">
        <v>2531</v>
      </c>
      <c r="N11" s="667">
        <f>WeaponsSpecs!D105</f>
        <v>689000</v>
      </c>
      <c r="O11" s="159">
        <v>1800</v>
      </c>
      <c r="P11" s="666">
        <f>N11*O11/P$1</f>
        <v>1240.2</v>
      </c>
      <c r="Q11" s="172">
        <f>O11/Q2</f>
        <v>150</v>
      </c>
      <c r="R11" s="172">
        <f>O11/Q11</f>
        <v>12</v>
      </c>
      <c r="S11" s="666">
        <f>(Q11/O11)*P11</f>
        <v>103.35</v>
      </c>
      <c r="T11" t="s">
        <v>1851</v>
      </c>
      <c r="U11" t="s">
        <v>2541</v>
      </c>
      <c r="V11" t="s">
        <v>2025</v>
      </c>
      <c r="W11" t="s">
        <v>2419</v>
      </c>
      <c r="X11" s="159" t="s">
        <v>2680</v>
      </c>
      <c r="Y11" s="167" t="s">
        <v>2536</v>
      </c>
      <c r="Z11">
        <f>Z10+1</f>
        <v>2</v>
      </c>
      <c r="AA11" s="4" t="s">
        <v>1270</v>
      </c>
    </row>
    <row r="12" spans="1:29" x14ac:dyDescent="0.35">
      <c r="A12">
        <f t="shared" ref="A12:A62" si="0">A11+1</f>
        <v>3</v>
      </c>
      <c r="B12" s="123" t="s">
        <v>2564</v>
      </c>
      <c r="C12" s="455" t="s">
        <v>2566</v>
      </c>
      <c r="D12" s="42" t="str">
        <f>WeaponsSpecs!C114</f>
        <v>1991-2023</v>
      </c>
      <c r="E12" s="172" t="str">
        <f>WeaponsSpecs!N114</f>
        <v>200</v>
      </c>
      <c r="F12" s="172">
        <f>WeaponsSpecs!L114</f>
        <v>3062</v>
      </c>
      <c r="G12" s="172">
        <f>WeaponsSpecs!K114</f>
        <v>300</v>
      </c>
      <c r="H12" s="172" t="str">
        <f>WeaponsSpecs!M114</f>
        <v>6M</v>
      </c>
      <c r="I12" s="172">
        <f>G12-G3</f>
        <v>200</v>
      </c>
      <c r="J12" s="172" t="str">
        <f>WeaponsSpecs!O114</f>
        <v>3,690</v>
      </c>
      <c r="K12" s="172">
        <f>WeaponsSpecs!Q114</f>
        <v>0</v>
      </c>
      <c r="L12" s="455" t="s">
        <v>2565</v>
      </c>
      <c r="M12" s="455" t="s">
        <v>2567</v>
      </c>
      <c r="N12" s="667">
        <f>WeaponsSpecs!D114</f>
        <v>1700000</v>
      </c>
      <c r="O12" s="172" t="s">
        <v>34</v>
      </c>
      <c r="P12" s="172" t="s">
        <v>34</v>
      </c>
      <c r="R12" s="172" t="s">
        <v>34</v>
      </c>
      <c r="S12" s="172" t="s">
        <v>34</v>
      </c>
      <c r="T12" s="427" t="s">
        <v>2715</v>
      </c>
      <c r="U12" s="455" t="s">
        <v>2706</v>
      </c>
      <c r="V12" s="455" t="s">
        <v>2681</v>
      </c>
      <c r="W12" s="455" t="s">
        <v>2568</v>
      </c>
      <c r="X12" s="427" t="s">
        <v>2569</v>
      </c>
      <c r="Y12" s="429" t="s">
        <v>2570</v>
      </c>
      <c r="Z12">
        <f t="shared" ref="Z12:Z62" si="1">Z11+1</f>
        <v>3</v>
      </c>
    </row>
    <row r="13" spans="1:29" x14ac:dyDescent="0.35">
      <c r="A13">
        <f t="shared" si="0"/>
        <v>4</v>
      </c>
      <c r="B13" s="123" t="s">
        <v>2575</v>
      </c>
      <c r="C13" t="s">
        <v>2574</v>
      </c>
      <c r="D13" s="42" t="str">
        <f>WeaponsSpecs!C100</f>
        <v>2003–</v>
      </c>
      <c r="E13" s="172" t="str">
        <f>WeaponsSpecs!$N$100</f>
        <v>450</v>
      </c>
      <c r="F13" s="159">
        <f>WeaponsSpecs!L100</f>
        <v>1130</v>
      </c>
      <c r="G13" s="159">
        <f>WeaponsSpecs!K100</f>
        <v>550</v>
      </c>
      <c r="H13" s="70" t="str">
        <f>WeaponsSpecs!M100</f>
        <v>29M</v>
      </c>
      <c r="I13" s="172">
        <f>G13-G$4</f>
        <v>450</v>
      </c>
      <c r="J13" s="172" t="str">
        <f>WeaponsSpecs!O100</f>
        <v>&gt;1400</v>
      </c>
      <c r="K13" s="172" t="str">
        <f>WeaponsSpecs!Q100</f>
        <v>&gt;100</v>
      </c>
      <c r="L13" t="s">
        <v>2577</v>
      </c>
      <c r="N13" s="667">
        <f>WeaponsSpecs!D100</f>
        <v>2500000</v>
      </c>
      <c r="O13" s="172" t="s">
        <v>34</v>
      </c>
      <c r="P13" s="172" t="s">
        <v>34</v>
      </c>
      <c r="R13" s="172" t="s">
        <v>34</v>
      </c>
      <c r="S13" s="172" t="s">
        <v>34</v>
      </c>
      <c r="T13" s="427" t="s">
        <v>2707</v>
      </c>
      <c r="U13" s="427" t="s">
        <v>2683</v>
      </c>
      <c r="V13" s="427" t="s">
        <v>2708</v>
      </c>
      <c r="W13" s="455" t="s">
        <v>2709</v>
      </c>
      <c r="X13" s="427" t="s">
        <v>2569</v>
      </c>
      <c r="Y13" s="429" t="s">
        <v>2570</v>
      </c>
      <c r="Z13">
        <f t="shared" si="1"/>
        <v>4</v>
      </c>
    </row>
    <row r="14" spans="1:29" x14ac:dyDescent="0.35">
      <c r="A14">
        <f t="shared" si="0"/>
        <v>5</v>
      </c>
      <c r="B14" s="123" t="s">
        <v>2573</v>
      </c>
      <c r="C14" s="455" t="s">
        <v>2716</v>
      </c>
      <c r="D14" s="42" t="str">
        <f>WeaponsSpecs!C126</f>
        <v>2006-2020</v>
      </c>
      <c r="E14" s="172" t="str">
        <f>WeaponsSpecs!N126</f>
        <v>480</v>
      </c>
      <c r="F14" s="172">
        <f>WeaponsSpecs!L126</f>
        <v>1073</v>
      </c>
      <c r="G14" s="172">
        <f>WeaponsSpecs!K126</f>
        <v>500</v>
      </c>
      <c r="H14" s="172" t="str">
        <f>WeaponsSpecs!M126</f>
        <v>28M</v>
      </c>
      <c r="I14" s="172">
        <f>G14-G$4</f>
        <v>400</v>
      </c>
      <c r="J14" s="172">
        <f>WeaponsSpecs!O126</f>
        <v>800</v>
      </c>
      <c r="K14" s="172">
        <f>WeaponsSpecs!Q126</f>
        <v>0</v>
      </c>
      <c r="L14" t="s">
        <v>2578</v>
      </c>
      <c r="M14" s="455" t="s">
        <v>2579</v>
      </c>
      <c r="N14" s="667">
        <f>WeaponsSpecs!D126</f>
        <v>1634250</v>
      </c>
      <c r="O14" s="172" t="s">
        <v>34</v>
      </c>
      <c r="P14" s="172" t="s">
        <v>34</v>
      </c>
      <c r="R14" s="172" t="s">
        <v>34</v>
      </c>
      <c r="S14" s="172" t="s">
        <v>34</v>
      </c>
      <c r="T14" s="427" t="s">
        <v>2682</v>
      </c>
      <c r="U14" s="427" t="s">
        <v>2683</v>
      </c>
      <c r="V14" s="427" t="s">
        <v>2708</v>
      </c>
      <c r="W14" s="455" t="s">
        <v>2717</v>
      </c>
      <c r="X14" s="427" t="s">
        <v>2569</v>
      </c>
      <c r="Y14" s="429" t="s">
        <v>2570</v>
      </c>
      <c r="Z14">
        <f t="shared" si="1"/>
        <v>5</v>
      </c>
    </row>
    <row r="15" spans="1:29" x14ac:dyDescent="0.35">
      <c r="A15">
        <f t="shared" si="0"/>
        <v>6</v>
      </c>
      <c r="B15" s="615" t="s">
        <v>2522</v>
      </c>
      <c r="C15" t="s">
        <v>2684</v>
      </c>
      <c r="D15" s="42" t="str">
        <f>WeaponsSpecs!C199</f>
        <v>2019-</v>
      </c>
      <c r="E15" s="454" t="str">
        <f>WeaponsSpecs!N199</f>
        <v>450/120</v>
      </c>
      <c r="F15" s="172">
        <f>WeaponsSpecs!L199</f>
        <v>3000</v>
      </c>
      <c r="G15" s="172">
        <f>WeaponsSpecs!K199</f>
        <v>300</v>
      </c>
      <c r="H15" s="172" t="str">
        <f>WeaponsSpecs!M199</f>
        <v>6M</v>
      </c>
      <c r="I15" s="172">
        <f>G15-G$4</f>
        <v>200</v>
      </c>
      <c r="J15" s="172" t="str">
        <f>WeaponsSpecs!O199</f>
        <v>&gt;500</v>
      </c>
      <c r="K15" s="172" t="str">
        <f>WeaponsSpecs!Q199</f>
        <v>&gt;100</v>
      </c>
      <c r="L15" t="s">
        <v>1814</v>
      </c>
      <c r="M15" s="455" t="s">
        <v>2531</v>
      </c>
      <c r="N15" s="667">
        <f>WeaponsSpecs!D199</f>
        <v>2000000</v>
      </c>
      <c r="O15" s="172" t="s">
        <v>34</v>
      </c>
      <c r="P15" s="172" t="s">
        <v>34</v>
      </c>
      <c r="R15" s="172" t="s">
        <v>34</v>
      </c>
      <c r="S15" s="172" t="s">
        <v>34</v>
      </c>
      <c r="T15" t="s">
        <v>1851</v>
      </c>
      <c r="U15" t="s">
        <v>2541</v>
      </c>
      <c r="V15" s="427" t="s">
        <v>2708</v>
      </c>
      <c r="W15" s="455" t="s">
        <v>2710</v>
      </c>
      <c r="X15" s="159"/>
      <c r="Y15" s="167"/>
      <c r="Z15">
        <f t="shared" si="1"/>
        <v>6</v>
      </c>
    </row>
    <row r="16" spans="1:29" x14ac:dyDescent="0.35">
      <c r="A16">
        <f t="shared" si="0"/>
        <v>7</v>
      </c>
      <c r="B16" s="615" t="s">
        <v>2545</v>
      </c>
      <c r="C16" t="s">
        <v>2685</v>
      </c>
      <c r="D16" s="42" t="str">
        <f>WeaponsSpecs!C200</f>
        <v>Jun, 2024-</v>
      </c>
      <c r="E16" s="454" t="str">
        <f>WeaponsSpecs!N200</f>
        <v>570</v>
      </c>
      <c r="F16" s="172">
        <f>WeaponsSpecs!L200</f>
        <v>5633</v>
      </c>
      <c r="G16" s="172">
        <f>WeaponsSpecs!K200</f>
        <v>430</v>
      </c>
      <c r="H16" s="172" t="str">
        <f>WeaponsSpecs!M200</f>
        <v>5M</v>
      </c>
      <c r="I16" s="172">
        <f>G16-G$4</f>
        <v>330</v>
      </c>
      <c r="J16" s="172" t="str">
        <f>WeaponsSpecs!O200</f>
        <v>&gt;100</v>
      </c>
      <c r="K16" s="172" t="str">
        <f>WeaponsSpecs!Q200</f>
        <v>&gt;100</v>
      </c>
      <c r="L16" t="s">
        <v>2546</v>
      </c>
      <c r="M16" s="455" t="s">
        <v>2531</v>
      </c>
      <c r="N16" s="667">
        <f>WeaponsSpecs!D200</f>
        <v>3000000</v>
      </c>
      <c r="O16" s="172" t="s">
        <v>34</v>
      </c>
      <c r="P16" s="172" t="s">
        <v>34</v>
      </c>
      <c r="R16" s="172" t="s">
        <v>34</v>
      </c>
      <c r="S16" s="172" t="s">
        <v>34</v>
      </c>
      <c r="T16" s="427" t="s">
        <v>2718</v>
      </c>
      <c r="U16" s="455" t="s">
        <v>2706</v>
      </c>
      <c r="V16" s="427" t="s">
        <v>2708</v>
      </c>
      <c r="W16" s="455" t="s">
        <v>2686</v>
      </c>
      <c r="X16" s="159"/>
      <c r="Y16" s="167"/>
      <c r="Z16">
        <f t="shared" si="1"/>
        <v>7</v>
      </c>
    </row>
    <row r="17" spans="1:29" x14ac:dyDescent="0.35">
      <c r="A17" s="712">
        <f t="shared" si="0"/>
        <v>8</v>
      </c>
      <c r="B17" s="615" t="s">
        <v>2544</v>
      </c>
      <c r="C17" t="s">
        <v>2687</v>
      </c>
      <c r="D17" s="42" t="str">
        <f>WeaponsSpecs!C117</f>
        <v>2002-</v>
      </c>
      <c r="E17" s="172" t="str">
        <f>WeaponsSpecs!N117</f>
        <v>570</v>
      </c>
      <c r="F17" s="172">
        <f>WeaponsSpecs!L117</f>
        <v>5633</v>
      </c>
      <c r="G17" s="172">
        <f>WeaponsSpecs!K117</f>
        <v>430</v>
      </c>
      <c r="H17" s="172" t="str">
        <f>WeaponsSpecs!M117</f>
        <v>5M</v>
      </c>
      <c r="I17" s="172">
        <f>G17-G3</f>
        <v>330</v>
      </c>
      <c r="J17" s="172" t="str">
        <f>WeaponsSpecs!O117</f>
        <v>&gt;400</v>
      </c>
      <c r="K17" s="172" t="str">
        <f>WeaponsSpecs!Q117</f>
        <v>&gt;40</v>
      </c>
      <c r="L17" s="467" t="s">
        <v>2532</v>
      </c>
      <c r="M17" s="455" t="s">
        <v>2533</v>
      </c>
      <c r="N17" s="667">
        <f>WeaponsSpecs!D117</f>
        <v>3000000</v>
      </c>
      <c r="O17" s="172">
        <v>100</v>
      </c>
      <c r="P17" s="666">
        <f>N17*O17/P$1</f>
        <v>300</v>
      </c>
      <c r="Q17" s="172">
        <f>O17/Q$3</f>
        <v>4.166666666666667</v>
      </c>
      <c r="R17" s="172">
        <f t="shared" ref="R17:R21" si="2">O17/Q17</f>
        <v>24</v>
      </c>
      <c r="S17" s="666">
        <f>(Q17/O17)*P17</f>
        <v>12.500000000000002</v>
      </c>
      <c r="T17" s="427" t="s">
        <v>2719</v>
      </c>
      <c r="U17" s="455" t="s">
        <v>2706</v>
      </c>
      <c r="V17" s="427" t="s">
        <v>2708</v>
      </c>
      <c r="W17" s="455" t="s">
        <v>2711</v>
      </c>
      <c r="X17" s="159" t="s">
        <v>2712</v>
      </c>
      <c r="Y17" s="167" t="s">
        <v>2570</v>
      </c>
      <c r="Z17">
        <f t="shared" si="1"/>
        <v>8</v>
      </c>
    </row>
    <row r="18" spans="1:29" x14ac:dyDescent="0.35">
      <c r="A18" s="712">
        <f t="shared" si="0"/>
        <v>9</v>
      </c>
      <c r="B18" s="123" t="s">
        <v>2341</v>
      </c>
      <c r="C18" s="455" t="s">
        <v>2013</v>
      </c>
      <c r="D18" s="42" t="str">
        <f>WeaponsSpecs!C106</f>
        <v>2006-2024?</v>
      </c>
      <c r="E18" s="454" t="str">
        <f>WeaponsSpecs!N106</f>
        <v>450/120</v>
      </c>
      <c r="F18" s="172">
        <f>WeaponsSpecs!L106</f>
        <v>1105</v>
      </c>
      <c r="G18" s="172">
        <f>WeaponsSpecs!K106</f>
        <v>926</v>
      </c>
      <c r="H18" s="172" t="str">
        <f>WeaponsSpecs!M106</f>
        <v>50M</v>
      </c>
      <c r="I18" s="172">
        <f>G18-G$3</f>
        <v>826</v>
      </c>
      <c r="J18" s="172" t="str">
        <f>WeaponsSpecs!P106</f>
        <v>&gt;3500</v>
      </c>
      <c r="K18" t="s">
        <v>2589</v>
      </c>
      <c r="L18" s="467" t="s">
        <v>2000</v>
      </c>
      <c r="M18" s="455" t="str">
        <f>M11</f>
        <v>F16 + Missile needs navigation maps of Russia that the US got through satellite data. If no navigation maps the missile can likely still be launched using inertial navigation and GPS. You also need targeting data and targeting evaluation data that can also be provided by a combination of satellite images and old school intelligence gathering.</v>
      </c>
      <c r="N18" s="666">
        <f>WeaponsSpecs!D106</f>
        <v>1004000</v>
      </c>
      <c r="O18" s="172">
        <v>600</v>
      </c>
      <c r="P18" s="666">
        <f>N18*O18/P$1</f>
        <v>602.4</v>
      </c>
      <c r="Q18" s="172">
        <f>O18/Q$2</f>
        <v>50</v>
      </c>
      <c r="R18" s="172">
        <f t="shared" si="2"/>
        <v>12</v>
      </c>
      <c r="S18" s="666">
        <f>(Q18/O18)*P18</f>
        <v>50.199999999999996</v>
      </c>
      <c r="T18" t="s">
        <v>2026</v>
      </c>
      <c r="U18" t="s">
        <v>1869</v>
      </c>
      <c r="V18" t="s">
        <v>1870</v>
      </c>
      <c r="W18" t="s">
        <v>2419</v>
      </c>
      <c r="X18" s="159" t="s">
        <v>1861</v>
      </c>
      <c r="Y18" s="167" t="s">
        <v>2027</v>
      </c>
      <c r="Z18">
        <f t="shared" si="1"/>
        <v>9</v>
      </c>
    </row>
    <row r="19" spans="1:29" x14ac:dyDescent="0.35">
      <c r="A19" s="712">
        <f t="shared" si="0"/>
        <v>10</v>
      </c>
      <c r="B19" s="123" t="s">
        <v>2741</v>
      </c>
      <c r="C19" s="455" t="s">
        <v>1857</v>
      </c>
      <c r="D19" s="42" t="str">
        <f>WeaponsSpecs!C102</f>
        <v>2023-</v>
      </c>
      <c r="E19" s="42" t="s">
        <v>34</v>
      </c>
      <c r="F19" s="42" t="s">
        <v>34</v>
      </c>
      <c r="G19" s="42" t="s">
        <v>34</v>
      </c>
      <c r="H19" s="42" t="s">
        <v>34</v>
      </c>
      <c r="I19" s="42" t="s">
        <v>34</v>
      </c>
      <c r="J19" s="172" t="str">
        <f>WeaponsSpecs!O102</f>
        <v>&gt;2</v>
      </c>
      <c r="K19" s="172" t="str">
        <f>WeaponsSpecs!Q102</f>
        <v>&gt;0.5</v>
      </c>
      <c r="L19" s="455" t="s">
        <v>2688</v>
      </c>
      <c r="M19" s="455" t="s">
        <v>2003</v>
      </c>
      <c r="N19" s="667">
        <f>WeaponsSpecs!D102</f>
        <v>300000000</v>
      </c>
      <c r="O19" s="159">
        <v>1</v>
      </c>
      <c r="P19" s="666">
        <f>N19*O19/P$1</f>
        <v>300</v>
      </c>
      <c r="Q19" s="58">
        <f>O19/Q$1</f>
        <v>0.16666666666666666</v>
      </c>
      <c r="R19" s="172">
        <f t="shared" si="2"/>
        <v>6</v>
      </c>
      <c r="S19" s="666">
        <f>(Q19/O19)*P19</f>
        <v>50</v>
      </c>
      <c r="T19" s="8" t="s">
        <v>1868</v>
      </c>
      <c r="U19" s="8" t="s">
        <v>1875</v>
      </c>
      <c r="V19" s="669" t="s">
        <v>1874</v>
      </c>
      <c r="W19" s="8" t="s">
        <v>2428</v>
      </c>
      <c r="X19" s="159" t="s">
        <v>2062</v>
      </c>
      <c r="Y19" s="167" t="s">
        <v>2429</v>
      </c>
      <c r="Z19">
        <f t="shared" si="1"/>
        <v>10</v>
      </c>
      <c r="AA19" s="4" t="s">
        <v>2740</v>
      </c>
    </row>
    <row r="20" spans="1:29" x14ac:dyDescent="0.35">
      <c r="A20" s="712">
        <f t="shared" si="0"/>
        <v>11</v>
      </c>
      <c r="B20" s="123" t="s">
        <v>2729</v>
      </c>
      <c r="C20" s="455" t="s">
        <v>2547</v>
      </c>
      <c r="D20" s="42" t="str">
        <f>WeaponsSpecs!C103</f>
        <v>1983-</v>
      </c>
      <c r="E20" s="454" t="str">
        <f>WeaponsSpecs!N103</f>
        <v>450</v>
      </c>
      <c r="F20" s="172">
        <f>WeaponsSpecs!L103</f>
        <v>913</v>
      </c>
      <c r="G20" s="172">
        <f>WeaponsSpecs!K103</f>
        <v>1666</v>
      </c>
      <c r="H20" s="172" t="str">
        <f>WeaponsSpecs!M103</f>
        <v>100M</v>
      </c>
      <c r="I20" s="172">
        <f>G20-G$3</f>
        <v>1566</v>
      </c>
      <c r="J20" s="427" t="s">
        <v>2624</v>
      </c>
      <c r="K20" s="172" t="str">
        <f>WeaponsSpecs!Q103</f>
        <v>&gt;100</v>
      </c>
      <c r="L20" s="455" t="s">
        <v>2015</v>
      </c>
      <c r="M20" s="455" t="s">
        <v>2001</v>
      </c>
      <c r="N20" s="667">
        <f>WeaponsSpecs!D103</f>
        <v>2000000</v>
      </c>
      <c r="O20" s="159">
        <v>200</v>
      </c>
      <c r="P20" s="666">
        <f>N20*O20/P$1</f>
        <v>400</v>
      </c>
      <c r="Q20" s="172">
        <f>O20/Q$3</f>
        <v>8.3333333333333339</v>
      </c>
      <c r="R20" s="172">
        <f t="shared" si="2"/>
        <v>24</v>
      </c>
      <c r="S20" s="666">
        <f>(Q20/O20)*P20</f>
        <v>16.666666666666668</v>
      </c>
      <c r="T20" t="s">
        <v>2002</v>
      </c>
      <c r="U20" t="s">
        <v>2713</v>
      </c>
      <c r="V20" t="s">
        <v>2720</v>
      </c>
      <c r="W20" t="s">
        <v>2419</v>
      </c>
      <c r="X20" s="159" t="s">
        <v>2714</v>
      </c>
      <c r="Y20" s="167" t="s">
        <v>2226</v>
      </c>
      <c r="Z20">
        <f t="shared" si="1"/>
        <v>11</v>
      </c>
    </row>
    <row r="21" spans="1:29" x14ac:dyDescent="0.35">
      <c r="A21" s="712">
        <f t="shared" si="0"/>
        <v>12</v>
      </c>
      <c r="B21" s="615" t="s">
        <v>2761</v>
      </c>
      <c r="C21" s="455" t="s">
        <v>2765</v>
      </c>
      <c r="D21" s="42" t="str">
        <f>WeaponsSpecs!C118</f>
        <v>2011-</v>
      </c>
      <c r="E21" s="172">
        <f>WeaponsSpecs!N118</f>
        <v>1300</v>
      </c>
      <c r="F21" s="172">
        <f>WeaponsSpecs!L118</f>
        <v>28200</v>
      </c>
      <c r="G21" s="172">
        <f>WeaponsSpecs!K118</f>
        <v>11500</v>
      </c>
      <c r="H21" s="172" t="str">
        <f>WeaponsSpecs!M118</f>
        <v>25M</v>
      </c>
      <c r="I21" s="172">
        <f>G21-500</f>
        <v>11000</v>
      </c>
      <c r="J21" s="172" t="str">
        <f>WeaponsSpecs!O118</f>
        <v>&gt;100</v>
      </c>
      <c r="K21" s="172"/>
      <c r="L21" s="455" t="s">
        <v>2760</v>
      </c>
      <c r="M21" s="455"/>
      <c r="N21" s="667">
        <f>WeaponsSpecs!D118</f>
        <v>15000000</v>
      </c>
      <c r="O21" s="159">
        <v>20</v>
      </c>
      <c r="P21" s="666">
        <f>N21*O21/P$1</f>
        <v>300</v>
      </c>
      <c r="Q21" s="174">
        <f>O21/Q$3</f>
        <v>0.83333333333333337</v>
      </c>
      <c r="R21" s="172">
        <f t="shared" si="2"/>
        <v>24</v>
      </c>
      <c r="S21" s="666">
        <f>(Q21/O21)*P21</f>
        <v>12.500000000000002</v>
      </c>
      <c r="T21" t="s">
        <v>2762</v>
      </c>
      <c r="U21" t="s">
        <v>2766</v>
      </c>
      <c r="V21" t="s">
        <v>2767</v>
      </c>
      <c r="W21" t="s">
        <v>2768</v>
      </c>
      <c r="X21" s="159" t="s">
        <v>2769</v>
      </c>
      <c r="Y21" s="167" t="s">
        <v>2770</v>
      </c>
    </row>
    <row r="22" spans="1:29" x14ac:dyDescent="0.35">
      <c r="A22">
        <f t="shared" si="0"/>
        <v>13</v>
      </c>
      <c r="B22" s="123"/>
      <c r="C22" s="455"/>
      <c r="D22" s="42"/>
      <c r="E22" s="454"/>
      <c r="F22" s="172"/>
      <c r="G22" s="172"/>
      <c r="H22" s="172"/>
      <c r="I22" s="172"/>
      <c r="J22" s="172"/>
      <c r="K22" s="172"/>
      <c r="L22" s="455"/>
      <c r="M22" s="455"/>
      <c r="N22" s="667"/>
      <c r="O22" s="159"/>
      <c r="P22" s="666"/>
      <c r="Q22" s="172"/>
      <c r="R22" s="172"/>
      <c r="S22" s="666"/>
      <c r="X22" s="159"/>
      <c r="Y22" s="167"/>
      <c r="Z22">
        <f>Z20+1</f>
        <v>12</v>
      </c>
    </row>
    <row r="23" spans="1:29" x14ac:dyDescent="0.35">
      <c r="A23">
        <f t="shared" si="0"/>
        <v>14</v>
      </c>
      <c r="B23" s="123"/>
      <c r="C23" s="455"/>
      <c r="D23" s="42"/>
      <c r="E23" s="454"/>
      <c r="F23" s="172"/>
      <c r="G23" s="172"/>
      <c r="H23" s="172"/>
      <c r="I23" s="172"/>
      <c r="J23" s="172"/>
      <c r="K23" s="172"/>
      <c r="L23" s="455"/>
      <c r="M23" s="455"/>
      <c r="N23" s="667"/>
      <c r="O23" s="159"/>
      <c r="P23" s="666"/>
      <c r="Q23" s="172"/>
      <c r="R23" s="172"/>
      <c r="S23" s="666"/>
      <c r="X23" s="159"/>
      <c r="Y23" s="167"/>
      <c r="Z23">
        <f t="shared" si="1"/>
        <v>13</v>
      </c>
    </row>
    <row r="24" spans="1:29" x14ac:dyDescent="0.35">
      <c r="A24">
        <f t="shared" si="0"/>
        <v>15</v>
      </c>
      <c r="B24" s="677" t="s">
        <v>2622</v>
      </c>
      <c r="C24" s="822" t="s">
        <v>2679</v>
      </c>
      <c r="D24" s="678" t="str">
        <f>WeaponsSpecs!C108</f>
        <v>2024, Jan.-</v>
      </c>
      <c r="E24" s="679" t="str">
        <f>WeaponsSpecs!N108</f>
        <v>450/120</v>
      </c>
      <c r="F24" s="679">
        <f>WeaponsSpecs!L108</f>
        <v>1075</v>
      </c>
      <c r="G24" s="679">
        <f>WeaponsSpecs!K108</f>
        <v>900</v>
      </c>
      <c r="H24" s="679" t="str">
        <f>WeaponsSpecs!M108</f>
        <v>50M</v>
      </c>
      <c r="I24" s="679">
        <f>G24-G$3</f>
        <v>800</v>
      </c>
      <c r="J24" s="679" t="str">
        <f>WeaponsSpecs!O108</f>
        <v>&gt;500</v>
      </c>
      <c r="K24" s="685" t="str">
        <f>WeaponsSpecs!Q108</f>
        <v>1100 for all variants (see 06:30 https://www.youtube.com/watch?v=3f17uaCaaPA) most likely only c and d that I suspect of being all purpose cruise missiles for land and sea targets including moving targets on land like an airplane shuttling around on airbase</v>
      </c>
      <c r="L24" s="685"/>
      <c r="M24" s="685"/>
      <c r="N24" s="833"/>
      <c r="O24" s="679" t="s">
        <v>34</v>
      </c>
      <c r="P24" s="679" t="s">
        <v>34</v>
      </c>
      <c r="Q24" s="679" t="s">
        <v>34</v>
      </c>
      <c r="R24" s="679"/>
      <c r="S24" s="679" t="s">
        <v>34</v>
      </c>
      <c r="T24" s="681"/>
      <c r="U24" s="681"/>
      <c r="V24" s="681"/>
      <c r="W24" s="681" t="s">
        <v>2584</v>
      </c>
      <c r="X24" s="680"/>
      <c r="Y24" s="823"/>
      <c r="Z24">
        <f t="shared" si="1"/>
        <v>14</v>
      </c>
    </row>
    <row r="25" spans="1:29" ht="15" thickBot="1" x14ac:dyDescent="0.4">
      <c r="A25">
        <f t="shared" si="0"/>
        <v>16</v>
      </c>
      <c r="B25" s="677" t="s">
        <v>2576</v>
      </c>
      <c r="C25" s="822" t="s">
        <v>2679</v>
      </c>
      <c r="D25" s="678" t="str">
        <f>WeaponsSpecs!C109</f>
        <v>2024, Jan.-</v>
      </c>
      <c r="E25" s="679" t="str">
        <f>WeaponsSpecs!N109</f>
        <v>450/120</v>
      </c>
      <c r="F25" s="679">
        <f>WeaponsSpecs!L109</f>
        <v>970</v>
      </c>
      <c r="G25" s="679">
        <f>WeaponsSpecs!K109</f>
        <v>1800</v>
      </c>
      <c r="H25" s="679" t="str">
        <f>WeaponsSpecs!M109</f>
        <v>111M</v>
      </c>
      <c r="I25" s="679">
        <f>G25-G$3</f>
        <v>1700</v>
      </c>
      <c r="J25" s="679" t="str">
        <f>WeaponsSpecs!O109</f>
        <v>&gt;50</v>
      </c>
      <c r="K25" s="685" t="str">
        <f>WeaponsSpecs!Q109</f>
        <v>&gt;100</v>
      </c>
      <c r="L25" s="679"/>
      <c r="M25" s="685"/>
      <c r="N25" s="833"/>
      <c r="O25" s="679" t="s">
        <v>34</v>
      </c>
      <c r="P25" s="679" t="s">
        <v>34</v>
      </c>
      <c r="Q25" s="679" t="s">
        <v>34</v>
      </c>
      <c r="R25" s="679"/>
      <c r="S25" s="679" t="s">
        <v>34</v>
      </c>
      <c r="T25" s="824"/>
      <c r="U25" s="824"/>
      <c r="V25" s="825"/>
      <c r="W25" s="681" t="s">
        <v>2584</v>
      </c>
      <c r="X25" s="680"/>
      <c r="Y25" s="823"/>
      <c r="Z25">
        <f t="shared" si="1"/>
        <v>15</v>
      </c>
    </row>
    <row r="26" spans="1:29" ht="15" thickTop="1" x14ac:dyDescent="0.35">
      <c r="A26">
        <f t="shared" si="0"/>
        <v>17</v>
      </c>
      <c r="B26" s="231" t="s">
        <v>2728</v>
      </c>
      <c r="C26" s="674"/>
      <c r="D26" s="675"/>
      <c r="E26" s="675"/>
      <c r="F26" s="820"/>
      <c r="G26" s="675"/>
      <c r="H26" s="675"/>
      <c r="I26" s="675"/>
      <c r="J26" s="675"/>
      <c r="K26" s="675"/>
      <c r="L26" s="675"/>
      <c r="M26" s="671"/>
      <c r="N26" s="672"/>
      <c r="O26" s="711"/>
      <c r="P26" s="687">
        <f>SUM(P27:P36)</f>
        <v>3421.2</v>
      </c>
      <c r="Q26" s="711"/>
      <c r="R26" s="711"/>
      <c r="S26" s="687">
        <f>SUM(S27:S36)</f>
        <v>142.54999999999998</v>
      </c>
      <c r="T26" s="658"/>
      <c r="U26" s="658"/>
      <c r="V26" s="658"/>
      <c r="W26" s="658"/>
      <c r="X26" s="657"/>
      <c r="Y26" s="676"/>
      <c r="Z26">
        <f t="shared" si="1"/>
        <v>16</v>
      </c>
    </row>
    <row r="27" spans="1:29" x14ac:dyDescent="0.35">
      <c r="A27" s="712">
        <f t="shared" si="0"/>
        <v>18</v>
      </c>
      <c r="B27" s="123" t="s">
        <v>2333</v>
      </c>
      <c r="C27" t="s">
        <v>1841</v>
      </c>
      <c r="D27" s="42" t="s">
        <v>1174</v>
      </c>
      <c r="E27" s="42" t="s">
        <v>34</v>
      </c>
      <c r="F27" s="172">
        <f>WeaponsSpecs!L247</f>
        <v>474</v>
      </c>
      <c r="G27" s="427" t="s">
        <v>1835</v>
      </c>
      <c r="H27" s="172" t="s">
        <v>34</v>
      </c>
      <c r="I27" s="427" t="s">
        <v>2047</v>
      </c>
      <c r="J27" s="427" t="str">
        <f>WeaponsSpecs!O246</f>
        <v>&gt;313 total; 88 E-2D</v>
      </c>
      <c r="K27" s="172" t="str">
        <f>WeaponsSpecs!Q246</f>
        <v>&gt;4</v>
      </c>
      <c r="L27" t="s">
        <v>1832</v>
      </c>
      <c r="M27" s="455" t="s">
        <v>2007</v>
      </c>
      <c r="N27" s="667">
        <f>WeaponsSpecs!D247</f>
        <v>144000000</v>
      </c>
      <c r="O27" s="159">
        <v>4</v>
      </c>
      <c r="P27" s="666">
        <f>N27*O27/P$1</f>
        <v>576</v>
      </c>
      <c r="Q27" s="58">
        <f>O27/Q3</f>
        <v>0.16666666666666666</v>
      </c>
      <c r="R27" s="172">
        <f>O27/Q27</f>
        <v>24</v>
      </c>
      <c r="S27" s="666">
        <f>(Q27/O27)*P27</f>
        <v>24</v>
      </c>
      <c r="T27" s="455" t="s">
        <v>2416</v>
      </c>
      <c r="U27" s="455" t="s">
        <v>2398</v>
      </c>
      <c r="V27" s="427" t="s">
        <v>2417</v>
      </c>
      <c r="W27" s="427" t="s">
        <v>2435</v>
      </c>
      <c r="X27" s="427" t="s">
        <v>2399</v>
      </c>
      <c r="Y27" s="645" t="s">
        <v>2436</v>
      </c>
      <c r="Z27">
        <f t="shared" si="1"/>
        <v>17</v>
      </c>
    </row>
    <row r="28" spans="1:29" x14ac:dyDescent="0.35">
      <c r="A28">
        <f t="shared" si="0"/>
        <v>19</v>
      </c>
      <c r="B28" s="123" t="s">
        <v>2334</v>
      </c>
      <c r="C28" t="s">
        <v>2051</v>
      </c>
      <c r="D28" s="455" t="s">
        <v>2061</v>
      </c>
      <c r="E28" s="172">
        <v>6800</v>
      </c>
      <c r="F28" s="172">
        <f>WeaponsSpecs!L243</f>
        <v>900</v>
      </c>
      <c r="G28" s="427" t="s">
        <v>2550</v>
      </c>
      <c r="H28" s="172" t="s">
        <v>34</v>
      </c>
      <c r="I28" s="455" t="s">
        <v>2078</v>
      </c>
      <c r="J28" s="172" t="str">
        <f>WeaponsSpecs!O243</f>
        <v>3?</v>
      </c>
      <c r="K28" s="172">
        <f>WeaponsSpecs!Q243</f>
        <v>0</v>
      </c>
      <c r="L28" t="s">
        <v>1832</v>
      </c>
      <c r="M28" s="455" t="s">
        <v>2067</v>
      </c>
      <c r="N28" s="666">
        <f>WeaponsSpecs!D243</f>
        <v>180555555.55555555</v>
      </c>
      <c r="O28" s="172" t="s">
        <v>34</v>
      </c>
      <c r="P28" s="42" t="s">
        <v>34</v>
      </c>
      <c r="Q28" s="42" t="s">
        <v>34</v>
      </c>
      <c r="R28" s="42" t="s">
        <v>34</v>
      </c>
      <c r="S28" s="42" t="s">
        <v>34</v>
      </c>
      <c r="T28" s="455" t="s">
        <v>2437</v>
      </c>
      <c r="U28" s="455" t="s">
        <v>2438</v>
      </c>
      <c r="V28" s="42" t="s">
        <v>34</v>
      </c>
      <c r="W28" s="455" t="s">
        <v>2400</v>
      </c>
      <c r="X28" s="455" t="s">
        <v>2439</v>
      </c>
      <c r="Y28" s="147" t="s">
        <v>34</v>
      </c>
      <c r="Z28">
        <f t="shared" si="1"/>
        <v>18</v>
      </c>
      <c r="AB28" s="4" t="s">
        <v>2045</v>
      </c>
      <c r="AC28" s="4" t="s">
        <v>2549</v>
      </c>
    </row>
    <row r="29" spans="1:29" x14ac:dyDescent="0.35">
      <c r="A29" s="712">
        <f t="shared" si="0"/>
        <v>20</v>
      </c>
      <c r="B29" s="615" t="s">
        <v>2342</v>
      </c>
      <c r="C29" s="455" t="s">
        <v>2077</v>
      </c>
      <c r="D29" s="42" t="str">
        <f>WeaponsSpecs!C157</f>
        <v>2017-</v>
      </c>
      <c r="E29" s="42" t="s">
        <v>34</v>
      </c>
      <c r="F29" s="172" t="s">
        <v>34</v>
      </c>
      <c r="G29" s="42" t="s">
        <v>34</v>
      </c>
      <c r="H29" s="42" t="s">
        <v>34</v>
      </c>
      <c r="I29" s="42" t="s">
        <v>34</v>
      </c>
      <c r="J29" s="172" t="str">
        <f>WeaponsSpecs!O157</f>
        <v>&gt;8</v>
      </c>
      <c r="K29" s="172" t="str">
        <f>WeaponsSpecs!Q157</f>
        <v>&gt;1</v>
      </c>
      <c r="L29" s="455" t="s">
        <v>2069</v>
      </c>
      <c r="M29" s="455" t="s">
        <v>2539</v>
      </c>
      <c r="N29" s="667">
        <f>WeaponsSpecs!D157</f>
        <v>300000000</v>
      </c>
      <c r="O29" s="159">
        <v>2</v>
      </c>
      <c r="P29" s="666">
        <f t="shared" ref="P29:P34" si="3">N29*O29/P$1</f>
        <v>600</v>
      </c>
      <c r="Q29" s="58">
        <f t="shared" ref="Q29:Q34" si="4">O29/Q$3</f>
        <v>8.3333333333333329E-2</v>
      </c>
      <c r="R29" s="172">
        <f t="shared" ref="R29:R34" si="5">O29/Q29</f>
        <v>24</v>
      </c>
      <c r="S29" s="666">
        <f>(Q29/O29)*P29</f>
        <v>25</v>
      </c>
      <c r="T29" t="s">
        <v>2227</v>
      </c>
      <c r="U29" t="s">
        <v>2420</v>
      </c>
      <c r="V29" t="s">
        <v>2421</v>
      </c>
      <c r="W29" t="s">
        <v>2228</v>
      </c>
      <c r="X29" s="159" t="s">
        <v>2422</v>
      </c>
      <c r="Y29" s="167" t="s">
        <v>2423</v>
      </c>
      <c r="Z29">
        <f t="shared" si="1"/>
        <v>19</v>
      </c>
    </row>
    <row r="30" spans="1:29" x14ac:dyDescent="0.35">
      <c r="A30" s="712">
        <f t="shared" si="0"/>
        <v>21</v>
      </c>
      <c r="B30" s="615" t="s">
        <v>2343</v>
      </c>
      <c r="C30" s="455" t="s">
        <v>2424</v>
      </c>
      <c r="D30" s="42" t="str">
        <f>WeaponsSpecs!C158</f>
        <v>2017-</v>
      </c>
      <c r="E30" s="172" t="s">
        <v>2548</v>
      </c>
      <c r="F30" s="172">
        <f>WeaponsSpecs!L158</f>
        <v>9187</v>
      </c>
      <c r="G30" s="172">
        <f>WeaponsSpecs!K158</f>
        <v>300</v>
      </c>
      <c r="H30" s="172" t="str">
        <f>WeaponsSpecs!M158</f>
        <v>2M</v>
      </c>
      <c r="I30" s="172">
        <f>G30-G$3</f>
        <v>200</v>
      </c>
      <c r="J30" s="172" t="str">
        <f>WeaponsSpecs!O158</f>
        <v>&gt;1000</v>
      </c>
      <c r="K30" s="172" t="str">
        <f>WeaponsSpecs!Q158</f>
        <v>&gt;200</v>
      </c>
      <c r="L30" s="455" t="s">
        <v>2069</v>
      </c>
      <c r="M30" s="455" t="s">
        <v>2538</v>
      </c>
      <c r="N30" s="667">
        <f>WeaponsSpecs!D158</f>
        <v>700000</v>
      </c>
      <c r="O30" s="159">
        <v>200</v>
      </c>
      <c r="P30" s="666">
        <f t="shared" si="3"/>
        <v>140</v>
      </c>
      <c r="Q30" s="172">
        <f t="shared" si="4"/>
        <v>8.3333333333333339</v>
      </c>
      <c r="R30" s="172">
        <f t="shared" si="5"/>
        <v>24</v>
      </c>
      <c r="S30" s="666">
        <f>(Q30/O30)*P30</f>
        <v>5.8333333333333339</v>
      </c>
      <c r="T30" t="s">
        <v>2425</v>
      </c>
      <c r="U30" t="s">
        <v>2426</v>
      </c>
      <c r="V30" t="s">
        <v>2421</v>
      </c>
      <c r="W30" t="s">
        <v>2228</v>
      </c>
      <c r="X30" s="159" t="s">
        <v>2427</v>
      </c>
      <c r="Y30" s="167" t="s">
        <v>2423</v>
      </c>
      <c r="Z30">
        <f t="shared" si="1"/>
        <v>20</v>
      </c>
      <c r="AB30" s="4" t="s">
        <v>2068</v>
      </c>
      <c r="AC30" s="467" t="s">
        <v>2070</v>
      </c>
    </row>
    <row r="31" spans="1:29" x14ac:dyDescent="0.35">
      <c r="A31" s="712">
        <f t="shared" si="0"/>
        <v>22</v>
      </c>
      <c r="B31" s="123" t="s">
        <v>2730</v>
      </c>
      <c r="C31" s="455" t="s">
        <v>2033</v>
      </c>
      <c r="D31" s="42" t="str">
        <f>WeaponsSpecs!C104</f>
        <v>2009-</v>
      </c>
      <c r="E31" s="454" t="str">
        <f>WeaponsSpecs!N149</f>
        <v>64</v>
      </c>
      <c r="F31" s="172">
        <f>WeaponsSpecs!L149</f>
        <v>4287</v>
      </c>
      <c r="G31" s="172">
        <f>WeaponsSpecs!K149</f>
        <v>370</v>
      </c>
      <c r="H31" s="172" t="str">
        <f>WeaponsSpecs!M149</f>
        <v>5.2M</v>
      </c>
      <c r="I31" s="172">
        <f>G31-G$3</f>
        <v>270</v>
      </c>
      <c r="J31" s="172" t="str">
        <f>WeaponsSpecs!O104</f>
        <v>&gt;500</v>
      </c>
      <c r="K31" s="172">
        <f>WeaponsSpecs!Q149</f>
        <v>180</v>
      </c>
      <c r="L31" s="455" t="s">
        <v>2430</v>
      </c>
      <c r="M31" s="455" t="s">
        <v>2537</v>
      </c>
      <c r="N31" s="667">
        <f>WeaponsSpecs!D149</f>
        <v>4870000</v>
      </c>
      <c r="O31" s="159">
        <v>360</v>
      </c>
      <c r="P31" s="666">
        <f t="shared" si="3"/>
        <v>1753.2</v>
      </c>
      <c r="Q31" s="172">
        <f t="shared" si="4"/>
        <v>15</v>
      </c>
      <c r="R31" s="172">
        <f t="shared" si="5"/>
        <v>24</v>
      </c>
      <c r="S31" s="666">
        <f t="shared" ref="S31" si="6">(Q31/O31)*P31</f>
        <v>73.05</v>
      </c>
      <c r="T31" t="s">
        <v>2053</v>
      </c>
      <c r="U31" t="s">
        <v>2063</v>
      </c>
      <c r="V31" t="s">
        <v>2004</v>
      </c>
      <c r="W31" t="s">
        <v>2064</v>
      </c>
      <c r="X31" s="159" t="s">
        <v>2431</v>
      </c>
      <c r="Y31" s="167" t="s">
        <v>2065</v>
      </c>
      <c r="Z31">
        <f t="shared" si="1"/>
        <v>21</v>
      </c>
      <c r="AB31" t="s">
        <v>1104</v>
      </c>
    </row>
    <row r="32" spans="1:29" x14ac:dyDescent="0.35">
      <c r="A32" s="712">
        <f t="shared" si="0"/>
        <v>23</v>
      </c>
      <c r="B32" s="615" t="s">
        <v>2432</v>
      </c>
      <c r="C32" s="455" t="s">
        <v>2038</v>
      </c>
      <c r="D32" s="42" t="str">
        <f>WeaponsSpecs!C148</f>
        <v>2017-</v>
      </c>
      <c r="E32" s="172">
        <f>WeaponsSpecs!N148</f>
        <v>150</v>
      </c>
      <c r="F32" s="172">
        <f>WeaponsSpecs!L148</f>
        <v>9000</v>
      </c>
      <c r="G32" s="172">
        <f>WeaponsSpecs!K148</f>
        <v>2400</v>
      </c>
      <c r="H32" s="172" t="str">
        <f>WeaponsSpecs!M148</f>
        <v>16M</v>
      </c>
      <c r="I32" s="172">
        <f>G32-300</f>
        <v>2100</v>
      </c>
      <c r="J32" s="172" t="str">
        <f>WeaponsSpecs!O148</f>
        <v>&gt;80?</v>
      </c>
      <c r="K32" s="172" t="str">
        <f>WeaponsSpecs!Q148</f>
        <v>&gt;10?</v>
      </c>
      <c r="L32" s="455" t="s">
        <v>2014</v>
      </c>
      <c r="M32" s="455" t="s">
        <v>2005</v>
      </c>
      <c r="N32" s="667">
        <f>WeaponsSpecs!D148</f>
        <v>6000000</v>
      </c>
      <c r="O32" s="159">
        <v>12</v>
      </c>
      <c r="P32" s="666">
        <f t="shared" si="3"/>
        <v>72</v>
      </c>
      <c r="Q32" s="58">
        <f t="shared" si="4"/>
        <v>0.5</v>
      </c>
      <c r="R32" s="172">
        <f t="shared" si="5"/>
        <v>24</v>
      </c>
      <c r="S32" s="666">
        <f>(Q32/O32)*P32</f>
        <v>3</v>
      </c>
      <c r="T32" t="s">
        <v>2056</v>
      </c>
      <c r="U32" t="s">
        <v>2054</v>
      </c>
      <c r="V32" t="s">
        <v>2251</v>
      </c>
      <c r="W32" t="s">
        <v>2433</v>
      </c>
      <c r="X32" s="159" t="s">
        <v>2066</v>
      </c>
      <c r="Y32" s="167" t="s">
        <v>2252</v>
      </c>
      <c r="Z32">
        <f t="shared" si="1"/>
        <v>22</v>
      </c>
      <c r="AA32" t="s">
        <v>2072</v>
      </c>
      <c r="AB32" s="4" t="s">
        <v>2021</v>
      </c>
      <c r="AC32" s="4" t="s">
        <v>1407</v>
      </c>
    </row>
    <row r="33" spans="1:29" x14ac:dyDescent="0.35">
      <c r="A33">
        <f t="shared" si="0"/>
        <v>24</v>
      </c>
      <c r="B33" s="615" t="s">
        <v>2597</v>
      </c>
      <c r="C33" s="455" t="s">
        <v>2604</v>
      </c>
      <c r="D33" s="42" t="str">
        <f>WeaponsSpecs!C155</f>
        <v>2011-</v>
      </c>
      <c r="E33" s="172" t="s">
        <v>34</v>
      </c>
      <c r="F33" s="172" t="s">
        <v>34</v>
      </c>
      <c r="G33" s="172" t="s">
        <v>34</v>
      </c>
      <c r="H33" s="172" t="s">
        <v>34</v>
      </c>
      <c r="I33" s="172" t="s">
        <v>34</v>
      </c>
      <c r="J33" s="172" t="str">
        <f>WeaponsSpecs!O155</f>
        <v>&gt;10</v>
      </c>
      <c r="K33" s="172" t="str">
        <f>WeaponsSpecs!Q155</f>
        <v>&gt;1</v>
      </c>
      <c r="L33" s="455" t="s">
        <v>34</v>
      </c>
      <c r="M33" s="455" t="s">
        <v>2600</v>
      </c>
      <c r="N33" s="667">
        <f>WeaponsSpecs!D155</f>
        <v>50000000</v>
      </c>
      <c r="O33" s="159">
        <v>2</v>
      </c>
      <c r="P33" s="666">
        <f t="shared" si="3"/>
        <v>100</v>
      </c>
      <c r="Q33" s="58">
        <f t="shared" si="4"/>
        <v>8.3333333333333329E-2</v>
      </c>
      <c r="R33" s="172">
        <f t="shared" si="5"/>
        <v>24</v>
      </c>
      <c r="S33" s="666">
        <f>(Q33/O33)*P33</f>
        <v>4.1666666666666661</v>
      </c>
      <c r="T33" t="s">
        <v>2704</v>
      </c>
      <c r="U33" t="s">
        <v>34</v>
      </c>
      <c r="V33" t="s">
        <v>2655</v>
      </c>
      <c r="W33" t="s">
        <v>2705</v>
      </c>
      <c r="X33" s="159" t="s">
        <v>2656</v>
      </c>
      <c r="Y33" s="167" t="s">
        <v>2689</v>
      </c>
      <c r="Z33">
        <f t="shared" si="1"/>
        <v>23</v>
      </c>
      <c r="AA33" t="s">
        <v>1386</v>
      </c>
      <c r="AB33" s="4"/>
      <c r="AC33" s="4"/>
    </row>
    <row r="34" spans="1:29" x14ac:dyDescent="0.35">
      <c r="A34">
        <f t="shared" si="0"/>
        <v>25</v>
      </c>
      <c r="B34" s="615" t="s">
        <v>2605</v>
      </c>
      <c r="C34" s="455" t="s">
        <v>2603</v>
      </c>
      <c r="D34" s="42" t="str">
        <f>WeaponsSpecs!C156</f>
        <v>2011-</v>
      </c>
      <c r="E34" s="172" t="str">
        <f>WeaponsSpecs!N156</f>
        <v>&gt;10</v>
      </c>
      <c r="F34" s="172">
        <f>WeaponsSpecs!L156</f>
        <v>2695</v>
      </c>
      <c r="G34" s="172">
        <f>WeaponsSpecs!K156</f>
        <v>10</v>
      </c>
      <c r="H34" s="172" t="str">
        <f>WeaponsSpecs!M156</f>
        <v>13S</v>
      </c>
      <c r="I34" s="172" t="s">
        <v>34</v>
      </c>
      <c r="J34" s="172" t="str">
        <f>WeaponsSpecs!O156</f>
        <v>&gt;10,000</v>
      </c>
      <c r="K34" s="172" t="str">
        <f>WeaponsSpecs!Q156</f>
        <v>&gt;500</v>
      </c>
      <c r="L34" s="455" t="s">
        <v>2628</v>
      </c>
      <c r="M34" s="455" t="s">
        <v>2690</v>
      </c>
      <c r="N34" s="667">
        <f>WeaponsSpecs!D156</f>
        <v>60000</v>
      </c>
      <c r="O34" s="159">
        <v>3000</v>
      </c>
      <c r="P34" s="666">
        <f t="shared" si="3"/>
        <v>180</v>
      </c>
      <c r="Q34" s="172">
        <f t="shared" si="4"/>
        <v>125</v>
      </c>
      <c r="R34" s="172">
        <f t="shared" si="5"/>
        <v>24</v>
      </c>
      <c r="S34" s="666">
        <f>(Q34/O34)*P34</f>
        <v>7.5</v>
      </c>
      <c r="T34" t="s">
        <v>2704</v>
      </c>
      <c r="U34" t="s">
        <v>34</v>
      </c>
      <c r="V34" t="s">
        <v>2655</v>
      </c>
      <c r="W34" t="s">
        <v>2705</v>
      </c>
      <c r="X34" s="159" t="s">
        <v>2656</v>
      </c>
      <c r="Y34" s="167" t="s">
        <v>2689</v>
      </c>
      <c r="Z34">
        <f t="shared" si="1"/>
        <v>24</v>
      </c>
      <c r="AA34" t="s">
        <v>1386</v>
      </c>
      <c r="AB34" s="4"/>
      <c r="AC34" s="4"/>
    </row>
    <row r="35" spans="1:29" x14ac:dyDescent="0.35">
      <c r="A35">
        <f t="shared" si="0"/>
        <v>26</v>
      </c>
      <c r="B35" s="123"/>
      <c r="C35" s="455"/>
      <c r="D35" s="42"/>
      <c r="E35" s="42"/>
      <c r="F35" s="172"/>
      <c r="G35" s="172"/>
      <c r="H35" s="172"/>
      <c r="I35" s="172"/>
      <c r="J35" s="172"/>
      <c r="K35" s="172"/>
      <c r="L35" s="455"/>
      <c r="M35" s="455"/>
      <c r="N35" s="667"/>
      <c r="O35" s="159"/>
      <c r="P35" s="666"/>
      <c r="Q35" s="172"/>
      <c r="R35" s="172"/>
      <c r="S35" s="666"/>
      <c r="X35" s="159"/>
      <c r="Y35" s="167"/>
      <c r="Z35">
        <f t="shared" si="1"/>
        <v>25</v>
      </c>
    </row>
    <row r="36" spans="1:29" x14ac:dyDescent="0.35">
      <c r="A36">
        <f t="shared" si="0"/>
        <v>27</v>
      </c>
      <c r="B36" s="123"/>
      <c r="C36" s="455"/>
      <c r="D36" s="42"/>
      <c r="E36" s="42"/>
      <c r="F36" s="172"/>
      <c r="G36" s="172"/>
      <c r="H36" s="172"/>
      <c r="I36" s="172"/>
      <c r="J36" s="172"/>
      <c r="K36" s="172"/>
      <c r="L36" s="455"/>
      <c r="M36" s="455"/>
      <c r="N36" s="667"/>
      <c r="O36" s="159"/>
      <c r="P36" s="666"/>
      <c r="Q36" s="172"/>
      <c r="R36" s="172"/>
      <c r="S36" s="666"/>
      <c r="X36" s="159"/>
      <c r="Y36" s="167"/>
      <c r="Z36">
        <f t="shared" si="1"/>
        <v>26</v>
      </c>
    </row>
    <row r="37" spans="1:29" x14ac:dyDescent="0.35">
      <c r="A37">
        <f t="shared" si="0"/>
        <v>28</v>
      </c>
      <c r="B37" s="677" t="s">
        <v>2351</v>
      </c>
      <c r="C37" s="681" t="s">
        <v>1877</v>
      </c>
      <c r="D37" s="682"/>
      <c r="E37" s="682"/>
      <c r="F37" s="679"/>
      <c r="G37" s="681" t="s">
        <v>1836</v>
      </c>
      <c r="H37" s="682"/>
      <c r="I37" s="685" t="s">
        <v>2040</v>
      </c>
      <c r="J37" s="685"/>
      <c r="K37" s="685"/>
      <c r="L37" s="682" t="s">
        <v>34</v>
      </c>
      <c r="M37" s="682" t="s">
        <v>34</v>
      </c>
      <c r="N37" s="831" t="s">
        <v>34</v>
      </c>
      <c r="O37" s="682" t="s">
        <v>34</v>
      </c>
      <c r="P37" s="682" t="s">
        <v>34</v>
      </c>
      <c r="Q37" s="682" t="s">
        <v>34</v>
      </c>
      <c r="R37" s="682"/>
      <c r="S37" s="682" t="s">
        <v>34</v>
      </c>
      <c r="T37" s="682" t="s">
        <v>34</v>
      </c>
      <c r="U37" s="682" t="s">
        <v>34</v>
      </c>
      <c r="V37" s="682" t="s">
        <v>34</v>
      </c>
      <c r="W37" s="682" t="s">
        <v>34</v>
      </c>
      <c r="X37" s="682" t="s">
        <v>34</v>
      </c>
      <c r="Y37" s="688" t="s">
        <v>34</v>
      </c>
      <c r="Z37">
        <f t="shared" si="1"/>
        <v>27</v>
      </c>
    </row>
    <row r="38" spans="1:29" x14ac:dyDescent="0.35">
      <c r="A38">
        <f t="shared" si="0"/>
        <v>29</v>
      </c>
      <c r="B38" s="677" t="s">
        <v>2596</v>
      </c>
      <c r="C38" s="678" t="s">
        <v>2598</v>
      </c>
      <c r="D38" s="682" t="str">
        <f>WeaponsSpecs!C141</f>
        <v>1981-</v>
      </c>
      <c r="E38" s="682" t="s">
        <v>34</v>
      </c>
      <c r="F38" s="682" t="s">
        <v>34</v>
      </c>
      <c r="G38" s="682" t="s">
        <v>34</v>
      </c>
      <c r="H38" s="682" t="s">
        <v>34</v>
      </c>
      <c r="I38" s="682" t="s">
        <v>34</v>
      </c>
      <c r="J38" s="679" t="str">
        <f>WeaponsSpecs!O141</f>
        <v>&gt;250</v>
      </c>
      <c r="K38" s="679" t="str">
        <f>WeaponsSpecs!Q141</f>
        <v>&gt;10</v>
      </c>
      <c r="L38" s="682" t="s">
        <v>34</v>
      </c>
      <c r="M38" s="682" t="s">
        <v>2600</v>
      </c>
      <c r="N38" s="833">
        <f>WeaponsSpecs!D141</f>
        <v>1090000000</v>
      </c>
      <c r="O38" s="679" t="s">
        <v>34</v>
      </c>
      <c r="P38" s="679" t="s">
        <v>34</v>
      </c>
      <c r="Q38" s="679" t="s">
        <v>34</v>
      </c>
      <c r="R38" s="679"/>
      <c r="S38" s="679" t="s">
        <v>34</v>
      </c>
      <c r="T38" s="679" t="s">
        <v>34</v>
      </c>
      <c r="U38" s="679" t="s">
        <v>34</v>
      </c>
      <c r="V38" s="679" t="s">
        <v>34</v>
      </c>
      <c r="W38" s="685" t="s">
        <v>2602</v>
      </c>
      <c r="X38" s="679"/>
      <c r="Y38" s="683"/>
      <c r="Z38">
        <f t="shared" si="1"/>
        <v>28</v>
      </c>
    </row>
    <row r="39" spans="1:29" x14ac:dyDescent="0.35">
      <c r="A39">
        <f t="shared" si="0"/>
        <v>30</v>
      </c>
      <c r="B39" s="677" t="s">
        <v>2344</v>
      </c>
      <c r="C39" s="678" t="s">
        <v>2081</v>
      </c>
      <c r="D39" s="682" t="str">
        <f>WeaponsSpecs!C144</f>
        <v>2013-</v>
      </c>
      <c r="E39" s="832" t="str">
        <f>WeaponsSpecs!N144</f>
        <v>kinetic</v>
      </c>
      <c r="F39" s="679">
        <f>WeaponsSpecs!L144</f>
        <v>6793</v>
      </c>
      <c r="G39" s="679">
        <f>WeaponsSpecs!K144</f>
        <v>180</v>
      </c>
      <c r="H39" s="679" t="str">
        <f>WeaponsSpecs!M144</f>
        <v>1.6M</v>
      </c>
      <c r="I39" s="679">
        <f>G39-G3</f>
        <v>80</v>
      </c>
      <c r="J39" s="679" t="str">
        <f>WeaponsSpecs!O144</f>
        <v>&gt;1000</v>
      </c>
      <c r="K39" s="679" t="str">
        <f>WeaponsSpecs!Q144</f>
        <v>&gt;50</v>
      </c>
      <c r="L39" s="678" t="s">
        <v>2606</v>
      </c>
      <c r="M39" s="685" t="s">
        <v>2434</v>
      </c>
      <c r="N39" s="831">
        <f>WeaponsSpecs!D144</f>
        <v>2000000</v>
      </c>
      <c r="O39" s="679" t="s">
        <v>34</v>
      </c>
      <c r="P39" s="679" t="s">
        <v>34</v>
      </c>
      <c r="Q39" s="679" t="s">
        <v>34</v>
      </c>
      <c r="R39" s="679"/>
      <c r="S39" s="679" t="s">
        <v>34</v>
      </c>
      <c r="T39" s="679" t="s">
        <v>34</v>
      </c>
      <c r="U39" s="679" t="s">
        <v>34</v>
      </c>
      <c r="V39" s="679" t="s">
        <v>34</v>
      </c>
      <c r="W39" s="685" t="s">
        <v>2602</v>
      </c>
      <c r="X39" s="679"/>
      <c r="Y39" s="683"/>
      <c r="Z39">
        <f t="shared" si="1"/>
        <v>29</v>
      </c>
    </row>
    <row r="40" spans="1:29" x14ac:dyDescent="0.35">
      <c r="A40">
        <f t="shared" si="0"/>
        <v>31</v>
      </c>
      <c r="B40" s="677" t="s">
        <v>2345</v>
      </c>
      <c r="C40" s="678" t="s">
        <v>2012</v>
      </c>
      <c r="D40" s="682" t="str">
        <f>WeaponsSpecs!C147</f>
        <v>2014-</v>
      </c>
      <c r="E40" s="832" t="str">
        <f>WeaponsSpecs!N147</f>
        <v>kinetic</v>
      </c>
      <c r="F40" s="679">
        <f>WeaponsSpecs!L147</f>
        <v>16200</v>
      </c>
      <c r="G40" s="679">
        <f>WeaponsSpecs!K147</f>
        <v>2500</v>
      </c>
      <c r="H40" s="679" t="str">
        <f>WeaponsSpecs!M147</f>
        <v>9.3M</v>
      </c>
      <c r="I40" s="679">
        <f>G40-300</f>
        <v>2200</v>
      </c>
      <c r="J40" s="679" t="str">
        <f>WeaponsSpecs!O147</f>
        <v>&gt;400</v>
      </c>
      <c r="K40" s="679"/>
      <c r="L40" s="678" t="s">
        <v>1873</v>
      </c>
      <c r="M40" s="678" t="s">
        <v>2055</v>
      </c>
      <c r="N40" s="833">
        <f>WeaponsSpecs!D147</f>
        <v>12000000</v>
      </c>
      <c r="O40" s="679" t="s">
        <v>34</v>
      </c>
      <c r="P40" s="679" t="s">
        <v>34</v>
      </c>
      <c r="Q40" s="679" t="s">
        <v>34</v>
      </c>
      <c r="R40" s="679"/>
      <c r="S40" s="679" t="s">
        <v>34</v>
      </c>
      <c r="T40" s="679" t="s">
        <v>34</v>
      </c>
      <c r="U40" s="679" t="s">
        <v>34</v>
      </c>
      <c r="V40" s="679" t="s">
        <v>34</v>
      </c>
      <c r="W40" s="685" t="s">
        <v>2691</v>
      </c>
      <c r="X40" s="679"/>
      <c r="Y40" s="683"/>
      <c r="Z40">
        <f t="shared" si="1"/>
        <v>30</v>
      </c>
      <c r="AA40" s="4" t="s">
        <v>2608</v>
      </c>
      <c r="AB40" s="395" t="s">
        <v>2024</v>
      </c>
      <c r="AC40" s="4" t="s">
        <v>1885</v>
      </c>
    </row>
    <row r="41" spans="1:29" x14ac:dyDescent="0.35">
      <c r="A41">
        <f t="shared" si="0"/>
        <v>32</v>
      </c>
      <c r="B41" s="677" t="s">
        <v>2346</v>
      </c>
      <c r="C41" s="678" t="s">
        <v>2006</v>
      </c>
      <c r="D41" s="679" t="str">
        <f>WeaponsSpecs!C111</f>
        <v>1986-</v>
      </c>
      <c r="E41" s="679" t="s">
        <v>34</v>
      </c>
      <c r="F41" s="679" t="s">
        <v>34</v>
      </c>
      <c r="G41" s="679" t="s">
        <v>34</v>
      </c>
      <c r="H41" s="679" t="s">
        <v>34</v>
      </c>
      <c r="I41" s="679" t="s">
        <v>34</v>
      </c>
      <c r="J41" s="679" t="s">
        <v>34</v>
      </c>
      <c r="K41" s="679" t="s">
        <v>34</v>
      </c>
      <c r="L41" s="679" t="s">
        <v>34</v>
      </c>
      <c r="M41" s="679" t="s">
        <v>34</v>
      </c>
      <c r="N41" s="833">
        <f>WeaponsSpecs!D111</f>
        <v>200000000</v>
      </c>
      <c r="O41" s="679" t="s">
        <v>34</v>
      </c>
      <c r="P41" s="679" t="s">
        <v>34</v>
      </c>
      <c r="Q41" s="679" t="s">
        <v>34</v>
      </c>
      <c r="R41" s="679"/>
      <c r="S41" s="679" t="s">
        <v>34</v>
      </c>
      <c r="T41" s="679" t="s">
        <v>34</v>
      </c>
      <c r="U41" s="679" t="s">
        <v>34</v>
      </c>
      <c r="V41" s="679" t="s">
        <v>34</v>
      </c>
      <c r="W41" s="679" t="s">
        <v>34</v>
      </c>
      <c r="X41" s="679" t="s">
        <v>34</v>
      </c>
      <c r="Y41" s="683" t="s">
        <v>34</v>
      </c>
      <c r="Z41">
        <f t="shared" si="1"/>
        <v>31</v>
      </c>
    </row>
    <row r="42" spans="1:29" ht="15" thickBot="1" x14ac:dyDescent="0.4">
      <c r="A42">
        <f t="shared" si="0"/>
        <v>33</v>
      </c>
      <c r="B42" s="677" t="s">
        <v>2347</v>
      </c>
      <c r="C42" s="678" t="s">
        <v>1878</v>
      </c>
      <c r="D42" s="679" t="str">
        <f>WeaponsSpecs!C112</f>
        <v>1989-</v>
      </c>
      <c r="E42" s="679" t="s">
        <v>34</v>
      </c>
      <c r="F42" s="679" t="s">
        <v>34</v>
      </c>
      <c r="G42" s="679" t="s">
        <v>34</v>
      </c>
      <c r="H42" s="679" t="s">
        <v>34</v>
      </c>
      <c r="I42" s="679" t="s">
        <v>34</v>
      </c>
      <c r="J42" s="679" t="s">
        <v>34</v>
      </c>
      <c r="K42" s="679" t="s">
        <v>34</v>
      </c>
      <c r="L42" s="679" t="s">
        <v>34</v>
      </c>
      <c r="M42" s="679" t="s">
        <v>34</v>
      </c>
      <c r="N42" s="833">
        <f>WeaponsSpecs!D112</f>
        <v>400000</v>
      </c>
      <c r="O42" s="679" t="s">
        <v>34</v>
      </c>
      <c r="P42" s="679" t="s">
        <v>34</v>
      </c>
      <c r="Q42" s="679" t="s">
        <v>34</v>
      </c>
      <c r="R42" s="679"/>
      <c r="S42" s="679" t="s">
        <v>34</v>
      </c>
      <c r="T42" s="679" t="s">
        <v>34</v>
      </c>
      <c r="U42" s="679" t="s">
        <v>34</v>
      </c>
      <c r="V42" s="679" t="s">
        <v>34</v>
      </c>
      <c r="W42" s="679" t="s">
        <v>34</v>
      </c>
      <c r="X42" s="679" t="s">
        <v>34</v>
      </c>
      <c r="Y42" s="683" t="s">
        <v>34</v>
      </c>
      <c r="Z42">
        <f t="shared" si="1"/>
        <v>32</v>
      </c>
    </row>
    <row r="43" spans="1:29" ht="15" thickTop="1" x14ac:dyDescent="0.35">
      <c r="A43">
        <f t="shared" si="0"/>
        <v>34</v>
      </c>
      <c r="B43" s="233" t="s">
        <v>2731</v>
      </c>
      <c r="C43" s="675"/>
      <c r="D43" s="675"/>
      <c r="E43" s="675"/>
      <c r="F43" s="820"/>
      <c r="G43" s="658"/>
      <c r="H43" s="658"/>
      <c r="I43" s="658"/>
      <c r="J43" s="658"/>
      <c r="K43" s="658"/>
      <c r="L43" s="658"/>
      <c r="M43" s="652"/>
      <c r="N43" s="672"/>
      <c r="O43" s="658"/>
      <c r="P43" s="687">
        <f>SUM(P44:P55)</f>
        <v>6863.7857142857138</v>
      </c>
      <c r="Q43" s="687"/>
      <c r="R43" s="687"/>
      <c r="S43" s="687">
        <f>SUM(S44:S55)</f>
        <v>285.99107142857139</v>
      </c>
      <c r="T43" s="658"/>
      <c r="U43" s="658"/>
      <c r="V43" s="658"/>
      <c r="W43" s="658"/>
      <c r="X43" s="658"/>
      <c r="Y43" s="673"/>
      <c r="Z43">
        <f t="shared" si="1"/>
        <v>33</v>
      </c>
    </row>
    <row r="44" spans="1:29" x14ac:dyDescent="0.35">
      <c r="A44" s="712">
        <f t="shared" si="0"/>
        <v>35</v>
      </c>
      <c r="B44" s="123" t="s">
        <v>2336</v>
      </c>
      <c r="C44" t="s">
        <v>2733</v>
      </c>
      <c r="D44" s="42" t="str">
        <f>WeaponsSpecs!C187</f>
        <v>1997-</v>
      </c>
      <c r="E44" s="172">
        <f>WeaponsSpecs!$N$187</f>
        <v>8050</v>
      </c>
      <c r="F44" s="172">
        <f>WeaponsSpecs!L187</f>
        <v>1915</v>
      </c>
      <c r="G44" s="159">
        <f>WeaponsSpecs!K187</f>
        <v>822</v>
      </c>
      <c r="H44" s="172" t="str">
        <f>WeaponsSpecs!M187</f>
        <v>26M</v>
      </c>
      <c r="I44" s="455" t="s">
        <v>2080</v>
      </c>
      <c r="J44" s="172" t="str">
        <f>WeaponsSpecs!O187</f>
        <v>&gt;632</v>
      </c>
      <c r="K44" s="172">
        <f>WeaponsSpecs!Q187</f>
        <v>24</v>
      </c>
      <c r="L44" t="s">
        <v>1832</v>
      </c>
      <c r="M44" s="455" t="s">
        <v>2794</v>
      </c>
      <c r="N44" s="667">
        <f>WeaponsSpecs!D187</f>
        <v>100000000</v>
      </c>
      <c r="O44" s="159">
        <v>20</v>
      </c>
      <c r="P44" s="666">
        <f>N44*O44/P$1</f>
        <v>2000</v>
      </c>
      <c r="Q44" s="453">
        <f>O44/Q$3</f>
        <v>0.83333333333333337</v>
      </c>
      <c r="R44" s="172">
        <f t="shared" ref="R44:R53" si="7">O44/Q44</f>
        <v>24</v>
      </c>
      <c r="S44" s="666">
        <f t="shared" ref="S44:S48" si="8">(Q44/O44)*P44</f>
        <v>83.333333333333343</v>
      </c>
      <c r="T44" t="s">
        <v>2461</v>
      </c>
      <c r="V44" t="s">
        <v>2470</v>
      </c>
      <c r="W44" t="s">
        <v>2454</v>
      </c>
      <c r="Y44" s="25"/>
      <c r="Z44">
        <f t="shared" si="1"/>
        <v>34</v>
      </c>
      <c r="AA44" s="4" t="s">
        <v>2747</v>
      </c>
    </row>
    <row r="45" spans="1:29" x14ac:dyDescent="0.35">
      <c r="A45" s="712">
        <f t="shared" si="0"/>
        <v>36</v>
      </c>
      <c r="B45" s="123" t="s">
        <v>2348</v>
      </c>
      <c r="C45" t="s">
        <v>2467</v>
      </c>
      <c r="D45" s="42" t="str">
        <f>WeaponsSpecs!C189</f>
        <v>Aug, 2018</v>
      </c>
      <c r="E45" s="42" t="s">
        <v>34</v>
      </c>
      <c r="F45" s="172" t="s">
        <v>34</v>
      </c>
      <c r="G45" s="159">
        <f>WeaponsSpecs!K189</f>
        <v>370</v>
      </c>
      <c r="H45" s="172" t="s">
        <v>34</v>
      </c>
      <c r="I45" s="172">
        <f>G45-G4</f>
        <v>270</v>
      </c>
      <c r="J45" s="172" t="s">
        <v>34</v>
      </c>
      <c r="K45" s="172" t="s">
        <v>34</v>
      </c>
      <c r="L45" s="42" t="s">
        <v>34</v>
      </c>
      <c r="M45" s="455" t="s">
        <v>2222</v>
      </c>
      <c r="N45" s="667">
        <f>WeaponsSpecs!D189</f>
        <v>34714285.714285716</v>
      </c>
      <c r="O45" s="172">
        <v>20</v>
      </c>
      <c r="P45" s="666">
        <f t="shared" ref="P45:P47" si="9">N45*O45/P$1</f>
        <v>694.28571428571433</v>
      </c>
      <c r="Q45" s="453">
        <f>O45/Q$3</f>
        <v>0.83333333333333337</v>
      </c>
      <c r="R45" s="172">
        <f t="shared" si="7"/>
        <v>24</v>
      </c>
      <c r="S45" s="666">
        <f t="shared" si="8"/>
        <v>28.928571428571434</v>
      </c>
      <c r="T45" t="s">
        <v>2462</v>
      </c>
      <c r="U45" t="s">
        <v>34</v>
      </c>
      <c r="V45" t="s">
        <v>34</v>
      </c>
      <c r="W45" t="s">
        <v>34</v>
      </c>
      <c r="X45" t="s">
        <v>34</v>
      </c>
      <c r="Y45" s="147" t="s">
        <v>34</v>
      </c>
      <c r="Z45">
        <f t="shared" si="1"/>
        <v>35</v>
      </c>
    </row>
    <row r="46" spans="1:29" x14ac:dyDescent="0.35">
      <c r="A46" s="712">
        <f t="shared" si="0"/>
        <v>37</v>
      </c>
      <c r="B46" s="123" t="s">
        <v>2562</v>
      </c>
      <c r="C46" t="s">
        <v>2695</v>
      </c>
      <c r="D46" s="455" t="s">
        <v>1969</v>
      </c>
      <c r="E46" s="454" t="str">
        <f>WeaponsSpecs!N190</f>
        <v>64</v>
      </c>
      <c r="F46" s="172">
        <f>WeaponsSpecs!$L$190</f>
        <v>4287</v>
      </c>
      <c r="G46" s="159">
        <f>WeaponsSpecs!K190</f>
        <v>400</v>
      </c>
      <c r="H46" s="172" t="str">
        <f>WeaponsSpecs!M190</f>
        <v>5.6M</v>
      </c>
      <c r="I46" s="159">
        <f>G46-G4</f>
        <v>300</v>
      </c>
      <c r="J46" s="172" t="str">
        <f>WeaponsSpecs!O190</f>
        <v>&gt;50</v>
      </c>
      <c r="K46" s="172" t="str">
        <f>WeaponsSpecs!Q190</f>
        <v>&gt;50</v>
      </c>
      <c r="L46" t="s">
        <v>2465</v>
      </c>
      <c r="M46" s="455" t="s">
        <v>2464</v>
      </c>
      <c r="N46" s="667">
        <f>WeaponsSpecs!D190</f>
        <v>4870000</v>
      </c>
      <c r="O46" s="172">
        <v>50</v>
      </c>
      <c r="P46" s="666">
        <f t="shared" si="9"/>
        <v>243.5</v>
      </c>
      <c r="Q46" s="453">
        <f>O46/Q$3</f>
        <v>2.0833333333333335</v>
      </c>
      <c r="R46" s="172">
        <f t="shared" si="7"/>
        <v>24</v>
      </c>
      <c r="S46" s="666">
        <f t="shared" si="8"/>
        <v>10.145833333333334</v>
      </c>
      <c r="T46" t="s">
        <v>2468</v>
      </c>
      <c r="U46" t="s">
        <v>2475</v>
      </c>
      <c r="V46" t="s">
        <v>2470</v>
      </c>
      <c r="W46" t="s">
        <v>2471</v>
      </c>
      <c r="X46" t="s">
        <v>2472</v>
      </c>
      <c r="Y46" s="25" t="s">
        <v>2474</v>
      </c>
      <c r="Z46">
        <f t="shared" si="1"/>
        <v>36</v>
      </c>
      <c r="AA46" s="4" t="s">
        <v>2743</v>
      </c>
      <c r="AB46" s="4" t="s">
        <v>2052</v>
      </c>
    </row>
    <row r="47" spans="1:29" x14ac:dyDescent="0.35">
      <c r="A47" s="712">
        <f t="shared" si="0"/>
        <v>38</v>
      </c>
      <c r="B47" s="123" t="s">
        <v>2749</v>
      </c>
      <c r="C47" t="s">
        <v>2696</v>
      </c>
      <c r="D47" s="455" t="s">
        <v>1264</v>
      </c>
      <c r="E47" s="70" t="str">
        <f>WeaponsSpecs!N191</f>
        <v>20</v>
      </c>
      <c r="F47" s="172">
        <f>WeaponsSpecs!L191</f>
        <v>4939</v>
      </c>
      <c r="G47" s="159">
        <f>WeaponsSpecs!K191</f>
        <v>220</v>
      </c>
      <c r="H47" s="172" t="str">
        <f>WeaponsSpecs!M191</f>
        <v>2.7M</v>
      </c>
      <c r="I47" s="159">
        <f>G47-G4</f>
        <v>120</v>
      </c>
      <c r="J47" s="172" t="str">
        <f>WeaponsSpecs!O191</f>
        <v>&gt;100</v>
      </c>
      <c r="K47" s="172" t="str">
        <f>WeaponsSpecs!Q191</f>
        <v>&gt;100</v>
      </c>
      <c r="L47" t="s">
        <v>2466</v>
      </c>
      <c r="M47" s="455" t="s">
        <v>2464</v>
      </c>
      <c r="N47" s="667">
        <f>WeaponsSpecs!D191</f>
        <v>1090000</v>
      </c>
      <c r="O47" s="159">
        <v>100</v>
      </c>
      <c r="P47" s="666">
        <f t="shared" si="9"/>
        <v>109</v>
      </c>
      <c r="Q47" s="453">
        <f>O47/Q$3</f>
        <v>4.166666666666667</v>
      </c>
      <c r="R47" s="172">
        <f t="shared" si="7"/>
        <v>24</v>
      </c>
      <c r="S47" s="666">
        <f t="shared" si="8"/>
        <v>4.541666666666667</v>
      </c>
      <c r="T47" t="s">
        <v>2468</v>
      </c>
      <c r="U47" t="s">
        <v>2469</v>
      </c>
      <c r="V47" t="s">
        <v>2470</v>
      </c>
      <c r="W47" t="s">
        <v>2697</v>
      </c>
      <c r="X47" t="s">
        <v>2473</v>
      </c>
      <c r="Y47" s="25" t="s">
        <v>2474</v>
      </c>
      <c r="Z47">
        <f t="shared" si="1"/>
        <v>37</v>
      </c>
    </row>
    <row r="48" spans="1:29" x14ac:dyDescent="0.35">
      <c r="A48" s="712">
        <f t="shared" si="0"/>
        <v>39</v>
      </c>
      <c r="B48" s="123" t="s">
        <v>2779</v>
      </c>
      <c r="C48" t="s">
        <v>2793</v>
      </c>
      <c r="D48" s="42" t="str">
        <f>WeaponsSpecs!C192</f>
        <v>Aug, 2006-</v>
      </c>
      <c r="E48" s="70" t="s">
        <v>34</v>
      </c>
      <c r="F48" s="172">
        <f>WeaponsSpecs!L192</f>
        <v>1900</v>
      </c>
      <c r="G48" s="159">
        <f>WeaponsSpecs!K192</f>
        <v>722</v>
      </c>
      <c r="H48" s="172" t="str">
        <f>WeaponsSpecs!M192</f>
        <v>23M</v>
      </c>
      <c r="I48" s="159" t="s">
        <v>2780</v>
      </c>
      <c r="J48" s="172" t="str">
        <f>WeaponsSpecs!O192</f>
        <v>&gt;172</v>
      </c>
      <c r="K48" s="172" t="str">
        <f>WeaponsSpecs!Q192</f>
        <v>&gt;12</v>
      </c>
      <c r="L48" t="s">
        <v>1832</v>
      </c>
      <c r="M48" s="455" t="s">
        <v>2792</v>
      </c>
      <c r="N48" s="667">
        <f>WeaponsSpecs!D192</f>
        <v>125000000</v>
      </c>
      <c r="O48" s="159">
        <v>12</v>
      </c>
      <c r="P48" s="666">
        <f t="shared" ref="P48" si="10">N48*O48/P$1</f>
        <v>1500</v>
      </c>
      <c r="Q48" s="453">
        <f>O48/Q$3</f>
        <v>0.5</v>
      </c>
      <c r="R48" s="172">
        <f t="shared" ref="R48" si="11">O48/Q48</f>
        <v>24</v>
      </c>
      <c r="S48" s="666">
        <f t="shared" si="8"/>
        <v>62.5</v>
      </c>
      <c r="T48" t="s">
        <v>2783</v>
      </c>
      <c r="U48" t="s">
        <v>2791</v>
      </c>
      <c r="V48" t="s">
        <v>2784</v>
      </c>
      <c r="W48" t="s">
        <v>2785</v>
      </c>
      <c r="X48" s="42" t="s">
        <v>34</v>
      </c>
      <c r="Y48" s="147" t="s">
        <v>34</v>
      </c>
      <c r="Z48">
        <f t="shared" si="1"/>
        <v>38</v>
      </c>
      <c r="AA48" s="4" t="s">
        <v>2773</v>
      </c>
    </row>
    <row r="49" spans="1:28" x14ac:dyDescent="0.35">
      <c r="A49" s="712">
        <f t="shared" si="0"/>
        <v>40</v>
      </c>
      <c r="B49" s="123" t="s">
        <v>2335</v>
      </c>
      <c r="C49" t="s">
        <v>2039</v>
      </c>
      <c r="D49" s="42" t="str">
        <f>WeaponsSpecs!C201</f>
        <v>1978-</v>
      </c>
      <c r="E49" s="172">
        <f>WeaponsSpecs!N201</f>
        <v>7700</v>
      </c>
      <c r="F49" s="172">
        <f>WeaponsSpecs!L201</f>
        <v>2000</v>
      </c>
      <c r="G49" s="159">
        <f>WeaponsSpecs!K201</f>
        <v>546</v>
      </c>
      <c r="H49" s="172" t="str">
        <f>WeaponsSpecs!M201</f>
        <v>16M</v>
      </c>
      <c r="I49" s="455" t="s">
        <v>2079</v>
      </c>
      <c r="J49" s="172" t="str">
        <f>WeaponsSpecs!O201</f>
        <v>4,900</v>
      </c>
      <c r="K49" s="172">
        <f>WeaponsSpecs!Q201</f>
        <v>48</v>
      </c>
      <c r="L49" t="s">
        <v>1832</v>
      </c>
      <c r="M49" s="455" t="s">
        <v>2795</v>
      </c>
      <c r="N49" s="667">
        <f>WeaponsSpecs!D201</f>
        <v>100000000</v>
      </c>
      <c r="O49" s="172">
        <v>300</v>
      </c>
      <c r="P49" s="42" t="s">
        <v>34</v>
      </c>
      <c r="Q49" s="453">
        <f>O49/Q$4</f>
        <v>6.25</v>
      </c>
      <c r="R49" s="172">
        <f t="shared" si="7"/>
        <v>48</v>
      </c>
      <c r="S49" s="42" t="s">
        <v>34</v>
      </c>
      <c r="T49" t="s">
        <v>2442</v>
      </c>
      <c r="U49" t="s">
        <v>2692</v>
      </c>
      <c r="V49" t="s">
        <v>2443</v>
      </c>
      <c r="W49" t="s">
        <v>2444</v>
      </c>
      <c r="X49" s="42" t="s">
        <v>34</v>
      </c>
      <c r="Y49" s="147" t="s">
        <v>34</v>
      </c>
      <c r="Z49">
        <f t="shared" si="1"/>
        <v>39</v>
      </c>
    </row>
    <row r="50" spans="1:28" x14ac:dyDescent="0.35">
      <c r="A50" s="712">
        <f t="shared" si="0"/>
        <v>41</v>
      </c>
      <c r="B50" s="123" t="s">
        <v>2337</v>
      </c>
      <c r="C50" t="s">
        <v>2240</v>
      </c>
      <c r="D50" s="42" t="str">
        <f>WeaponsSpecs!C202</f>
        <v>1980?</v>
      </c>
      <c r="E50" s="42" t="s">
        <v>34</v>
      </c>
      <c r="F50" s="172" t="s">
        <v>34</v>
      </c>
      <c r="G50" s="159">
        <f>WeaponsSpecs!K202</f>
        <v>83</v>
      </c>
      <c r="H50" s="172" t="s">
        <v>34</v>
      </c>
      <c r="I50" s="172">
        <f>G50-G4</f>
        <v>-17</v>
      </c>
      <c r="J50" s="172" t="s">
        <v>34</v>
      </c>
      <c r="K50" s="172" t="s">
        <v>34</v>
      </c>
      <c r="L50" s="42" t="s">
        <v>34</v>
      </c>
      <c r="M50" s="42" t="s">
        <v>34</v>
      </c>
      <c r="N50" s="666" t="s">
        <v>34</v>
      </c>
      <c r="O50" s="172" t="s">
        <v>34</v>
      </c>
      <c r="P50" s="172" t="s">
        <v>34</v>
      </c>
      <c r="Q50" s="172" t="s">
        <v>34</v>
      </c>
      <c r="R50" s="172" t="s">
        <v>34</v>
      </c>
      <c r="S50" s="172" t="s">
        <v>34</v>
      </c>
      <c r="T50" s="172" t="s">
        <v>34</v>
      </c>
      <c r="U50" s="172" t="s">
        <v>34</v>
      </c>
      <c r="V50" s="172" t="s">
        <v>34</v>
      </c>
      <c r="W50" s="172" t="s">
        <v>34</v>
      </c>
      <c r="X50" s="172" t="s">
        <v>34</v>
      </c>
      <c r="Y50" s="147" t="s">
        <v>34</v>
      </c>
      <c r="Z50">
        <f t="shared" si="1"/>
        <v>40</v>
      </c>
    </row>
    <row r="51" spans="1:28" x14ac:dyDescent="0.35">
      <c r="A51">
        <f t="shared" si="0"/>
        <v>42</v>
      </c>
      <c r="B51" s="123" t="s">
        <v>2338</v>
      </c>
      <c r="C51" t="s">
        <v>2241</v>
      </c>
      <c r="D51" s="42" t="str">
        <f>WeaponsSpecs!C186</f>
        <v>1985-</v>
      </c>
      <c r="E51" s="454" t="str">
        <f>WeaponsSpecs!N186</f>
        <v>68</v>
      </c>
      <c r="F51" s="172">
        <f>WeaponsSpecs!L186</f>
        <v>3552</v>
      </c>
      <c r="G51" s="159">
        <f>WeaponsSpecs!K186</f>
        <v>300</v>
      </c>
      <c r="H51" s="172" t="str">
        <f>WeaponsSpecs!M186</f>
        <v>5M</v>
      </c>
      <c r="I51" s="172">
        <f>G51-G4</f>
        <v>200</v>
      </c>
      <c r="J51" s="172" t="str">
        <f>WeaponsSpecs!O186</f>
        <v>&gt;3000</v>
      </c>
      <c r="K51" s="172" t="str">
        <f>WeaponsSpecs!Q186</f>
        <v>&gt;300</v>
      </c>
      <c r="L51" t="s">
        <v>2140</v>
      </c>
      <c r="M51" t="s">
        <v>2140</v>
      </c>
      <c r="N51" s="667">
        <f>WeaponsSpecs!D186</f>
        <v>870000</v>
      </c>
      <c r="O51" s="172">
        <v>600</v>
      </c>
      <c r="P51" s="666">
        <f>N51*O51/P$1</f>
        <v>522</v>
      </c>
      <c r="Q51" s="453">
        <f>O51/Q$3</f>
        <v>25</v>
      </c>
      <c r="R51" s="172">
        <f t="shared" si="7"/>
        <v>24</v>
      </c>
      <c r="S51" s="666">
        <f t="shared" ref="S51:S52" si="12">(Q51/O51)*P51</f>
        <v>21.75</v>
      </c>
      <c r="T51" t="s">
        <v>2242</v>
      </c>
      <c r="U51" t="s">
        <v>2445</v>
      </c>
      <c r="V51" t="s">
        <v>2446</v>
      </c>
      <c r="W51" t="s">
        <v>34</v>
      </c>
      <c r="X51" t="s">
        <v>2447</v>
      </c>
      <c r="Y51" s="25" t="s">
        <v>2448</v>
      </c>
      <c r="Z51">
        <f t="shared" si="1"/>
        <v>41</v>
      </c>
    </row>
    <row r="52" spans="1:28" x14ac:dyDescent="0.35">
      <c r="A52">
        <f t="shared" si="0"/>
        <v>43</v>
      </c>
      <c r="B52" s="123" t="s">
        <v>2339</v>
      </c>
      <c r="C52" t="s">
        <v>2693</v>
      </c>
      <c r="D52" s="42" t="str">
        <f>WeaponsSpecs!C212</f>
        <v>1958-</v>
      </c>
      <c r="E52" s="454" t="str">
        <f>WeaponsSpecs!N212</f>
        <v>40</v>
      </c>
      <c r="F52" s="172">
        <f>WeaponsSpecs!L212</f>
        <v>4770</v>
      </c>
      <c r="G52" s="159">
        <f>WeaponsSpecs!K212</f>
        <v>70</v>
      </c>
      <c r="H52" s="172" t="str">
        <f>WeaponsSpecs!M212</f>
        <v>53S</v>
      </c>
      <c r="I52" s="172">
        <f>G52-G4</f>
        <v>-30</v>
      </c>
      <c r="J52" s="172" t="str">
        <f>WeaponsSpecs!O212</f>
        <v>&gt;70,000</v>
      </c>
      <c r="K52" s="172" t="str">
        <f>WeaponsSpecs!Q212</f>
        <v>&gt;300</v>
      </c>
      <c r="L52" t="s">
        <v>2020</v>
      </c>
      <c r="M52" t="s">
        <v>2140</v>
      </c>
      <c r="N52" s="667">
        <f>WeaponsSpecs!D212</f>
        <v>125000</v>
      </c>
      <c r="O52" s="172">
        <v>10000</v>
      </c>
      <c r="P52" s="666">
        <f>N52*O52/P$1</f>
        <v>1250</v>
      </c>
      <c r="Q52" s="453">
        <f>O52/Q$3</f>
        <v>416.66666666666669</v>
      </c>
      <c r="R52" s="172">
        <f t="shared" si="7"/>
        <v>24</v>
      </c>
      <c r="S52" s="666">
        <f t="shared" si="12"/>
        <v>52.083333333333336</v>
      </c>
      <c r="T52" t="s">
        <v>2449</v>
      </c>
      <c r="U52" t="s">
        <v>2450</v>
      </c>
      <c r="V52" t="s">
        <v>2451</v>
      </c>
      <c r="W52" t="s">
        <v>2694</v>
      </c>
      <c r="X52" t="s">
        <v>2452</v>
      </c>
      <c r="Y52" s="25" t="s">
        <v>2453</v>
      </c>
      <c r="Z52">
        <f t="shared" si="1"/>
        <v>42</v>
      </c>
    </row>
    <row r="53" spans="1:28" x14ac:dyDescent="0.35">
      <c r="A53">
        <f t="shared" si="0"/>
        <v>44</v>
      </c>
      <c r="B53" s="123" t="s">
        <v>2350</v>
      </c>
      <c r="C53" t="s">
        <v>2732</v>
      </c>
      <c r="D53" s="42" t="str">
        <f>WeaponsSpecs!C210</f>
        <v>2014-</v>
      </c>
      <c r="E53" s="454" t="str">
        <f>WeaponsSpecs!N210</f>
        <v>20</v>
      </c>
      <c r="F53" s="172">
        <f>WeaponsSpecs!L210</f>
        <v>4939</v>
      </c>
      <c r="G53" s="159">
        <f>WeaponsSpecs!K210</f>
        <v>160</v>
      </c>
      <c r="H53" s="172" t="s">
        <v>394</v>
      </c>
      <c r="I53" t="s">
        <v>2583</v>
      </c>
      <c r="J53" s="172" t="str">
        <f>WeaponsSpecs!O209</f>
        <v>&gt;14,000</v>
      </c>
      <c r="K53" s="172" t="str">
        <f>WeaponsSpecs!Q210</f>
        <v>&gt;800</v>
      </c>
      <c r="L53" t="s">
        <v>2020</v>
      </c>
      <c r="M53" s="850" t="s">
        <v>2397</v>
      </c>
      <c r="N53" s="667">
        <f>WeaponsSpecs!D210</f>
        <v>1090000</v>
      </c>
      <c r="O53" s="159">
        <v>500</v>
      </c>
      <c r="P53" s="666">
        <f>N53*O53/P$1</f>
        <v>545</v>
      </c>
      <c r="Q53" s="453">
        <f t="shared" ref="Q53" si="13">O53/Q$3</f>
        <v>20.833333333333332</v>
      </c>
      <c r="R53" s="172">
        <f t="shared" si="7"/>
        <v>24</v>
      </c>
      <c r="S53" s="666">
        <f>(Q53/O53)*P53</f>
        <v>22.708333333333332</v>
      </c>
      <c r="T53" t="s">
        <v>2460</v>
      </c>
      <c r="U53" t="s">
        <v>2455</v>
      </c>
      <c r="V53" t="s">
        <v>2456</v>
      </c>
      <c r="W53" t="s">
        <v>2457</v>
      </c>
      <c r="X53" t="s">
        <v>2458</v>
      </c>
      <c r="Y53" s="25" t="s">
        <v>2459</v>
      </c>
      <c r="Z53">
        <f t="shared" si="1"/>
        <v>43</v>
      </c>
    </row>
    <row r="54" spans="1:28" x14ac:dyDescent="0.35">
      <c r="A54">
        <f t="shared" si="0"/>
        <v>45</v>
      </c>
      <c r="B54" s="123"/>
      <c r="D54" s="42"/>
      <c r="E54" s="42"/>
      <c r="F54" s="172"/>
      <c r="H54" s="42"/>
      <c r="M54" s="455"/>
      <c r="N54" s="667"/>
      <c r="O54" s="159"/>
      <c r="P54" s="667"/>
      <c r="S54" s="667"/>
      <c r="Y54" s="25"/>
      <c r="Z54">
        <f t="shared" si="1"/>
        <v>44</v>
      </c>
    </row>
    <row r="55" spans="1:28" x14ac:dyDescent="0.35">
      <c r="A55">
        <f t="shared" si="0"/>
        <v>46</v>
      </c>
      <c r="B55" s="123"/>
      <c r="D55" s="42"/>
      <c r="E55" s="42"/>
      <c r="F55" s="172"/>
      <c r="H55" s="42"/>
      <c r="M55" s="455"/>
      <c r="N55" s="667"/>
      <c r="O55" s="159"/>
      <c r="P55" s="667"/>
      <c r="S55" s="667"/>
      <c r="Y55" s="25"/>
      <c r="Z55">
        <f t="shared" si="1"/>
        <v>45</v>
      </c>
    </row>
    <row r="56" spans="1:28" ht="15" thickBot="1" x14ac:dyDescent="0.4">
      <c r="A56">
        <f t="shared" si="0"/>
        <v>47</v>
      </c>
      <c r="B56" s="677" t="s">
        <v>2349</v>
      </c>
      <c r="C56" s="681" t="s">
        <v>2046</v>
      </c>
      <c r="D56" s="682"/>
      <c r="E56" s="682"/>
      <c r="F56" s="679"/>
      <c r="G56" s="680">
        <f>WeaponsSpecs!K194</f>
        <v>619.5</v>
      </c>
      <c r="H56" s="679"/>
      <c r="I56" s="682" t="s">
        <v>34</v>
      </c>
      <c r="J56" s="682"/>
      <c r="K56" s="682"/>
      <c r="L56" s="682" t="s">
        <v>34</v>
      </c>
      <c r="M56" s="682" t="s">
        <v>34</v>
      </c>
      <c r="N56" s="831" t="s">
        <v>34</v>
      </c>
      <c r="O56" s="682" t="s">
        <v>34</v>
      </c>
      <c r="P56" s="682" t="s">
        <v>34</v>
      </c>
      <c r="Q56" s="682" t="s">
        <v>34</v>
      </c>
      <c r="R56" s="682"/>
      <c r="S56" s="682" t="s">
        <v>34</v>
      </c>
      <c r="T56" s="682" t="s">
        <v>34</v>
      </c>
      <c r="U56" s="682" t="s">
        <v>34</v>
      </c>
      <c r="V56" s="682" t="s">
        <v>34</v>
      </c>
      <c r="W56" s="682" t="s">
        <v>34</v>
      </c>
      <c r="X56" s="682" t="s">
        <v>34</v>
      </c>
      <c r="Y56" s="688" t="s">
        <v>34</v>
      </c>
      <c r="Z56">
        <f t="shared" si="1"/>
        <v>46</v>
      </c>
    </row>
    <row r="57" spans="1:28" ht="15" thickTop="1" x14ac:dyDescent="0.35">
      <c r="A57">
        <f t="shared" si="0"/>
        <v>48</v>
      </c>
      <c r="B57" s="233" t="s">
        <v>2559</v>
      </c>
      <c r="C57" s="658"/>
      <c r="D57" s="646"/>
      <c r="E57" s="646"/>
      <c r="F57" s="648"/>
      <c r="G57" s="658"/>
      <c r="H57" s="646"/>
      <c r="I57" s="658"/>
      <c r="J57" s="658"/>
      <c r="K57" s="658"/>
      <c r="L57" s="658"/>
      <c r="M57" s="652"/>
      <c r="N57" s="672"/>
      <c r="O57" s="232" t="s">
        <v>2560</v>
      </c>
      <c r="P57" s="672"/>
      <c r="Q57" s="658"/>
      <c r="R57" s="658"/>
      <c r="S57" s="672"/>
      <c r="T57" s="658"/>
      <c r="U57" s="658"/>
      <c r="V57" s="658"/>
      <c r="W57" s="658"/>
      <c r="X57" s="658"/>
      <c r="Y57" s="673"/>
      <c r="Z57">
        <f t="shared" si="1"/>
        <v>47</v>
      </c>
    </row>
    <row r="58" spans="1:28" x14ac:dyDescent="0.35">
      <c r="A58">
        <f t="shared" si="0"/>
        <v>49</v>
      </c>
      <c r="B58" s="123" t="s">
        <v>2352</v>
      </c>
      <c r="C58" t="s">
        <v>2011</v>
      </c>
      <c r="D58" s="42" t="str">
        <f>WeaponsSpecs!C249</f>
        <v>1978–1992</v>
      </c>
      <c r="E58" s="42" t="s">
        <v>34</v>
      </c>
      <c r="F58" s="172" t="s">
        <v>34</v>
      </c>
      <c r="G58" t="s">
        <v>1837</v>
      </c>
      <c r="H58" s="42" t="s">
        <v>34</v>
      </c>
      <c r="I58">
        <f>650-300+100</f>
        <v>450</v>
      </c>
      <c r="J58" s="159">
        <f>WeaponsSpecs!P249</f>
        <v>6</v>
      </c>
      <c r="K58" s="159">
        <f>WeaponsSpecs!Q249</f>
        <v>0</v>
      </c>
      <c r="L58" t="s">
        <v>1858</v>
      </c>
      <c r="M58" s="455" t="s">
        <v>2037</v>
      </c>
      <c r="N58" s="667">
        <f>WeaponsSpecs!D249</f>
        <v>350000000</v>
      </c>
      <c r="O58" s="448" t="s">
        <v>2563</v>
      </c>
      <c r="X58" t="s">
        <v>1860</v>
      </c>
      <c r="Y58" s="25" t="s">
        <v>2008</v>
      </c>
      <c r="Z58">
        <f t="shared" si="1"/>
        <v>48</v>
      </c>
    </row>
    <row r="59" spans="1:28" x14ac:dyDescent="0.35">
      <c r="A59">
        <f t="shared" si="0"/>
        <v>50</v>
      </c>
      <c r="B59" s="123" t="s">
        <v>2353</v>
      </c>
      <c r="C59" t="s">
        <v>1859</v>
      </c>
      <c r="D59" s="42" t="str">
        <f>WeaponsSpecs!C171</f>
        <v>2007-</v>
      </c>
      <c r="E59" s="42">
        <f>WeaponsSpecs!N171</f>
        <v>180</v>
      </c>
      <c r="F59" s="172">
        <f>WeaponsSpecs!L171</f>
        <v>17280</v>
      </c>
      <c r="G59">
        <f>WeaponsSpecs!K171</f>
        <v>380</v>
      </c>
      <c r="H59" s="42" t="str">
        <f>WeaponsSpecs!M171</f>
        <v>1.3M</v>
      </c>
      <c r="I59">
        <f>G59-100-30</f>
        <v>250</v>
      </c>
      <c r="J59" s="172" t="str">
        <f>WeaponsSpecs!O171</f>
        <v>&gt;5,000</v>
      </c>
      <c r="K59" s="172" t="str">
        <f>WeaponsSpecs!Q171</f>
        <v>&gt;400</v>
      </c>
      <c r="L59" t="s">
        <v>2631</v>
      </c>
      <c r="M59" s="455" t="s">
        <v>1865</v>
      </c>
      <c r="N59" s="667">
        <f>WeaponsSpecs!D171</f>
        <v>2000000</v>
      </c>
      <c r="O59" s="448" t="s">
        <v>2635</v>
      </c>
      <c r="Y59" s="25"/>
      <c r="Z59">
        <f t="shared" si="1"/>
        <v>49</v>
      </c>
    </row>
    <row r="60" spans="1:28" x14ac:dyDescent="0.35">
      <c r="A60">
        <f t="shared" si="0"/>
        <v>51</v>
      </c>
      <c r="B60" s="123" t="s">
        <v>2418</v>
      </c>
      <c r="C60" t="s">
        <v>1859</v>
      </c>
      <c r="D60" s="42" t="str">
        <f>WeaponsSpecs!C169</f>
        <v>1975-2011</v>
      </c>
      <c r="E60" s="42">
        <f>WeaponsSpecs!N169</f>
        <v>150</v>
      </c>
      <c r="F60" s="172">
        <f>WeaponsSpecs!L169</f>
        <v>10080</v>
      </c>
      <c r="G60">
        <f>WeaponsSpecs!K169</f>
        <v>195</v>
      </c>
      <c r="H60" s="42" t="str">
        <f>WeaponsSpecs!M169</f>
        <v>1.2M</v>
      </c>
      <c r="I60">
        <f>G60-100-30</f>
        <v>65</v>
      </c>
      <c r="J60" s="172" t="str">
        <f>WeaponsSpecs!O169</f>
        <v>&gt;10,000</v>
      </c>
      <c r="K60" s="172">
        <f>WeaponsSpecs!Q169</f>
        <v>0</v>
      </c>
      <c r="L60" t="s">
        <v>2631</v>
      </c>
      <c r="M60" s="455" t="s">
        <v>1865</v>
      </c>
      <c r="N60" s="667">
        <f>WeaponsSpecs!D169</f>
        <v>2000000</v>
      </c>
      <c r="O60" s="448" t="s">
        <v>2635</v>
      </c>
      <c r="Y60" s="25"/>
      <c r="Z60">
        <f t="shared" si="1"/>
        <v>50</v>
      </c>
    </row>
    <row r="61" spans="1:28" x14ac:dyDescent="0.35">
      <c r="A61">
        <f t="shared" si="0"/>
        <v>52</v>
      </c>
      <c r="B61" s="123" t="s">
        <v>2632</v>
      </c>
      <c r="C61" t="s">
        <v>2630</v>
      </c>
      <c r="D61" s="42" t="str">
        <f>WeaponsSpecs!C172</f>
        <v>2021-</v>
      </c>
      <c r="E61" s="42" t="s">
        <v>34</v>
      </c>
      <c r="F61" s="42" t="s">
        <v>34</v>
      </c>
      <c r="G61" s="42">
        <f>WeaponsSpecs!K172</f>
        <v>600</v>
      </c>
      <c r="H61" s="42" t="s">
        <v>34</v>
      </c>
      <c r="I61" s="42" t="s">
        <v>34</v>
      </c>
      <c r="J61" s="42" t="s">
        <v>34</v>
      </c>
      <c r="K61" s="172">
        <f>WeaponsSpecs!Q172</f>
        <v>0</v>
      </c>
      <c r="L61" t="s">
        <v>2631</v>
      </c>
      <c r="M61" s="455" t="s">
        <v>1865</v>
      </c>
      <c r="N61" s="667">
        <f>WeaponsSpecs!D172</f>
        <v>2500000000</v>
      </c>
      <c r="O61" s="448" t="s">
        <v>2633</v>
      </c>
      <c r="Y61" s="25"/>
      <c r="Z61">
        <f t="shared" si="1"/>
        <v>51</v>
      </c>
      <c r="AB61" s="4" t="s">
        <v>835</v>
      </c>
    </row>
    <row r="62" spans="1:28" ht="15" thickBot="1" x14ac:dyDescent="0.4">
      <c r="A62">
        <f t="shared" si="0"/>
        <v>53</v>
      </c>
      <c r="B62" s="112"/>
      <c r="C62" s="14"/>
      <c r="D62" s="108"/>
      <c r="E62" s="108"/>
      <c r="F62" s="607"/>
      <c r="G62" s="14"/>
      <c r="H62" s="108"/>
      <c r="I62" s="14"/>
      <c r="J62" s="14"/>
      <c r="K62" s="14"/>
      <c r="L62" s="14"/>
      <c r="M62" s="579"/>
      <c r="N62" s="668"/>
      <c r="O62" s="14"/>
      <c r="P62" s="668"/>
      <c r="Q62" s="14"/>
      <c r="R62" s="14"/>
      <c r="S62" s="668"/>
      <c r="T62" s="14"/>
      <c r="U62" s="14"/>
      <c r="V62" s="14"/>
      <c r="W62" s="14"/>
      <c r="X62" s="14"/>
      <c r="Y62" s="28"/>
      <c r="Z62">
        <f t="shared" si="1"/>
        <v>52</v>
      </c>
    </row>
    <row r="63" spans="1:28" ht="15" thickTop="1" x14ac:dyDescent="0.35"/>
    <row r="70" spans="1:27" ht="21.5" thickBot="1" x14ac:dyDescent="0.55000000000000004">
      <c r="B70" s="670" t="s">
        <v>2678</v>
      </c>
    </row>
    <row r="71" spans="1:27" ht="15" thickTop="1" x14ac:dyDescent="0.35">
      <c r="B71" s="439" t="s">
        <v>2010</v>
      </c>
      <c r="C71" s="438" t="str">
        <f t="shared" ref="C71:Q71" si="14">C6</f>
        <v>Description</v>
      </c>
      <c r="D71" s="438" t="str">
        <f t="shared" si="14"/>
        <v>Year</v>
      </c>
      <c r="E71" s="438" t="str">
        <f t="shared" si="14"/>
        <v>Warhead</v>
      </c>
      <c r="F71" s="438" t="str">
        <f t="shared" si="14"/>
        <v>Speed</v>
      </c>
      <c r="G71" s="438" t="str">
        <f t="shared" si="14"/>
        <v>Range of</v>
      </c>
      <c r="H71" s="438" t="str">
        <f t="shared" si="14"/>
        <v>Time to</v>
      </c>
      <c r="I71" s="438" t="str">
        <f t="shared" si="14"/>
        <v>Frontline</v>
      </c>
      <c r="J71" s="438" t="str">
        <f t="shared" si="14"/>
        <v># build</v>
      </c>
      <c r="K71" s="438" t="str">
        <f t="shared" si="14"/>
        <v># made</v>
      </c>
      <c r="L71" s="438" t="str">
        <f t="shared" si="14"/>
        <v xml:space="preserve">Launch </v>
      </c>
      <c r="M71" s="438" t="str">
        <f t="shared" si="14"/>
        <v>Dependencies</v>
      </c>
      <c r="N71" s="438" t="str">
        <f t="shared" si="14"/>
        <v>Unit cost</v>
      </c>
      <c r="O71" s="438" t="str">
        <f t="shared" si="14"/>
        <v xml:space="preserve"># Units </v>
      </c>
      <c r="P71" s="438" t="str">
        <f t="shared" si="14"/>
        <v>Cost of all</v>
      </c>
      <c r="Q71" s="438" t="str">
        <f t="shared" si="14"/>
        <v>Likely</v>
      </c>
      <c r="R71" s="438"/>
      <c r="S71" s="438" t="str">
        <f t="shared" ref="S71:Y72" si="15">S6</f>
        <v xml:space="preserve">Cost of </v>
      </c>
      <c r="T71" s="438" t="str">
        <f t="shared" si="15"/>
        <v>Main use</v>
      </c>
      <c r="U71" s="438" t="str">
        <f t="shared" si="15"/>
        <v>Secondary</v>
      </c>
      <c r="V71" s="438" t="str">
        <f t="shared" si="15"/>
        <v xml:space="preserve">Main effect on </v>
      </c>
      <c r="W71" s="438" t="str">
        <f t="shared" si="15"/>
        <v>Problems</v>
      </c>
      <c r="X71" s="438" t="str">
        <f t="shared" si="15"/>
        <v>Other</v>
      </c>
      <c r="Y71" s="558" t="str">
        <f t="shared" si="15"/>
        <v>Problem with</v>
      </c>
      <c r="Z71" s="3"/>
      <c r="AA71" s="3"/>
    </row>
    <row r="72" spans="1:27" x14ac:dyDescent="0.35">
      <c r="B72" s="569" t="s">
        <v>2009</v>
      </c>
      <c r="C72" s="441" t="str">
        <f t="shared" ref="C72:Q72" si="16">C7</f>
        <v>warhead</v>
      </c>
      <c r="D72" s="441" t="str">
        <f t="shared" si="16"/>
        <v xml:space="preserve">weapon </v>
      </c>
      <c r="E72" s="441" t="str">
        <f t="shared" si="16"/>
        <v>weight</v>
      </c>
      <c r="F72" s="441" t="str">
        <f t="shared" si="16"/>
        <v>in</v>
      </c>
      <c r="G72" s="441" t="str">
        <f t="shared" si="16"/>
        <v>weapon</v>
      </c>
      <c r="H72" s="441" t="str">
        <f t="shared" si="16"/>
        <v>target</v>
      </c>
      <c r="I72" s="441" t="str">
        <f t="shared" si="16"/>
        <v>range</v>
      </c>
      <c r="J72" s="441" t="str">
        <f t="shared" si="16"/>
        <v>to date</v>
      </c>
      <c r="K72" s="441" t="str">
        <f t="shared" si="16"/>
        <v xml:space="preserve">per </v>
      </c>
      <c r="L72" s="441" t="str">
        <f t="shared" si="16"/>
        <v>platform</v>
      </c>
      <c r="M72" s="441" t="str">
        <f t="shared" si="16"/>
        <v xml:space="preserve">on other </v>
      </c>
      <c r="N72" s="441" t="str">
        <f t="shared" si="16"/>
        <v>in USD</v>
      </c>
      <c r="O72" s="441" t="str">
        <f t="shared" si="16"/>
        <v>needed</v>
      </c>
      <c r="P72" s="441" t="str">
        <f t="shared" si="16"/>
        <v>units needed</v>
      </c>
      <c r="Q72" s="441" t="str">
        <f t="shared" si="16"/>
        <v>monthly</v>
      </c>
      <c r="R72" s="441"/>
      <c r="S72" s="441" t="str">
        <f t="shared" si="15"/>
        <v>monthly</v>
      </c>
      <c r="T72" s="441" t="str">
        <f t="shared" si="15"/>
        <v>of weapon</v>
      </c>
      <c r="U72" s="441" t="str">
        <f t="shared" si="15"/>
        <v>use of</v>
      </c>
      <c r="V72" s="441" t="str">
        <f t="shared" si="15"/>
        <v>Russian  war</v>
      </c>
      <c r="W72" s="441" t="str">
        <f t="shared" si="15"/>
        <v>with</v>
      </c>
      <c r="X72" s="441" t="str">
        <f t="shared" si="15"/>
        <v>alternative</v>
      </c>
      <c r="Y72" s="559" t="str">
        <f t="shared" si="15"/>
        <v>alternative</v>
      </c>
      <c r="Z72" s="3"/>
      <c r="AA72" s="3"/>
    </row>
    <row r="73" spans="1:27" ht="15" thickBot="1" x14ac:dyDescent="0.4">
      <c r="B73" s="570" t="s">
        <v>1871</v>
      </c>
      <c r="C73" s="445" t="str">
        <f t="shared" ref="C73:K73" si="17">C8</f>
        <v>types</v>
      </c>
      <c r="D73" s="445" t="str">
        <f t="shared" si="17"/>
        <v>made</v>
      </c>
      <c r="E73" s="445" t="str">
        <f t="shared" si="17"/>
        <v>in kg</v>
      </c>
      <c r="F73" s="445" t="str">
        <f t="shared" si="17"/>
        <v>km/h</v>
      </c>
      <c r="G73" s="445" t="str">
        <f t="shared" si="17"/>
        <v>in km</v>
      </c>
      <c r="H73" s="445" t="str">
        <f t="shared" si="17"/>
        <v>Min/Hours/Seconds</v>
      </c>
      <c r="I73" s="445" t="str">
        <f t="shared" si="17"/>
        <v>in km</v>
      </c>
      <c r="J73" s="445">
        <f t="shared" si="17"/>
        <v>0</v>
      </c>
      <c r="K73" s="445" t="str">
        <f t="shared" si="17"/>
        <v>year</v>
      </c>
      <c r="L73" s="445"/>
      <c r="M73" s="445" t="str">
        <f>M8</f>
        <v>weapon systems</v>
      </c>
      <c r="N73" s="445" t="str">
        <f>N8</f>
        <v xml:space="preserve"> </v>
      </c>
      <c r="O73" s="445" t="str">
        <f>O8</f>
        <v>to win</v>
      </c>
      <c r="P73" s="445" t="str">
        <f>P8</f>
        <v>million USD</v>
      </c>
      <c r="Q73" s="445" t="str">
        <f>Q8</f>
        <v>transfer</v>
      </c>
      <c r="R73" s="445"/>
      <c r="S73" s="445" t="str">
        <f>S8</f>
        <v>transfer M$</v>
      </c>
      <c r="T73" s="445"/>
      <c r="U73" s="445" t="str">
        <f>U8</f>
        <v>weapon</v>
      </c>
      <c r="V73" s="445" t="str">
        <f>V8</f>
        <v>efforts</v>
      </c>
      <c r="W73" s="445"/>
      <c r="X73" s="445" t="str">
        <f>X8</f>
        <v>weapon</v>
      </c>
      <c r="Y73" s="446" t="str">
        <f>Y8</f>
        <v>weapons</v>
      </c>
      <c r="Z73" s="3"/>
      <c r="AA73" s="3"/>
    </row>
    <row r="74" spans="1:27" ht="15" thickTop="1" x14ac:dyDescent="0.35">
      <c r="A74">
        <v>1</v>
      </c>
      <c r="B74" s="233" t="str">
        <f t="shared" ref="B74:B84" si="18">B10</f>
        <v>Large long-range missiles (ground attack) Main effect - 1) Destroy Russian logistics, 2) Force Russian Air Force 1500km away from Ukraine, 3) Destroy Russian S300 and S400 batteries, 4) Destroy weapons production and ammunition storage, 5) Use the Jerico III to destroy Russian A50 aircraft  fuel tankers and missile factories anywhere in Russia</v>
      </c>
      <c r="C74" s="232"/>
      <c r="D74" s="232"/>
      <c r="E74" s="232"/>
      <c r="F74" s="232"/>
      <c r="G74" s="232"/>
      <c r="H74" s="232"/>
      <c r="I74" s="232"/>
      <c r="J74" s="232"/>
      <c r="K74" s="232"/>
      <c r="L74" s="232"/>
      <c r="M74" s="232"/>
      <c r="N74" s="648"/>
      <c r="O74" s="648"/>
      <c r="P74" s="658"/>
      <c r="Q74" s="658"/>
      <c r="R74" s="658"/>
      <c r="S74" s="658"/>
      <c r="T74" s="658"/>
      <c r="U74" s="658"/>
      <c r="V74" s="658"/>
      <c r="W74" s="658"/>
      <c r="X74" s="658"/>
      <c r="Y74" s="673"/>
      <c r="Z74">
        <v>1</v>
      </c>
    </row>
    <row r="75" spans="1:27" x14ac:dyDescent="0.35">
      <c r="A75">
        <f>A74+1</f>
        <v>2</v>
      </c>
      <c r="B75" s="123" t="str">
        <f t="shared" si="18"/>
        <v>AGM-158a JASSM stealth cruise m., 1021kg, can be launched from air only specifically B1, B2, B52, F15, F16, F18 and in process to be certified for launch with F35, B21 and P8 Poseidon</v>
      </c>
      <c r="C75" t="s">
        <v>1864</v>
      </c>
      <c r="G75" s="159" t="s">
        <v>88</v>
      </c>
      <c r="H75" s="159"/>
      <c r="I75" s="159" t="s">
        <v>2028</v>
      </c>
      <c r="J75" s="159"/>
      <c r="K75" s="159"/>
      <c r="L75" t="s">
        <v>1864</v>
      </c>
      <c r="M75" s="455"/>
      <c r="N75" s="159" t="s">
        <v>88</v>
      </c>
      <c r="O75" s="427" t="s">
        <v>1840</v>
      </c>
      <c r="P75" s="159" t="s">
        <v>1456</v>
      </c>
      <c r="Q75" s="159" t="s">
        <v>1840</v>
      </c>
      <c r="R75" s="159"/>
      <c r="S75" s="159"/>
      <c r="T75" s="42"/>
      <c r="U75" s="42"/>
      <c r="W75" s="42"/>
      <c r="X75" s="172"/>
      <c r="Y75" s="166"/>
      <c r="Z75">
        <f>Z74+1</f>
        <v>2</v>
      </c>
    </row>
    <row r="76" spans="1:27" x14ac:dyDescent="0.35">
      <c r="A76">
        <f t="shared" ref="A76:A125" si="19">A75+1</f>
        <v>3</v>
      </c>
      <c r="B76" s="123" t="str">
        <f t="shared" si="18"/>
        <v>ATACMS  - 610mm MGM-140 , land launched ballistic missile</v>
      </c>
      <c r="C76" t="s">
        <v>1864</v>
      </c>
      <c r="G76" s="159"/>
      <c r="H76" s="159"/>
      <c r="I76" s="159"/>
      <c r="J76" s="159"/>
      <c r="K76" s="159"/>
      <c r="M76" s="455"/>
      <c r="N76" s="159"/>
      <c r="O76" s="427"/>
      <c r="P76" s="159"/>
      <c r="Q76" s="159"/>
      <c r="R76" s="159"/>
      <c r="S76" s="159"/>
      <c r="T76" s="42"/>
      <c r="U76" s="42"/>
      <c r="W76" s="42"/>
      <c r="X76" s="172"/>
      <c r="Y76" s="166"/>
      <c r="Z76">
        <f t="shared" ref="Z76:Z125" si="20">Z75+1</f>
        <v>3</v>
      </c>
    </row>
    <row r="77" spans="1:27" x14ac:dyDescent="0.35">
      <c r="A77">
        <f t="shared" si="19"/>
        <v>4</v>
      </c>
      <c r="B77" s="123" t="str">
        <f t="shared" si="18"/>
        <v>Storm Shadow UK and France air launched cruise missile, Ukraine use Su-24 for air launch</v>
      </c>
      <c r="C77" t="s">
        <v>1864</v>
      </c>
      <c r="G77" s="159"/>
      <c r="H77" s="159"/>
      <c r="I77" s="159"/>
      <c r="J77" s="159"/>
      <c r="K77" s="159"/>
      <c r="M77" s="455"/>
      <c r="N77" s="159"/>
      <c r="O77" s="427"/>
      <c r="P77" s="159"/>
      <c r="Q77" s="159"/>
      <c r="R77" s="159"/>
      <c r="S77" s="159"/>
      <c r="T77" s="42"/>
      <c r="U77" s="42"/>
      <c r="W77" s="42"/>
      <c r="X77" s="172"/>
      <c r="Y77" s="166"/>
      <c r="Z77">
        <f t="shared" si="20"/>
        <v>4</v>
      </c>
    </row>
    <row r="78" spans="1:27" x14ac:dyDescent="0.35">
      <c r="A78">
        <f t="shared" si="19"/>
        <v>5</v>
      </c>
      <c r="B78" s="123" t="str">
        <f t="shared" si="18"/>
        <v>Taurus GE KEPD air launched cruise m. Super Hornet</v>
      </c>
      <c r="C78" t="s">
        <v>1864</v>
      </c>
      <c r="G78" s="159"/>
      <c r="H78" s="159"/>
      <c r="I78" s="159"/>
      <c r="J78" s="159"/>
      <c r="K78" s="159"/>
      <c r="M78" s="455"/>
      <c r="N78" s="159"/>
      <c r="O78" s="427"/>
      <c r="P78" s="159"/>
      <c r="Q78" s="159"/>
      <c r="R78" s="159"/>
      <c r="S78" s="159"/>
      <c r="T78" s="42"/>
      <c r="U78" s="42"/>
      <c r="W78" s="612" t="s">
        <v>2572</v>
      </c>
      <c r="X78" s="172" t="s">
        <v>34</v>
      </c>
      <c r="Y78" s="166"/>
      <c r="Z78">
        <f t="shared" si="20"/>
        <v>5</v>
      </c>
    </row>
    <row r="79" spans="1:27" x14ac:dyDescent="0.35">
      <c r="A79">
        <f t="shared" si="19"/>
        <v>6</v>
      </c>
      <c r="B79" s="615" t="str">
        <f t="shared" si="18"/>
        <v>ROCKS Israeli air to ground ballistic missile F16, F35 designed to hit Iran and be difficult to shoot down or jam</v>
      </c>
      <c r="C79" t="s">
        <v>1864</v>
      </c>
      <c r="G79" s="159" t="s">
        <v>88</v>
      </c>
      <c r="H79" s="159"/>
      <c r="I79" s="159" t="s">
        <v>2028</v>
      </c>
      <c r="J79" s="159"/>
      <c r="K79" s="159"/>
      <c r="L79" t="s">
        <v>1864</v>
      </c>
      <c r="M79" s="455"/>
      <c r="N79" s="159" t="s">
        <v>88</v>
      </c>
      <c r="O79" s="427" t="s">
        <v>1840</v>
      </c>
      <c r="P79" s="159" t="s">
        <v>1456</v>
      </c>
      <c r="Q79" s="159" t="s">
        <v>1840</v>
      </c>
      <c r="R79" s="159"/>
      <c r="S79" s="159"/>
      <c r="T79" s="42"/>
      <c r="U79" s="42"/>
      <c r="W79" s="42"/>
      <c r="X79" s="172"/>
      <c r="Y79" s="166"/>
      <c r="Z79">
        <f t="shared" si="20"/>
        <v>6</v>
      </c>
    </row>
    <row r="80" spans="1:27" x14ac:dyDescent="0.35">
      <c r="A80">
        <f t="shared" si="19"/>
        <v>7</v>
      </c>
      <c r="B80" s="615" t="str">
        <f t="shared" si="18"/>
        <v>Air-LORA Israeli air to ground ballistic missile, same as LORA but air launched F16 +F35</v>
      </c>
      <c r="C80" t="s">
        <v>1864</v>
      </c>
      <c r="G80" s="159" t="s">
        <v>88</v>
      </c>
      <c r="H80" s="159"/>
      <c r="I80" s="159" t="s">
        <v>2028</v>
      </c>
      <c r="J80" s="159"/>
      <c r="K80" s="159"/>
      <c r="L80" t="s">
        <v>1864</v>
      </c>
      <c r="M80" s="455"/>
      <c r="N80" s="159" t="s">
        <v>88</v>
      </c>
      <c r="O80" s="427" t="s">
        <v>1840</v>
      </c>
      <c r="P80" s="159" t="s">
        <v>1456</v>
      </c>
      <c r="Q80" s="159" t="s">
        <v>1840</v>
      </c>
      <c r="R80" s="159"/>
      <c r="S80" s="159"/>
      <c r="T80" s="42"/>
      <c r="U80" s="42"/>
      <c r="W80" s="42"/>
      <c r="X80" s="172"/>
      <c r="Y80" s="166"/>
      <c r="Z80">
        <f t="shared" si="20"/>
        <v>7</v>
      </c>
    </row>
    <row r="81" spans="1:26" x14ac:dyDescent="0.35">
      <c r="A81">
        <f t="shared" si="19"/>
        <v>8</v>
      </c>
      <c r="B81" s="615" t="str">
        <f t="shared" si="18"/>
        <v>LORA Israeli ballistic missile, ground launch from inside standard shipping container</v>
      </c>
      <c r="C81" t="s">
        <v>1864</v>
      </c>
      <c r="G81" s="159" t="s">
        <v>88</v>
      </c>
      <c r="H81" s="159"/>
      <c r="I81" s="159" t="s">
        <v>2028</v>
      </c>
      <c r="J81" s="159"/>
      <c r="K81" s="159"/>
      <c r="L81" t="s">
        <v>1864</v>
      </c>
      <c r="M81" s="42"/>
      <c r="N81" s="159" t="s">
        <v>88</v>
      </c>
      <c r="O81" s="427" t="s">
        <v>1840</v>
      </c>
      <c r="P81" s="159" t="s">
        <v>1456</v>
      </c>
      <c r="Q81" s="159" t="s">
        <v>1840</v>
      </c>
      <c r="R81" s="159"/>
      <c r="S81" s="159"/>
      <c r="T81" s="42"/>
      <c r="U81" s="42"/>
      <c r="W81" s="42"/>
      <c r="X81" s="172"/>
      <c r="Y81" s="166"/>
      <c r="Z81">
        <f t="shared" si="20"/>
        <v>8</v>
      </c>
    </row>
    <row r="82" spans="1:26" x14ac:dyDescent="0.35">
      <c r="A82">
        <f t="shared" si="19"/>
        <v>9</v>
      </c>
      <c r="B82" s="123" t="str">
        <f t="shared" si="18"/>
        <v>AGM-158b JASSM-ER stealth cruise, 1200kg</v>
      </c>
      <c r="C82" t="s">
        <v>1864</v>
      </c>
      <c r="G82" s="159" t="s">
        <v>88</v>
      </c>
      <c r="H82" s="159"/>
      <c r="I82" s="159" t="s">
        <v>2029</v>
      </c>
      <c r="J82" s="159"/>
      <c r="K82" s="159"/>
      <c r="L82" t="s">
        <v>1864</v>
      </c>
      <c r="M82" s="42"/>
      <c r="N82" s="159" t="s">
        <v>88</v>
      </c>
      <c r="O82" s="427" t="s">
        <v>1840</v>
      </c>
      <c r="P82" s="159" t="s">
        <v>1456</v>
      </c>
      <c r="Q82" s="159" t="s">
        <v>1840</v>
      </c>
      <c r="R82" s="159"/>
      <c r="S82" s="159"/>
      <c r="T82" s="42"/>
      <c r="U82" s="42"/>
      <c r="W82" s="42"/>
      <c r="X82" s="172"/>
      <c r="Y82" s="166"/>
      <c r="Z82">
        <f t="shared" si="20"/>
        <v>9</v>
      </c>
    </row>
    <row r="83" spans="1:26" x14ac:dyDescent="0.35">
      <c r="A83">
        <f t="shared" si="19"/>
        <v>10</v>
      </c>
      <c r="B83" s="123" t="str">
        <f t="shared" si="18"/>
        <v>Typhon ground vehicle launcher, for Tomahawk &amp; SM-6 + radar and control unit and a vehicle for transporting new missiles to launcher.</v>
      </c>
      <c r="C83" t="s">
        <v>1864</v>
      </c>
      <c r="G83" s="42" t="s">
        <v>34</v>
      </c>
      <c r="H83" s="42"/>
      <c r="I83" s="42" t="s">
        <v>34</v>
      </c>
      <c r="J83" s="42"/>
      <c r="K83" s="42"/>
      <c r="L83" t="s">
        <v>1864</v>
      </c>
      <c r="M83" s="42"/>
      <c r="N83" s="159" t="s">
        <v>88</v>
      </c>
      <c r="O83" s="427" t="s">
        <v>1840</v>
      </c>
      <c r="P83" s="159" t="s">
        <v>1456</v>
      </c>
      <c r="Q83" s="159" t="s">
        <v>1840</v>
      </c>
      <c r="R83" s="159"/>
      <c r="S83" s="172"/>
      <c r="T83" s="70"/>
      <c r="U83" s="70"/>
      <c r="V83" s="454"/>
      <c r="W83" s="70"/>
      <c r="X83" s="172"/>
      <c r="Y83" s="166"/>
      <c r="Z83">
        <f t="shared" si="20"/>
        <v>10</v>
      </c>
    </row>
    <row r="84" spans="1:26" x14ac:dyDescent="0.35">
      <c r="A84">
        <f t="shared" si="19"/>
        <v>11</v>
      </c>
      <c r="B84" s="123" t="str">
        <f t="shared" si="18"/>
        <v xml:space="preserve"> - Tomahawk Block V cruise missile, 1300kg can be launched by Typhon</v>
      </c>
      <c r="C84" t="s">
        <v>1864</v>
      </c>
      <c r="E84" s="42"/>
      <c r="F84" s="42"/>
      <c r="G84" s="42"/>
      <c r="H84" s="42"/>
      <c r="I84" s="42"/>
      <c r="J84" s="42"/>
      <c r="K84" s="42"/>
      <c r="L84" s="42"/>
      <c r="M84" s="42"/>
      <c r="N84" s="159"/>
      <c r="O84" s="159"/>
      <c r="P84" s="172"/>
      <c r="Q84" s="172"/>
      <c r="R84" s="172"/>
      <c r="S84" s="172"/>
      <c r="T84" s="70"/>
      <c r="U84" s="70"/>
      <c r="V84" s="454"/>
      <c r="W84" s="70"/>
      <c r="X84" s="172"/>
      <c r="Y84" s="166"/>
      <c r="Z84">
        <f t="shared" si="20"/>
        <v>11</v>
      </c>
    </row>
    <row r="85" spans="1:26" x14ac:dyDescent="0.35">
      <c r="A85">
        <f t="shared" si="19"/>
        <v>12</v>
      </c>
      <c r="B85" s="51"/>
      <c r="C85" t="s">
        <v>1864</v>
      </c>
      <c r="E85" s="42"/>
      <c r="F85" s="42"/>
      <c r="G85" s="42"/>
      <c r="H85" s="42"/>
      <c r="I85" s="42"/>
      <c r="J85" s="42"/>
      <c r="K85" s="42"/>
      <c r="L85" s="42"/>
      <c r="M85" s="42"/>
      <c r="N85" s="159"/>
      <c r="O85" s="159"/>
      <c r="P85" s="172"/>
      <c r="Q85" s="172"/>
      <c r="R85" s="172"/>
      <c r="S85" s="172"/>
      <c r="T85" s="70"/>
      <c r="U85" s="70"/>
      <c r="V85" s="454"/>
      <c r="W85" s="70"/>
      <c r="X85" s="172"/>
      <c r="Y85" s="166"/>
      <c r="Z85">
        <f t="shared" si="20"/>
        <v>12</v>
      </c>
    </row>
    <row r="86" spans="1:26" x14ac:dyDescent="0.35">
      <c r="A86">
        <f t="shared" si="19"/>
        <v>13</v>
      </c>
      <c r="B86" s="51"/>
      <c r="C86" t="s">
        <v>1864</v>
      </c>
      <c r="E86" s="42"/>
      <c r="F86" s="42"/>
      <c r="G86" s="42"/>
      <c r="H86" s="42"/>
      <c r="I86" s="42"/>
      <c r="J86" s="42"/>
      <c r="K86" s="42"/>
      <c r="L86" s="42"/>
      <c r="M86" s="42"/>
      <c r="N86" s="159"/>
      <c r="O86" s="159"/>
      <c r="P86" s="172"/>
      <c r="Q86" s="172"/>
      <c r="R86" s="172"/>
      <c r="S86" s="172"/>
      <c r="T86" s="70"/>
      <c r="U86" s="70"/>
      <c r="V86" s="454"/>
      <c r="W86" s="70"/>
      <c r="X86" s="172"/>
      <c r="Y86" s="166"/>
      <c r="Z86">
        <f t="shared" si="20"/>
        <v>13</v>
      </c>
    </row>
    <row r="87" spans="1:26" x14ac:dyDescent="0.35">
      <c r="A87">
        <f t="shared" si="19"/>
        <v>14</v>
      </c>
      <c r="B87" s="826" t="str">
        <f t="shared" ref="B87:B97" si="21">B24</f>
        <v>AGM-158c - ER stealth cruise missile can hit ground targets and ships 1250kg, air launch limited to F15, F16, F18, B-1B, Boing P-8 currently but in process of being expanded to other airplanes, part of JASSMs family. Also ground fired from ships using Mk 41,and most likely also land using Typhon Mk 70 Mod 1</v>
      </c>
      <c r="C87" s="681" t="s">
        <v>1864</v>
      </c>
      <c r="D87" s="681"/>
      <c r="E87" s="682"/>
      <c r="F87" s="682"/>
      <c r="G87" s="682"/>
      <c r="H87" s="682"/>
      <c r="I87" s="682"/>
      <c r="J87" s="682"/>
      <c r="K87" s="682"/>
      <c r="L87" s="682"/>
      <c r="M87" s="682"/>
      <c r="N87" s="680"/>
      <c r="O87" s="680"/>
      <c r="P87" s="679"/>
      <c r="Q87" s="679"/>
      <c r="R87" s="679"/>
      <c r="S87" s="679"/>
      <c r="T87" s="834"/>
      <c r="U87" s="834"/>
      <c r="V87" s="832"/>
      <c r="W87" s="834"/>
      <c r="X87" s="679"/>
      <c r="Y87" s="683"/>
      <c r="Z87">
        <f t="shared" si="20"/>
        <v>14</v>
      </c>
    </row>
    <row r="88" spans="1:26" ht="15" thickBot="1" x14ac:dyDescent="0.4">
      <c r="A88">
        <f t="shared" si="19"/>
        <v>15</v>
      </c>
      <c r="B88" s="826" t="str">
        <f t="shared" si="21"/>
        <v>AGM-158d -XR stealth cruise missile, can hit moving or stationary targets at sea or land. Can be launched from ships, airplanes F15, F18, B-1B, Boing P-8 and likely also from the Typhon ground launcher</v>
      </c>
      <c r="C88" s="681" t="s">
        <v>1864</v>
      </c>
      <c r="D88" s="681"/>
      <c r="E88" s="682"/>
      <c r="F88" s="682"/>
      <c r="G88" s="682"/>
      <c r="H88" s="682"/>
      <c r="I88" s="682"/>
      <c r="J88" s="682"/>
      <c r="K88" s="682"/>
      <c r="L88" s="682"/>
      <c r="M88" s="682"/>
      <c r="N88" s="680"/>
      <c r="O88" s="680"/>
      <c r="P88" s="679"/>
      <c r="Q88" s="679"/>
      <c r="R88" s="679"/>
      <c r="S88" s="679"/>
      <c r="T88" s="834"/>
      <c r="U88" s="834"/>
      <c r="V88" s="832"/>
      <c r="W88" s="834"/>
      <c r="X88" s="679"/>
      <c r="Y88" s="683"/>
      <c r="Z88">
        <f t="shared" si="20"/>
        <v>15</v>
      </c>
    </row>
    <row r="89" spans="1:26" ht="15" thickTop="1" x14ac:dyDescent="0.35">
      <c r="A89">
        <f t="shared" si="19"/>
        <v>16</v>
      </c>
      <c r="B89" s="231" t="str">
        <f t="shared" si="21"/>
        <v xml:space="preserve">Anti-aircraft systems (ground based) Main effect 1) Shoot down Russian jets dropping glider bombs, 2) Shoot down Russian attack and transport helicopters, 3) Shoot down the A50 radar aircrafts if possible using the Arrow 3 </v>
      </c>
      <c r="C89" s="134"/>
      <c r="D89" s="79"/>
      <c r="E89" s="79"/>
      <c r="F89" s="79"/>
      <c r="G89" s="79"/>
      <c r="H89" s="79"/>
      <c r="I89" s="79"/>
      <c r="J89" s="79"/>
      <c r="K89" s="79"/>
      <c r="L89" s="79"/>
      <c r="M89" s="79"/>
      <c r="N89" s="827"/>
      <c r="O89" s="827"/>
      <c r="P89" s="827"/>
      <c r="Q89" s="827"/>
      <c r="R89" s="827"/>
      <c r="S89" s="827"/>
      <c r="T89" s="48"/>
      <c r="U89" s="48"/>
      <c r="V89" s="19"/>
      <c r="W89" s="48"/>
      <c r="X89" s="828"/>
      <c r="Y89" s="829"/>
      <c r="Z89">
        <f t="shared" si="20"/>
        <v>16</v>
      </c>
    </row>
    <row r="90" spans="1:26" x14ac:dyDescent="0.35">
      <c r="A90">
        <f t="shared" si="19"/>
        <v>17</v>
      </c>
      <c r="B90" s="123" t="str">
        <f t="shared" si="21"/>
        <v xml:space="preserve">E-2D Hawkeye Air F. version, radar and command aircraft. </v>
      </c>
      <c r="C90" t="s">
        <v>1864</v>
      </c>
      <c r="G90" s="159" t="s">
        <v>88</v>
      </c>
      <c r="H90" s="159"/>
      <c r="I90" s="159"/>
      <c r="J90" s="159"/>
      <c r="K90" s="159"/>
      <c r="L90" s="455"/>
      <c r="M90" s="455"/>
      <c r="N90" s="159" t="s">
        <v>88</v>
      </c>
      <c r="Q90" t="s">
        <v>1840</v>
      </c>
      <c r="Y90" s="25"/>
      <c r="Z90">
        <f t="shared" si="20"/>
        <v>17</v>
      </c>
    </row>
    <row r="91" spans="1:26" x14ac:dyDescent="0.35">
      <c r="A91">
        <f t="shared" si="19"/>
        <v>18</v>
      </c>
      <c r="B91" s="123" t="str">
        <f t="shared" si="21"/>
        <v xml:space="preserve"> - Boeing MQ-25 unmanned stealth fuel tanker</v>
      </c>
      <c r="C91" t="s">
        <v>1864</v>
      </c>
      <c r="E91" t="s">
        <v>1864</v>
      </c>
      <c r="G91" t="s">
        <v>1864</v>
      </c>
      <c r="Y91" s="25"/>
      <c r="Z91">
        <f t="shared" si="20"/>
        <v>18</v>
      </c>
    </row>
    <row r="92" spans="1:26" x14ac:dyDescent="0.35">
      <c r="A92">
        <f t="shared" si="19"/>
        <v>19</v>
      </c>
      <c r="B92" s="615" t="str">
        <f t="shared" si="21"/>
        <v>David's Sling battery, Israeli US launch system for Stunner missile replaces Patreon and Hawk for Israel.</v>
      </c>
      <c r="C92" s="119"/>
      <c r="D92" s="119"/>
      <c r="E92" s="119"/>
      <c r="F92" s="119"/>
      <c r="G92" s="119"/>
      <c r="H92" s="119"/>
      <c r="I92" s="119"/>
      <c r="J92" s="119"/>
      <c r="K92" s="119"/>
      <c r="L92" s="119"/>
      <c r="M92" s="119"/>
      <c r="N92" s="159"/>
      <c r="O92" s="159"/>
      <c r="P92" s="159"/>
      <c r="Q92" s="159"/>
      <c r="R92" s="159"/>
      <c r="S92" s="159"/>
      <c r="T92" s="42"/>
      <c r="U92" s="42"/>
      <c r="W92" s="42"/>
      <c r="X92" s="172"/>
      <c r="Y92" s="166"/>
      <c r="Z92">
        <f t="shared" si="20"/>
        <v>19</v>
      </c>
    </row>
    <row r="93" spans="1:26" x14ac:dyDescent="0.35">
      <c r="A93">
        <f t="shared" si="19"/>
        <v>20</v>
      </c>
      <c r="B93" s="615" t="str">
        <f t="shared" si="21"/>
        <v xml:space="preserve"> - Stunner missile long-range ground to air incl planes, drones, ballistic missiles at &lt;500km. Replaces Patriot SkyCepter and Hawk for Israel</v>
      </c>
      <c r="C93" t="s">
        <v>1864</v>
      </c>
      <c r="G93" s="119"/>
      <c r="H93" s="119"/>
      <c r="I93" s="119"/>
      <c r="J93" s="119"/>
      <c r="K93" s="119"/>
      <c r="L93" s="119"/>
      <c r="M93" s="119"/>
      <c r="N93" s="159"/>
      <c r="O93" s="159"/>
      <c r="P93" s="159"/>
      <c r="Q93" s="159"/>
      <c r="R93" s="159"/>
      <c r="S93" s="159"/>
      <c r="T93" s="42"/>
      <c r="U93" s="42"/>
      <c r="W93" s="42"/>
      <c r="X93" s="172"/>
      <c r="Y93" s="166"/>
      <c r="Z93">
        <f t="shared" si="20"/>
        <v>20</v>
      </c>
    </row>
    <row r="94" spans="1:26" x14ac:dyDescent="0.35">
      <c r="A94">
        <f t="shared" si="19"/>
        <v>21</v>
      </c>
      <c r="B94" s="123" t="str">
        <f t="shared" si="21"/>
        <v xml:space="preserve">RIM-174 US (SM-6) ballistic missile. Can hit air, sea &amp; land targets moving or fixed, 370km range on air targets and 500km for land targets. </v>
      </c>
      <c r="C94" t="s">
        <v>1864</v>
      </c>
      <c r="G94" s="159" t="s">
        <v>88</v>
      </c>
      <c r="H94" s="159"/>
      <c r="I94" s="159" t="s">
        <v>2029</v>
      </c>
      <c r="J94" s="159"/>
      <c r="K94" s="159"/>
      <c r="L94" s="455"/>
      <c r="M94" s="455"/>
      <c r="N94" s="159" t="s">
        <v>88</v>
      </c>
      <c r="O94" s="159"/>
      <c r="P94" s="172" t="s">
        <v>1456</v>
      </c>
      <c r="Q94" s="427" t="s">
        <v>1840</v>
      </c>
      <c r="R94" s="427"/>
      <c r="S94" s="172"/>
      <c r="T94" s="42"/>
      <c r="U94" s="42"/>
      <c r="W94" s="42"/>
      <c r="X94" s="172"/>
      <c r="Y94" s="166"/>
      <c r="Z94">
        <f t="shared" si="20"/>
        <v>21</v>
      </c>
    </row>
    <row r="95" spans="1:26" x14ac:dyDescent="0.35">
      <c r="A95">
        <f t="shared" si="19"/>
        <v>22</v>
      </c>
      <c r="B95" s="615" t="str">
        <f t="shared" si="21"/>
        <v>Arrow 3 Israeli anti-ballistic missile and anti-satellite rocket. My investigation into this weapon makes me conclude it is highly likely to also be able to reenter atmosphere and target airplanes and missiles and even ground targets. See notes for more info.</v>
      </c>
      <c r="C95" t="s">
        <v>1864</v>
      </c>
      <c r="G95" s="395" t="s">
        <v>1881</v>
      </c>
      <c r="H95" s="395"/>
      <c r="I95" s="159" t="s">
        <v>2030</v>
      </c>
      <c r="J95" s="159"/>
      <c r="K95" s="159"/>
      <c r="L95" s="455" t="s">
        <v>1867</v>
      </c>
      <c r="M95" s="455"/>
      <c r="N95" s="159" t="s">
        <v>88</v>
      </c>
      <c r="O95" s="159"/>
      <c r="P95" s="172" t="s">
        <v>1456</v>
      </c>
      <c r="Q95" s="427" t="s">
        <v>1840</v>
      </c>
      <c r="R95" s="427"/>
      <c r="S95" s="172"/>
      <c r="T95" s="42"/>
      <c r="U95" s="42"/>
      <c r="W95" s="42"/>
      <c r="X95" s="172"/>
      <c r="Y95" s="166"/>
      <c r="Z95">
        <f t="shared" si="20"/>
        <v>22</v>
      </c>
    </row>
    <row r="96" spans="1:26" x14ac:dyDescent="0.35">
      <c r="A96">
        <f t="shared" si="19"/>
        <v>23</v>
      </c>
      <c r="B96" s="615" t="str">
        <f t="shared" si="21"/>
        <v>Iron Dome, battery Israeli</v>
      </c>
      <c r="C96" t="s">
        <v>1864</v>
      </c>
      <c r="G96" s="395"/>
      <c r="H96" s="395"/>
      <c r="I96" s="159"/>
      <c r="J96" s="159"/>
      <c r="K96" s="159"/>
      <c r="L96" s="455"/>
      <c r="M96" s="455"/>
      <c r="N96" s="159"/>
      <c r="O96" s="159"/>
      <c r="P96" s="172"/>
      <c r="Q96" s="427"/>
      <c r="R96" s="427"/>
      <c r="S96" s="172"/>
      <c r="T96" s="42"/>
      <c r="U96" s="42"/>
      <c r="W96" s="42"/>
      <c r="X96" s="172"/>
      <c r="Y96" s="166"/>
      <c r="Z96">
        <f t="shared" si="20"/>
        <v>23</v>
      </c>
    </row>
    <row r="97" spans="1:26" x14ac:dyDescent="0.35">
      <c r="A97">
        <f t="shared" si="19"/>
        <v>24</v>
      </c>
      <c r="B97" s="615" t="str">
        <f t="shared" si="21"/>
        <v xml:space="preserve"> - Iron Dome interceptor rocket for small slow flying targets</v>
      </c>
      <c r="C97" t="s">
        <v>1864</v>
      </c>
      <c r="G97" s="395"/>
      <c r="H97" s="395"/>
      <c r="I97" s="159"/>
      <c r="J97" s="159"/>
      <c r="K97" s="159"/>
      <c r="L97" s="455"/>
      <c r="M97" s="455"/>
      <c r="N97" s="159"/>
      <c r="O97" s="159"/>
      <c r="P97" s="172"/>
      <c r="Q97" s="427"/>
      <c r="R97" s="427"/>
      <c r="S97" s="172"/>
      <c r="T97" s="42"/>
      <c r="U97" s="42"/>
      <c r="W97" s="42"/>
      <c r="X97" s="172"/>
      <c r="Y97" s="166"/>
      <c r="Z97">
        <f t="shared" si="20"/>
        <v>24</v>
      </c>
    </row>
    <row r="98" spans="1:26" x14ac:dyDescent="0.35">
      <c r="A98">
        <f t="shared" si="19"/>
        <v>25</v>
      </c>
      <c r="B98" s="123"/>
      <c r="G98" s="395"/>
      <c r="H98" s="395"/>
      <c r="I98" s="159"/>
      <c r="J98" s="159"/>
      <c r="K98" s="159"/>
      <c r="L98" s="455"/>
      <c r="M98" s="455"/>
      <c r="N98" s="159"/>
      <c r="O98" s="159"/>
      <c r="P98" s="172"/>
      <c r="Q98" s="427"/>
      <c r="R98" s="427"/>
      <c r="S98" s="172"/>
      <c r="T98" s="42"/>
      <c r="U98" s="42"/>
      <c r="W98" s="42"/>
      <c r="X98" s="172"/>
      <c r="Y98" s="166"/>
      <c r="Z98">
        <f t="shared" si="20"/>
        <v>25</v>
      </c>
    </row>
    <row r="99" spans="1:26" x14ac:dyDescent="0.35">
      <c r="A99">
        <f t="shared" si="19"/>
        <v>26</v>
      </c>
      <c r="B99" s="123"/>
      <c r="G99" s="395"/>
      <c r="H99" s="395"/>
      <c r="I99" s="159"/>
      <c r="J99" s="159"/>
      <c r="K99" s="159"/>
      <c r="L99" s="455"/>
      <c r="M99" s="455"/>
      <c r="N99" s="159"/>
      <c r="O99" s="159"/>
      <c r="P99" s="172"/>
      <c r="Q99" s="427"/>
      <c r="R99" s="427"/>
      <c r="S99" s="172"/>
      <c r="T99" s="42"/>
      <c r="U99" s="42"/>
      <c r="W99" s="42"/>
      <c r="X99" s="172"/>
      <c r="Y99" s="166"/>
      <c r="Z99">
        <f t="shared" si="20"/>
        <v>26</v>
      </c>
    </row>
    <row r="100" spans="1:26" x14ac:dyDescent="0.35">
      <c r="A100">
        <f t="shared" si="19"/>
        <v>27</v>
      </c>
      <c r="B100" s="677" t="str">
        <f t="shared" ref="B100:B111" si="22">B37</f>
        <v>Saab 340 AEW&amp;C radar and control airplane</v>
      </c>
      <c r="C100" s="681" t="s">
        <v>1864</v>
      </c>
      <c r="D100" s="681"/>
      <c r="E100" s="681"/>
      <c r="F100" s="681"/>
      <c r="G100" s="681"/>
      <c r="H100" s="681"/>
      <c r="I100" s="681"/>
      <c r="J100" s="681"/>
      <c r="K100" s="681"/>
      <c r="L100" s="681"/>
      <c r="M100" s="681"/>
      <c r="N100" s="681"/>
      <c r="O100" s="681"/>
      <c r="P100" s="681"/>
      <c r="Q100" s="681"/>
      <c r="R100" s="681"/>
      <c r="S100" s="681"/>
      <c r="T100" s="681"/>
      <c r="U100" s="681"/>
      <c r="V100" s="681"/>
      <c r="W100" s="681"/>
      <c r="X100" s="681"/>
      <c r="Y100" s="684"/>
      <c r="Z100">
        <f t="shared" si="20"/>
        <v>27</v>
      </c>
    </row>
    <row r="101" spans="1:26" x14ac:dyDescent="0.35">
      <c r="A101">
        <f t="shared" si="19"/>
        <v>28</v>
      </c>
      <c r="B101" s="677" t="str">
        <f t="shared" si="22"/>
        <v>Patriot battery w. radar launchers and control</v>
      </c>
      <c r="C101" s="681" t="s">
        <v>1864</v>
      </c>
      <c r="D101" s="681"/>
      <c r="E101" s="681"/>
      <c r="F101" s="681"/>
      <c r="G101" s="680"/>
      <c r="H101" s="680"/>
      <c r="I101" s="680"/>
      <c r="J101" s="680"/>
      <c r="K101" s="680"/>
      <c r="L101" s="678"/>
      <c r="M101" s="678"/>
      <c r="N101" s="680"/>
      <c r="O101" s="680"/>
      <c r="P101" s="679"/>
      <c r="Q101" s="685"/>
      <c r="R101" s="685"/>
      <c r="S101" s="679"/>
      <c r="T101" s="682"/>
      <c r="U101" s="682"/>
      <c r="V101" s="681"/>
      <c r="W101" s="682"/>
      <c r="X101" s="679"/>
      <c r="Y101" s="683"/>
      <c r="Z101">
        <f t="shared" si="20"/>
        <v>28</v>
      </c>
    </row>
    <row r="102" spans="1:26" x14ac:dyDescent="0.35">
      <c r="A102">
        <f t="shared" si="19"/>
        <v>29</v>
      </c>
      <c r="B102" s="677" t="str">
        <f t="shared" si="22"/>
        <v>Patriot SkyCeptor (PAAC-4) US, Israel, two stage rocket, IR seeker; active radar seeker</v>
      </c>
      <c r="C102" s="681" t="s">
        <v>1864</v>
      </c>
      <c r="D102" s="682"/>
      <c r="E102" s="682"/>
      <c r="F102" s="682"/>
      <c r="G102" s="682"/>
      <c r="H102" s="682"/>
      <c r="I102" s="678" t="s">
        <v>2032</v>
      </c>
      <c r="J102" s="678"/>
      <c r="K102" s="678"/>
      <c r="L102" s="682"/>
      <c r="M102" s="682"/>
      <c r="N102" s="680"/>
      <c r="O102" s="680"/>
      <c r="P102" s="679"/>
      <c r="Q102" s="679"/>
      <c r="R102" s="679"/>
      <c r="S102" s="679"/>
      <c r="T102" s="682"/>
      <c r="U102" s="682"/>
      <c r="V102" s="681"/>
      <c r="W102" s="682"/>
      <c r="X102" s="679"/>
      <c r="Y102" s="683"/>
      <c r="Z102">
        <f t="shared" si="20"/>
        <v>29</v>
      </c>
    </row>
    <row r="103" spans="1:26" x14ac:dyDescent="0.35">
      <c r="A103">
        <f t="shared" si="19"/>
        <v>30</v>
      </c>
      <c r="B103" s="677" t="str">
        <f t="shared" si="22"/>
        <v xml:space="preserve">RIM-161 Standard Missile 3 (SM-3 Blk IIA) anti-ballistic missile and anti-satellite interceptor. </v>
      </c>
      <c r="C103" s="681" t="s">
        <v>1864</v>
      </c>
      <c r="D103" s="681"/>
      <c r="E103" s="681"/>
      <c r="F103" s="681"/>
      <c r="G103" s="680" t="s">
        <v>88</v>
      </c>
      <c r="H103" s="680"/>
      <c r="I103" s="680" t="s">
        <v>2031</v>
      </c>
      <c r="J103" s="680"/>
      <c r="K103" s="680"/>
      <c r="L103" s="686" t="s">
        <v>1872</v>
      </c>
      <c r="M103" s="678"/>
      <c r="N103" s="680" t="s">
        <v>88</v>
      </c>
      <c r="O103" s="680" t="s">
        <v>1838</v>
      </c>
      <c r="P103" s="679" t="s">
        <v>1456</v>
      </c>
      <c r="Q103" s="685" t="s">
        <v>1840</v>
      </c>
      <c r="R103" s="685"/>
      <c r="S103" s="679"/>
      <c r="T103" s="682"/>
      <c r="U103" s="682"/>
      <c r="V103" s="681"/>
      <c r="W103" s="682"/>
      <c r="X103" s="679"/>
      <c r="Y103" s="683"/>
      <c r="Z103">
        <f t="shared" si="20"/>
        <v>30</v>
      </c>
    </row>
    <row r="104" spans="1:26" x14ac:dyDescent="0.35">
      <c r="A104">
        <f t="shared" si="19"/>
        <v>31</v>
      </c>
      <c r="B104" s="677" t="str">
        <f t="shared" si="22"/>
        <v xml:space="preserve"> - Mark 41 VLS vertical launching system, 15 tons 8 missile navy ship launcher for LRASM, Tomahawk, others 7.7 meters tall *5*5 meters for largest rockets</v>
      </c>
      <c r="C104" s="681" t="s">
        <v>1864</v>
      </c>
      <c r="D104" s="681"/>
      <c r="E104" s="681"/>
      <c r="F104" s="681"/>
      <c r="G104" s="680"/>
      <c r="H104" s="680"/>
      <c r="I104" s="680" t="s">
        <v>34</v>
      </c>
      <c r="J104" s="680"/>
      <c r="K104" s="680"/>
      <c r="L104" s="678"/>
      <c r="M104" s="678"/>
      <c r="N104" s="680"/>
      <c r="O104" s="680"/>
      <c r="P104" s="679"/>
      <c r="Q104" s="685"/>
      <c r="R104" s="685"/>
      <c r="S104" s="679"/>
      <c r="T104" s="682"/>
      <c r="U104" s="682"/>
      <c r="V104" s="681"/>
      <c r="W104" s="682"/>
      <c r="X104" s="679"/>
      <c r="Y104" s="683"/>
      <c r="Z104">
        <f t="shared" si="20"/>
        <v>31</v>
      </c>
    </row>
    <row r="105" spans="1:26" ht="15" thickBot="1" x14ac:dyDescent="0.4">
      <c r="A105">
        <f t="shared" si="19"/>
        <v>32</v>
      </c>
      <c r="B105" s="677" t="str">
        <f t="shared" si="22"/>
        <v xml:space="preserve"> - M1000 Heavy Equipment Transport Semi-Trailer</v>
      </c>
      <c r="C105" s="681" t="s">
        <v>1864</v>
      </c>
      <c r="D105" s="681"/>
      <c r="E105" s="681"/>
      <c r="F105" s="681"/>
      <c r="G105" s="680"/>
      <c r="H105" s="680"/>
      <c r="I105" s="680" t="s">
        <v>34</v>
      </c>
      <c r="J105" s="680"/>
      <c r="K105" s="680"/>
      <c r="L105" s="678"/>
      <c r="M105" s="678"/>
      <c r="N105" s="680"/>
      <c r="O105" s="680"/>
      <c r="P105" s="679"/>
      <c r="Q105" s="685"/>
      <c r="R105" s="685"/>
      <c r="S105" s="679"/>
      <c r="T105" s="682"/>
      <c r="U105" s="682"/>
      <c r="V105" s="681"/>
      <c r="W105" s="682"/>
      <c r="X105" s="679"/>
      <c r="Y105" s="683"/>
      <c r="Z105">
        <f t="shared" si="20"/>
        <v>32</v>
      </c>
    </row>
    <row r="106" spans="1:26" ht="15" thickTop="1" x14ac:dyDescent="0.35">
      <c r="A106">
        <f t="shared" si="19"/>
        <v>33</v>
      </c>
      <c r="B106" s="690" t="str">
        <f t="shared" si="22"/>
        <v>Air force weapons - Main effect 1) Shoot down Russian jets dropping glider bombs, 2) Shoot down Russian attack and transport helicopters, 3) Attack radars of S300 and S400 using HARM</v>
      </c>
      <c r="C106" s="658"/>
      <c r="D106" s="658"/>
      <c r="E106" s="658"/>
      <c r="F106" s="658"/>
      <c r="G106" s="658"/>
      <c r="H106" s="658"/>
      <c r="I106" s="658"/>
      <c r="J106" s="658"/>
      <c r="K106" s="658"/>
      <c r="L106" s="658"/>
      <c r="M106" s="658"/>
      <c r="N106" s="658"/>
      <c r="O106" s="232"/>
      <c r="P106" s="658"/>
      <c r="Q106" s="658"/>
      <c r="R106" s="658"/>
      <c r="S106" s="658"/>
      <c r="T106" s="658"/>
      <c r="U106" s="658"/>
      <c r="V106" s="658"/>
      <c r="W106" s="658"/>
      <c r="X106" s="658"/>
      <c r="Y106" s="673"/>
      <c r="Z106">
        <f t="shared" si="20"/>
        <v>33</v>
      </c>
    </row>
    <row r="107" spans="1:26" x14ac:dyDescent="0.35">
      <c r="A107">
        <f t="shared" si="19"/>
        <v>34</v>
      </c>
      <c r="B107" s="689" t="str">
        <f t="shared" si="22"/>
        <v>F/A-18E/F Super Hornet, US Navy fighter</v>
      </c>
      <c r="C107" t="s">
        <v>1864</v>
      </c>
      <c r="Y107" s="25"/>
      <c r="Z107">
        <f t="shared" si="20"/>
        <v>34</v>
      </c>
    </row>
    <row r="108" spans="1:26" x14ac:dyDescent="0.35">
      <c r="A108">
        <f t="shared" si="19"/>
        <v>35</v>
      </c>
      <c r="B108" s="689" t="str">
        <f t="shared" si="22"/>
        <v xml:space="preserve"> - AN/APG-83 Scalable Agile Beam Radar (SABR). Most capable radar for F18 needed to navigate the AIM-260 or AIM-174B all the way to the target without using external radar aircraft like Hawkeye</v>
      </c>
      <c r="C108" t="s">
        <v>1864</v>
      </c>
      <c r="Y108" s="25"/>
      <c r="Z108">
        <f t="shared" si="20"/>
        <v>35</v>
      </c>
    </row>
    <row r="109" spans="1:26" x14ac:dyDescent="0.35">
      <c r="A109">
        <f t="shared" si="19"/>
        <v>36</v>
      </c>
      <c r="B109" s="689" t="str">
        <f t="shared" si="22"/>
        <v xml:space="preserve"> - AIM-174B (aka SM-6), air to air version of SM-6, 860 kg</v>
      </c>
      <c r="C109" t="s">
        <v>1864</v>
      </c>
      <c r="Y109" s="25"/>
      <c r="Z109">
        <f t="shared" si="20"/>
        <v>36</v>
      </c>
    </row>
    <row r="110" spans="1:26" x14ac:dyDescent="0.35">
      <c r="A110">
        <f t="shared" si="19"/>
        <v>37</v>
      </c>
      <c r="B110" s="689" t="str">
        <f t="shared" si="22"/>
        <v xml:space="preserve"> - AIM-260 air to air replacement for AIM-120. 161 kg Limited production began in 2024- full scale production by 2026. Missile most likely made to take full advance of longer-range radars of newest NATO aircraft.</v>
      </c>
      <c r="C110" t="s">
        <v>1864</v>
      </c>
      <c r="Y110" s="25"/>
      <c r="Z110">
        <f t="shared" si="20"/>
        <v>37</v>
      </c>
    </row>
    <row r="111" spans="1:26" x14ac:dyDescent="0.35">
      <c r="A111">
        <f t="shared" si="19"/>
        <v>38</v>
      </c>
      <c r="B111" s="689" t="str">
        <f t="shared" si="22"/>
        <v>EA-18G Growler electronic warfare jet based on Super Hornet</v>
      </c>
      <c r="U111" s="4" t="s">
        <v>2786</v>
      </c>
      <c r="Y111" s="25"/>
      <c r="Z111">
        <f t="shared" si="20"/>
        <v>38</v>
      </c>
    </row>
    <row r="112" spans="1:26" x14ac:dyDescent="0.35">
      <c r="A112">
        <f t="shared" si="19"/>
        <v>39</v>
      </c>
      <c r="B112" s="689" t="str">
        <f t="shared" ref="B112:B116" si="23">B49</f>
        <v>F16 (AM/BM Danish version for UKR)</v>
      </c>
      <c r="C112" t="s">
        <v>1864</v>
      </c>
      <c r="Y112" s="25"/>
      <c r="Z112">
        <f t="shared" si="20"/>
        <v>39</v>
      </c>
    </row>
    <row r="113" spans="1:26" x14ac:dyDescent="0.35">
      <c r="A113">
        <f t="shared" si="19"/>
        <v>40</v>
      </c>
      <c r="B113" s="689" t="str">
        <f t="shared" si="23"/>
        <v xml:space="preserve"> - AN/APG-66(V)2 radar for weapons navigation</v>
      </c>
      <c r="C113" t="s">
        <v>1864</v>
      </c>
      <c r="Y113" s="25"/>
      <c r="Z113">
        <f t="shared" si="20"/>
        <v>40</v>
      </c>
    </row>
    <row r="114" spans="1:26" x14ac:dyDescent="0.35">
      <c r="A114">
        <f t="shared" si="19"/>
        <v>41</v>
      </c>
      <c r="B114" s="689" t="str">
        <f t="shared" si="23"/>
        <v xml:space="preserve"> - AGM-88G HARM anti-radar missile, US</v>
      </c>
      <c r="C114" t="s">
        <v>1864</v>
      </c>
      <c r="Y114" s="25"/>
      <c r="Z114">
        <f t="shared" si="20"/>
        <v>41</v>
      </c>
    </row>
    <row r="115" spans="1:26" x14ac:dyDescent="0.35">
      <c r="A115">
        <f t="shared" si="19"/>
        <v>42</v>
      </c>
      <c r="B115" s="689" t="str">
        <f t="shared" si="23"/>
        <v xml:space="preserve"> - AIM-7 Sparrow US air to air missile Ukraine got them</v>
      </c>
      <c r="C115" t="s">
        <v>1864</v>
      </c>
      <c r="Y115" s="25"/>
      <c r="Z115">
        <f t="shared" si="20"/>
        <v>42</v>
      </c>
    </row>
    <row r="116" spans="1:26" x14ac:dyDescent="0.35">
      <c r="A116">
        <f t="shared" si="19"/>
        <v>43</v>
      </c>
      <c r="B116" s="689" t="str">
        <f t="shared" si="23"/>
        <v xml:space="preserve"> - AIM-120D air to air anti-aircraft missile</v>
      </c>
      <c r="C116" t="s">
        <v>1864</v>
      </c>
      <c r="Y116" s="25"/>
      <c r="Z116">
        <f t="shared" si="20"/>
        <v>43</v>
      </c>
    </row>
    <row r="117" spans="1:26" x14ac:dyDescent="0.35">
      <c r="A117">
        <f t="shared" si="19"/>
        <v>44</v>
      </c>
      <c r="B117" s="689"/>
      <c r="Y117" s="25"/>
      <c r="Z117">
        <f t="shared" si="20"/>
        <v>44</v>
      </c>
    </row>
    <row r="118" spans="1:26" x14ac:dyDescent="0.35">
      <c r="A118">
        <f t="shared" si="19"/>
        <v>45</v>
      </c>
      <c r="B118" s="123"/>
      <c r="Y118" s="25"/>
      <c r="Z118">
        <f t="shared" si="20"/>
        <v>45</v>
      </c>
    </row>
    <row r="119" spans="1:26" ht="15" thickBot="1" x14ac:dyDescent="0.4">
      <c r="A119">
        <f t="shared" si="19"/>
        <v>46</v>
      </c>
      <c r="B119" s="677" t="str">
        <f>B56</f>
        <v>F35 NATO fighter jet radar invisible</v>
      </c>
      <c r="C119" s="681"/>
      <c r="D119" s="681"/>
      <c r="E119" s="681"/>
      <c r="F119" s="681"/>
      <c r="G119" s="681"/>
      <c r="H119" s="681"/>
      <c r="I119" s="681"/>
      <c r="J119" s="681"/>
      <c r="K119" s="681"/>
      <c r="L119" s="681"/>
      <c r="M119" s="681"/>
      <c r="N119" s="681"/>
      <c r="O119" s="681"/>
      <c r="P119" s="681"/>
      <c r="Q119" s="681"/>
      <c r="R119" s="681"/>
      <c r="S119" s="681"/>
      <c r="T119" s="681"/>
      <c r="U119" s="681"/>
      <c r="V119" s="681"/>
      <c r="W119" s="681"/>
      <c r="X119" s="681"/>
      <c r="Y119" s="684"/>
      <c r="Z119">
        <f t="shared" si="20"/>
        <v>46</v>
      </c>
    </row>
    <row r="120" spans="1:26" ht="15" thickTop="1" x14ac:dyDescent="0.35">
      <c r="A120">
        <f t="shared" si="19"/>
        <v>47</v>
      </c>
      <c r="B120" s="233" t="str">
        <f t="shared" ref="B120:B124" si="24">B57</f>
        <v xml:space="preserve">Key Russian weapons Ukraine must defeat </v>
      </c>
      <c r="C120" s="658"/>
      <c r="D120" s="658"/>
      <c r="E120" s="658"/>
      <c r="F120" s="658"/>
      <c r="G120" s="658"/>
      <c r="H120" s="658"/>
      <c r="I120" s="658"/>
      <c r="J120" s="658"/>
      <c r="K120" s="658"/>
      <c r="L120" s="658"/>
      <c r="M120" s="658"/>
      <c r="N120" s="658"/>
      <c r="O120" s="232" t="s">
        <v>2560</v>
      </c>
      <c r="P120" s="658"/>
      <c r="Q120" s="658"/>
      <c r="R120" s="658"/>
      <c r="S120" s="658"/>
      <c r="T120" s="658"/>
      <c r="U120" s="658"/>
      <c r="V120" s="658"/>
      <c r="W120" s="658"/>
      <c r="X120" s="658"/>
      <c r="Y120" s="673"/>
      <c r="Z120">
        <f t="shared" si="20"/>
        <v>47</v>
      </c>
    </row>
    <row r="121" spans="1:26" x14ac:dyDescent="0.35">
      <c r="A121">
        <f t="shared" si="19"/>
        <v>48</v>
      </c>
      <c r="B121" s="123" t="str">
        <f t="shared" si="24"/>
        <v>Beriev A-50 (Russian AWACS, legacy)</v>
      </c>
      <c r="C121" t="s">
        <v>1864</v>
      </c>
      <c r="G121" t="s">
        <v>88</v>
      </c>
      <c r="I121" t="s">
        <v>1999</v>
      </c>
      <c r="L121" t="s">
        <v>34</v>
      </c>
      <c r="Y121" s="25"/>
      <c r="Z121">
        <f t="shared" si="20"/>
        <v>48</v>
      </c>
    </row>
    <row r="122" spans="1:26" x14ac:dyDescent="0.35">
      <c r="A122">
        <f t="shared" si="19"/>
        <v>49</v>
      </c>
      <c r="B122" s="123" t="str">
        <f t="shared" si="24"/>
        <v>S-400 missile 40N6E many versions</v>
      </c>
      <c r="C122" t="s">
        <v>1864</v>
      </c>
      <c r="Y122" s="25"/>
      <c r="Z122">
        <f t="shared" si="20"/>
        <v>49</v>
      </c>
    </row>
    <row r="123" spans="1:26" x14ac:dyDescent="0.35">
      <c r="A123">
        <f t="shared" si="19"/>
        <v>50</v>
      </c>
      <c r="B123" s="123" t="str">
        <f t="shared" si="24"/>
        <v>S-300 missile 48N6P RUS many versions, 1800kg also ground attack Ukraine cant shoot it down</v>
      </c>
      <c r="C123" t="s">
        <v>1864</v>
      </c>
      <c r="Y123" s="25"/>
      <c r="Z123">
        <f t="shared" si="20"/>
        <v>50</v>
      </c>
    </row>
    <row r="124" spans="1:26" x14ac:dyDescent="0.35">
      <c r="A124">
        <f t="shared" si="19"/>
        <v>51</v>
      </c>
      <c r="B124" s="123" t="str">
        <f t="shared" si="24"/>
        <v>S-500 entire missile system</v>
      </c>
      <c r="O124" t="s">
        <v>2634</v>
      </c>
      <c r="Y124" s="25"/>
      <c r="Z124">
        <f t="shared" si="20"/>
        <v>51</v>
      </c>
    </row>
    <row r="125" spans="1:26" ht="15" thickBot="1" x14ac:dyDescent="0.4">
      <c r="A125">
        <f t="shared" si="19"/>
        <v>52</v>
      </c>
      <c r="B125" s="112"/>
      <c r="C125" s="14"/>
      <c r="D125" s="14"/>
      <c r="E125" s="14"/>
      <c r="F125" s="14"/>
      <c r="G125" s="14"/>
      <c r="H125" s="14"/>
      <c r="I125" s="14"/>
      <c r="J125" s="14"/>
      <c r="K125" s="14"/>
      <c r="L125" s="14"/>
      <c r="M125" s="14"/>
      <c r="N125" s="14"/>
      <c r="O125" s="14"/>
      <c r="P125" s="14"/>
      <c r="Q125" s="14"/>
      <c r="R125" s="14"/>
      <c r="S125" s="14"/>
      <c r="T125" s="14"/>
      <c r="U125" s="14"/>
      <c r="V125" s="14"/>
      <c r="W125" s="14"/>
      <c r="X125" s="14"/>
      <c r="Y125" s="28"/>
      <c r="Z125">
        <f t="shared" si="20"/>
        <v>52</v>
      </c>
    </row>
    <row r="126" spans="1:26" ht="15" thickTop="1" x14ac:dyDescent="0.35"/>
  </sheetData>
  <phoneticPr fontId="8" type="noConversion"/>
  <hyperlinks>
    <hyperlink ref="L103" r:id="rId1" location="SM-3,_SM-2_Block_IV,_SM-6_and_GPI_interceptors" xr:uid="{C0092523-027F-46FB-A0B4-82B972F66FD3}"/>
    <hyperlink ref="G95" r:id="rId2" xr:uid="{8C805F4E-6FA4-44F8-94D5-99BAC3AC4416}"/>
    <hyperlink ref="AB32" r:id="rId3" xr:uid="{FBFACB10-D338-40CD-B11B-E527AD3C3984}"/>
    <hyperlink ref="AC32" r:id="rId4" xr:uid="{E5125D46-EF72-4339-8322-93FF5B1E43ED}"/>
    <hyperlink ref="AB40" r:id="rId5" xr:uid="{FAC2A0F7-D4D0-443C-B6FE-63157339C318}"/>
    <hyperlink ref="AC40" r:id="rId6" xr:uid="{7D032A15-D118-4E79-A688-C4BE73D5C851}"/>
    <hyperlink ref="AB28" r:id="rId7" xr:uid="{FCAE9635-E070-44F4-953E-6E92E2C027A7}"/>
    <hyperlink ref="AB46" r:id="rId8" location="Variants" xr:uid="{C5203EC9-F06F-4447-A518-6E2F458D9CDA}"/>
    <hyperlink ref="AB30" r:id="rId9" location="Foreign_interest" xr:uid="{3DF3BE22-AAF1-4C87-977F-3370E87D143A}"/>
    <hyperlink ref="AC28" r:id="rId10" xr:uid="{FCA41095-00F4-4043-8A6E-DAE14302448D}"/>
    <hyperlink ref="W78" r:id="rId11" xr:uid="{80BF5F1A-C9BD-42DA-8B95-7407AE3F46BE}"/>
    <hyperlink ref="AA40" r:id="rId12" xr:uid="{63D8D564-C2D9-4C32-9D18-7D4F48E92584}"/>
    <hyperlink ref="AB61" r:id="rId13" xr:uid="{39D3F471-9769-4F73-A051-F5586103905C}"/>
    <hyperlink ref="AA11" r:id="rId14" xr:uid="{4FB860B7-5D91-4510-A015-646D0D960203}"/>
    <hyperlink ref="AA19" r:id="rId15" xr:uid="{25692F34-EC55-42F1-8660-137FB9134635}"/>
    <hyperlink ref="AA46" r:id="rId16" xr:uid="{C7A39D6D-C43C-4362-9678-D3EDC3DAFBB3}"/>
    <hyperlink ref="AA44" r:id="rId17" xr:uid="{9679822D-DC44-4ED4-9ED6-571E8C965954}"/>
    <hyperlink ref="AA48" r:id="rId18" xr:uid="{6BD745B5-2580-4023-86BD-8A12BFFD2203}"/>
    <hyperlink ref="U111" r:id="rId19" xr:uid="{1F8DF490-5615-4353-8B4A-C30DFA831F68}"/>
  </hyperlinks>
  <pageMargins left="0.7" right="0.7" top="0.75" bottom="0.75" header="0.3" footer="0.3"/>
  <pageSetup paperSize="9" orientation="portrait" verticalDpi="0"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DB811-5C96-46BE-B16E-9C4109F854DB}">
  <dimension ref="A1:V80"/>
  <sheetViews>
    <sheetView workbookViewId="0">
      <pane xSplit="2" ySplit="9" topLeftCell="C49" activePane="bottomRight" state="frozen"/>
      <selection pane="topRight" activeCell="C1" sqref="C1"/>
      <selection pane="bottomLeft" activeCell="A10" sqref="A10"/>
      <selection pane="bottomRight" activeCell="E50" sqref="E50"/>
    </sheetView>
  </sheetViews>
  <sheetFormatPr defaultRowHeight="14.5" x14ac:dyDescent="0.35"/>
  <cols>
    <col min="1" max="1" width="6.6328125" customWidth="1"/>
    <col min="2" max="2" width="50.1796875" customWidth="1"/>
    <col min="3" max="3" width="14.6328125" customWidth="1"/>
    <col min="4" max="5" width="9.81640625" customWidth="1"/>
    <col min="6" max="6" width="12.26953125" customWidth="1"/>
    <col min="7" max="7" width="12.453125" customWidth="1"/>
    <col min="8" max="8" width="14.08984375" customWidth="1"/>
    <col min="9" max="9" width="15.1796875" customWidth="1"/>
    <col min="10" max="10" width="17.90625" customWidth="1"/>
    <col min="11" max="12" width="19" customWidth="1"/>
    <col min="13" max="14" width="21.08984375" customWidth="1"/>
    <col min="15" max="15" width="3.90625" customWidth="1"/>
    <col min="17" max="17" width="9.90625" customWidth="1"/>
    <col min="18" max="18" width="7" customWidth="1"/>
    <col min="19" max="19" width="8.6328125" customWidth="1"/>
    <col min="20" max="20" width="12.6328125" customWidth="1"/>
    <col min="21" max="21" width="16.36328125" customWidth="1"/>
  </cols>
  <sheetData>
    <row r="1" spans="1:22" ht="28.5" x14ac:dyDescent="0.65">
      <c r="A1" s="1" t="str">
        <f>UkrAid24jan2022ToOct312023!A1</f>
        <v>AQ Islamists advance to Hama, Putin replaces his top Syrian general &amp; much more #69/96</v>
      </c>
      <c r="K1">
        <f>COUNTIF(C69:C78,"&gt;0")</f>
        <v>9</v>
      </c>
      <c r="L1" t="s">
        <v>2928</v>
      </c>
      <c r="Q1" t="s">
        <v>2861</v>
      </c>
    </row>
    <row r="2" spans="1:22" x14ac:dyDescent="0.35">
      <c r="A2" s="434" t="str">
        <f>UkrAid24jan2022ToOct312023!$A$2</f>
        <v>Proprietary. © H. Mathiesen. This material can be used by others free of charge provided that the author H. Mathiesen is attributed and a clickable link is made visible to the location of used material on www.hmexperience.dk</v>
      </c>
      <c r="K2" s="159">
        <f>COUNTIF(K11:K13,"&gt;0")+COUNTIF(K16,"&gt;0")+COUNTIF(K19:K49,"&gt;0")+COUNTIF(K55,"&gt;0")+COUNTIF(K60:K65,"&gt;0")</f>
        <v>42</v>
      </c>
      <c r="L2" t="s">
        <v>2920</v>
      </c>
    </row>
    <row r="3" spans="1:22" x14ac:dyDescent="0.35">
      <c r="A3" s="714"/>
      <c r="K3" s="96">
        <v>0.03</v>
      </c>
      <c r="L3" t="s">
        <v>2799</v>
      </c>
    </row>
    <row r="4" spans="1:22" ht="24" thickBot="1" x14ac:dyDescent="0.6">
      <c r="B4" s="435" t="s">
        <v>2860</v>
      </c>
      <c r="C4" s="435"/>
      <c r="D4" s="435"/>
      <c r="E4" s="435"/>
      <c r="F4" s="435"/>
      <c r="G4" s="435"/>
      <c r="H4" s="435"/>
      <c r="I4" s="435"/>
      <c r="J4" s="435"/>
      <c r="K4" s="263"/>
      <c r="L4" s="263"/>
      <c r="M4" s="263"/>
      <c r="N4" s="263"/>
      <c r="O4" s="263"/>
      <c r="P4" s="3"/>
    </row>
    <row r="5" spans="1:22" ht="22" thickTop="1" thickBot="1" x14ac:dyDescent="0.55000000000000004">
      <c r="B5" s="715" t="s">
        <v>2863</v>
      </c>
      <c r="C5" s="437" t="s">
        <v>2702</v>
      </c>
      <c r="D5" s="438" t="s">
        <v>149</v>
      </c>
      <c r="E5" s="438" t="s">
        <v>2868</v>
      </c>
      <c r="F5" s="438" t="s">
        <v>2643</v>
      </c>
      <c r="G5" s="438" t="s">
        <v>2643</v>
      </c>
      <c r="H5" s="438" t="s">
        <v>2253</v>
      </c>
      <c r="I5" s="438" t="s">
        <v>2253</v>
      </c>
      <c r="J5" s="438" t="s">
        <v>2796</v>
      </c>
      <c r="K5" s="438" t="s">
        <v>2802</v>
      </c>
      <c r="L5" s="438" t="s">
        <v>2797</v>
      </c>
      <c r="M5" s="438" t="s">
        <v>2265</v>
      </c>
      <c r="N5" s="438" t="s">
        <v>2267</v>
      </c>
      <c r="O5" s="558"/>
      <c r="P5" s="3"/>
    </row>
    <row r="6" spans="1:22" ht="15" thickTop="1" x14ac:dyDescent="0.35">
      <c r="B6" s="440" t="s">
        <v>2270</v>
      </c>
      <c r="C6" s="564" t="s">
        <v>2701</v>
      </c>
      <c r="D6" s="441" t="s">
        <v>2290</v>
      </c>
      <c r="E6" s="441" t="s">
        <v>2870</v>
      </c>
      <c r="F6" s="441" t="s">
        <v>2645</v>
      </c>
      <c r="G6" s="441" t="s">
        <v>2871</v>
      </c>
      <c r="H6" s="441" t="s">
        <v>2256</v>
      </c>
      <c r="I6" s="441" t="s">
        <v>2254</v>
      </c>
      <c r="J6" s="441" t="s">
        <v>2396</v>
      </c>
      <c r="K6" s="441" t="s">
        <v>2255</v>
      </c>
      <c r="L6" s="441" t="s">
        <v>2396</v>
      </c>
      <c r="M6" s="441" t="s">
        <v>1321</v>
      </c>
      <c r="N6" s="441" t="s">
        <v>2268</v>
      </c>
      <c r="O6" s="559"/>
      <c r="P6" s="3"/>
      <c r="Q6" s="15" t="s">
        <v>2909</v>
      </c>
      <c r="R6" s="19"/>
      <c r="S6" s="19"/>
      <c r="T6" s="19"/>
      <c r="U6" s="24"/>
    </row>
    <row r="7" spans="1:22" ht="15" thickBot="1" x14ac:dyDescent="0.4">
      <c r="B7" s="444" t="s">
        <v>2387</v>
      </c>
      <c r="C7" s="571" t="s">
        <v>2698</v>
      </c>
      <c r="D7" s="445" t="s">
        <v>2291</v>
      </c>
      <c r="E7" s="445" t="s">
        <v>2868</v>
      </c>
      <c r="F7" s="445" t="s">
        <v>2703</v>
      </c>
      <c r="G7" s="445" t="s">
        <v>2869</v>
      </c>
      <c r="H7" s="445" t="s">
        <v>146</v>
      </c>
      <c r="I7" s="445" t="s">
        <v>1073</v>
      </c>
      <c r="J7" s="445" t="s">
        <v>2801</v>
      </c>
      <c r="K7" s="445" t="s">
        <v>146</v>
      </c>
      <c r="L7" s="445" t="s">
        <v>2801</v>
      </c>
      <c r="M7" s="445" t="s">
        <v>2266</v>
      </c>
      <c r="N7" s="445" t="s">
        <v>2269</v>
      </c>
      <c r="O7" s="446"/>
      <c r="P7" s="3"/>
      <c r="Q7" s="13" t="s">
        <v>211</v>
      </c>
      <c r="R7" s="18" t="s">
        <v>1073</v>
      </c>
      <c r="S7" s="18" t="s">
        <v>2643</v>
      </c>
      <c r="T7" s="18" t="s">
        <v>2257</v>
      </c>
      <c r="U7" s="40" t="s">
        <v>2311</v>
      </c>
    </row>
    <row r="8" spans="1:22" ht="15.5" thickTop="1" thickBot="1" x14ac:dyDescent="0.4">
      <c r="B8" s="571" t="s">
        <v>2699</v>
      </c>
      <c r="C8" s="844">
        <v>8057</v>
      </c>
      <c r="D8" s="846">
        <v>105435</v>
      </c>
      <c r="E8" s="852">
        <f>D8/D$8</f>
        <v>1</v>
      </c>
      <c r="F8" s="847">
        <v>26587</v>
      </c>
      <c r="G8" s="852">
        <f>F8/F$8</f>
        <v>1</v>
      </c>
      <c r="H8" s="848">
        <f>I8*D8</f>
        <v>2425.0050000000001</v>
      </c>
      <c r="I8" s="849">
        <v>2.3E-2</v>
      </c>
      <c r="J8" s="849" t="s">
        <v>34</v>
      </c>
      <c r="K8" s="845" t="s">
        <v>34</v>
      </c>
      <c r="L8" s="845" t="s">
        <v>34</v>
      </c>
      <c r="M8" s="302">
        <v>20000000</v>
      </c>
      <c r="N8" s="845" t="s">
        <v>34</v>
      </c>
      <c r="O8" s="446"/>
      <c r="P8" s="3"/>
      <c r="Q8" t="s">
        <v>2651</v>
      </c>
      <c r="R8" t="s">
        <v>2652</v>
      </c>
      <c r="S8" t="s">
        <v>2653</v>
      </c>
      <c r="T8" t="s">
        <v>2654</v>
      </c>
      <c r="U8" t="s">
        <v>2654</v>
      </c>
      <c r="V8" t="s">
        <v>34</v>
      </c>
    </row>
    <row r="9" spans="1:22" ht="15.5" thickTop="1" thickBot="1" x14ac:dyDescent="0.4">
      <c r="B9" s="719" t="s">
        <v>2818</v>
      </c>
      <c r="C9" s="725">
        <f>SUM(C10,C15,C18,C54,C59)</f>
        <v>1365.45</v>
      </c>
      <c r="D9" s="740">
        <f>SUM(D10,D15,D18,D54,D59)</f>
        <v>61934.799999999996</v>
      </c>
      <c r="E9" s="852">
        <f>D9/D$8</f>
        <v>0.58742163418219751</v>
      </c>
      <c r="F9" s="841">
        <f>SUM(F10,F15,F18,F54,F59)</f>
        <v>10314.51</v>
      </c>
      <c r="G9" s="852">
        <f>F9/F$8</f>
        <v>0.38795313499078499</v>
      </c>
      <c r="H9" s="744">
        <f t="shared" ref="H9:N9" si="0">SUM(H10,H15,H18,H54,H59)</f>
        <v>1635.3625399999999</v>
      </c>
      <c r="I9" s="736">
        <f>H9/D9</f>
        <v>2.6404582561015778E-2</v>
      </c>
      <c r="J9" s="799">
        <f>SUM(J10,J15,J18,J54,J59)</f>
        <v>1.0000000000000002</v>
      </c>
      <c r="K9" s="744">
        <f>SUM(K10,K15,K18,K54,K59)</f>
        <v>1835.124</v>
      </c>
      <c r="L9" s="799">
        <f>SUM(L10,L15,L18,L54,L59)</f>
        <v>0.99999999999999989</v>
      </c>
      <c r="M9" s="726">
        <f t="shared" si="0"/>
        <v>7541495</v>
      </c>
      <c r="N9" s="726">
        <f t="shared" si="0"/>
        <v>11641100</v>
      </c>
      <c r="O9" s="718"/>
      <c r="P9" s="3"/>
    </row>
    <row r="10" spans="1:22" ht="15" thickTop="1" x14ac:dyDescent="0.35">
      <c r="A10">
        <v>1</v>
      </c>
      <c r="B10" s="233" t="s">
        <v>2258</v>
      </c>
      <c r="C10" s="727">
        <f>SUM(C11:C13)</f>
        <v>504.8</v>
      </c>
      <c r="D10" s="741">
        <f>SUM(D11:D13)</f>
        <v>29426</v>
      </c>
      <c r="E10" s="798">
        <f>D10/D$8</f>
        <v>0.27909138331673544</v>
      </c>
      <c r="F10" s="475">
        <f>SUM(F11:F13)</f>
        <v>4978.2300000000005</v>
      </c>
      <c r="G10" s="798">
        <f>F10/F$8</f>
        <v>0.18724301350283976</v>
      </c>
      <c r="H10" s="745">
        <f t="shared" ref="H10:N10" si="1">SUM(H11:H13)</f>
        <v>933.7940000000001</v>
      </c>
      <c r="I10" s="737">
        <f>H10/D10</f>
        <v>3.1733636919730857E-2</v>
      </c>
      <c r="J10" s="798">
        <f t="shared" ref="J10" si="2">SUM(J11:J13)</f>
        <v>0.57100121664765557</v>
      </c>
      <c r="K10" s="745">
        <f>SUM(K11:K13)</f>
        <v>882.78</v>
      </c>
      <c r="L10" s="798">
        <f>SUM(L11:L13)</f>
        <v>0.48104651238826363</v>
      </c>
      <c r="M10" s="470">
        <f t="shared" si="1"/>
        <v>3128000</v>
      </c>
      <c r="N10" s="470">
        <f t="shared" si="1"/>
        <v>926000</v>
      </c>
      <c r="O10" s="560"/>
      <c r="P10">
        <v>1</v>
      </c>
    </row>
    <row r="11" spans="1:22" x14ac:dyDescent="0.35">
      <c r="A11">
        <f>A10+1</f>
        <v>2</v>
      </c>
      <c r="B11" s="104" t="s">
        <v>2384</v>
      </c>
      <c r="C11" s="174">
        <f>KeyArmiesStats!D53</f>
        <v>335</v>
      </c>
      <c r="D11" s="667">
        <f>KeyArmiesStats!C53</f>
        <v>25440</v>
      </c>
      <c r="E11" s="96">
        <f>D11/D$8</f>
        <v>0.24128610044103002</v>
      </c>
      <c r="F11" s="9">
        <v>4128</v>
      </c>
      <c r="G11" s="96">
        <f>F11/F$8</f>
        <v>0.15526385075412796</v>
      </c>
      <c r="H11" s="746">
        <f>KeyArmiesStats!G53</f>
        <v>890.40000000000009</v>
      </c>
      <c r="I11" s="581">
        <f>H11/D11</f>
        <v>3.5000000000000003E-2</v>
      </c>
      <c r="J11" s="96">
        <f>H11/H$9</f>
        <v>0.54446642760937902</v>
      </c>
      <c r="K11" s="746">
        <f>D11*K$3</f>
        <v>763.19999999999993</v>
      </c>
      <c r="L11" s="96">
        <f>K11/K$9</f>
        <v>0.41588470315902354</v>
      </c>
      <c r="M11" s="172">
        <f>KeyArmiesStats!E53</f>
        <v>2648000</v>
      </c>
      <c r="N11" s="172">
        <f>KeyArmiesStats!F53</f>
        <v>800000</v>
      </c>
      <c r="O11" s="166"/>
      <c r="P11">
        <f>P10+1</f>
        <v>2</v>
      </c>
      <c r="S11" t="s">
        <v>2644</v>
      </c>
      <c r="T11" t="s">
        <v>34</v>
      </c>
    </row>
    <row r="12" spans="1:22" x14ac:dyDescent="0.35">
      <c r="A12">
        <f t="shared" ref="A12" si="3">A11+1</f>
        <v>3</v>
      </c>
      <c r="B12" s="104" t="s">
        <v>2303</v>
      </c>
      <c r="C12" s="174">
        <f>KeyArmiesStats!D45</f>
        <v>39.799999999999997</v>
      </c>
      <c r="D12" s="666">
        <f>KeyArmiesStats!C45</f>
        <v>2138</v>
      </c>
      <c r="E12" s="96">
        <f t="shared" ref="E12:E13" si="4">D12/D$8</f>
        <v>2.0277896334234363E-2</v>
      </c>
      <c r="F12" s="58">
        <v>553.26</v>
      </c>
      <c r="G12" s="96">
        <f t="shared" ref="G12" si="5">F12/F$8</f>
        <v>2.0809418136683341E-2</v>
      </c>
      <c r="H12" s="747">
        <f>KeyArmiesStats!G45</f>
        <v>27.794</v>
      </c>
      <c r="I12" s="581">
        <f>H12/D12</f>
        <v>1.2999999999999999E-2</v>
      </c>
      <c r="J12" s="96">
        <f t="shared" ref="J12:J13" si="6">H12/H$9</f>
        <v>1.6995619821400583E-2</v>
      </c>
      <c r="K12" s="746">
        <f>D12*K$3</f>
        <v>64.14</v>
      </c>
      <c r="L12" s="96">
        <f>K12/K$9</f>
        <v>3.4951316641273288E-2</v>
      </c>
      <c r="M12" s="172">
        <f>KeyArmiesStats!E45</f>
        <v>68000</v>
      </c>
      <c r="N12" s="172">
        <f>KeyArmiesStats!F45</f>
        <v>27000</v>
      </c>
      <c r="O12" s="166"/>
      <c r="P12">
        <f t="shared" ref="P12:P68" si="7">P11+1</f>
        <v>3</v>
      </c>
    </row>
    <row r="13" spans="1:22" x14ac:dyDescent="0.35">
      <c r="A13">
        <f>A12+1</f>
        <v>4</v>
      </c>
      <c r="B13" s="104" t="s">
        <v>2302</v>
      </c>
      <c r="C13" s="174">
        <v>130</v>
      </c>
      <c r="D13" s="667">
        <v>1848</v>
      </c>
      <c r="E13" s="96">
        <f t="shared" si="4"/>
        <v>1.7527386541471048E-2</v>
      </c>
      <c r="F13" s="9">
        <v>296.97000000000003</v>
      </c>
      <c r="G13" s="96">
        <f t="shared" ref="G13" si="8">F13/F$8</f>
        <v>1.1169744612028435E-2</v>
      </c>
      <c r="H13" s="746">
        <v>15.6</v>
      </c>
      <c r="I13" s="581">
        <f>H13/D13</f>
        <v>8.4415584415584409E-3</v>
      </c>
      <c r="J13" s="96">
        <f t="shared" si="6"/>
        <v>9.5391692168759114E-3</v>
      </c>
      <c r="K13" s="746">
        <f>D13*K$3</f>
        <v>55.44</v>
      </c>
      <c r="L13" s="96">
        <f>K13/K$9</f>
        <v>3.0210492587966806E-2</v>
      </c>
      <c r="M13" s="172">
        <v>412000</v>
      </c>
      <c r="N13" s="172">
        <v>99000</v>
      </c>
      <c r="O13" s="166"/>
      <c r="P13">
        <f t="shared" si="7"/>
        <v>4</v>
      </c>
      <c r="Q13" t="s">
        <v>2300</v>
      </c>
      <c r="R13" t="s">
        <v>2300</v>
      </c>
      <c r="T13" t="s">
        <v>2388</v>
      </c>
      <c r="U13" t="s">
        <v>2388</v>
      </c>
      <c r="V13" t="s">
        <v>34</v>
      </c>
    </row>
    <row r="14" spans="1:22" x14ac:dyDescent="0.35">
      <c r="A14">
        <f t="shared" ref="A14:A16" si="9">A13+1</f>
        <v>5</v>
      </c>
      <c r="B14" s="104"/>
      <c r="C14" s="174"/>
      <c r="D14" s="667"/>
      <c r="E14" s="96"/>
      <c r="F14" s="9"/>
      <c r="G14" s="96"/>
      <c r="H14" s="746"/>
      <c r="I14" s="581"/>
      <c r="J14" s="96"/>
      <c r="K14" s="746"/>
      <c r="L14" s="96"/>
      <c r="M14" s="172"/>
      <c r="N14" s="172"/>
      <c r="O14" s="166"/>
      <c r="P14">
        <f t="shared" si="7"/>
        <v>5</v>
      </c>
    </row>
    <row r="15" spans="1:22" x14ac:dyDescent="0.35">
      <c r="A15">
        <f t="shared" si="9"/>
        <v>6</v>
      </c>
      <c r="B15" s="716" t="s">
        <v>2262</v>
      </c>
      <c r="C15" s="727">
        <f>SUM(C16:C17)</f>
        <v>47.1</v>
      </c>
      <c r="D15" s="741">
        <f>SUM(D16:D17)</f>
        <v>604</v>
      </c>
      <c r="E15" s="798">
        <f>D15/D$8</f>
        <v>5.728647982169109E-3</v>
      </c>
      <c r="F15" s="475">
        <f>SUM(F16:F17)</f>
        <v>128</v>
      </c>
      <c r="G15" s="798">
        <f>F15/F$8</f>
        <v>4.8143829691202466E-3</v>
      </c>
      <c r="H15" s="745">
        <f t="shared" ref="H15:N15" si="10">SUM(H16:H17)</f>
        <v>2.9</v>
      </c>
      <c r="I15" s="737">
        <f>H15/D15</f>
        <v>4.8013245033112582E-3</v>
      </c>
      <c r="J15" s="798">
        <f t="shared" si="10"/>
        <v>1.7733070980089835E-3</v>
      </c>
      <c r="K15" s="745">
        <f>SUM(K16:K17)</f>
        <v>18.12</v>
      </c>
      <c r="L15" s="798">
        <f>SUM(L16:L17)</f>
        <v>9.8739921661969432E-3</v>
      </c>
      <c r="M15" s="470">
        <f t="shared" si="10"/>
        <v>80000</v>
      </c>
      <c r="N15" s="470">
        <f t="shared" si="10"/>
        <v>0</v>
      </c>
      <c r="O15" s="717"/>
      <c r="P15">
        <f t="shared" si="7"/>
        <v>6</v>
      </c>
    </row>
    <row r="16" spans="1:22" x14ac:dyDescent="0.35">
      <c r="A16">
        <f t="shared" si="9"/>
        <v>7</v>
      </c>
      <c r="B16" s="104" t="s">
        <v>2306</v>
      </c>
      <c r="C16" s="174">
        <v>47.1</v>
      </c>
      <c r="D16" s="667">
        <v>604</v>
      </c>
      <c r="E16" s="96">
        <f>D16/D$8</f>
        <v>5.728647982169109E-3</v>
      </c>
      <c r="F16" s="9">
        <v>128</v>
      </c>
      <c r="G16" s="96">
        <f>F16/F$8</f>
        <v>4.8143829691202466E-3</v>
      </c>
      <c r="H16" s="746">
        <v>2.9</v>
      </c>
      <c r="I16" s="581">
        <f>H16/D16</f>
        <v>4.8013245033112582E-3</v>
      </c>
      <c r="J16" s="96">
        <f>H16/H$9</f>
        <v>1.7733070980089835E-3</v>
      </c>
      <c r="K16" s="746">
        <f>D16*K$3</f>
        <v>18.12</v>
      </c>
      <c r="L16" s="96">
        <f>K16/K$9</f>
        <v>9.8739921661969432E-3</v>
      </c>
      <c r="M16" s="172">
        <v>80000</v>
      </c>
      <c r="N16" s="172" t="s">
        <v>34</v>
      </c>
      <c r="O16" s="166"/>
      <c r="P16">
        <f t="shared" si="7"/>
        <v>7</v>
      </c>
      <c r="Q16" t="s">
        <v>2301</v>
      </c>
      <c r="R16" t="s">
        <v>2301</v>
      </c>
      <c r="T16" t="s">
        <v>2390</v>
      </c>
      <c r="U16" t="s">
        <v>2389</v>
      </c>
      <c r="V16" t="s">
        <v>34</v>
      </c>
    </row>
    <row r="17" spans="1:20" x14ac:dyDescent="0.35">
      <c r="A17">
        <f t="shared" ref="A17:A78" si="11">A16+1</f>
        <v>8</v>
      </c>
      <c r="B17" s="123"/>
      <c r="C17" s="174"/>
      <c r="D17" s="667"/>
      <c r="E17" s="96"/>
      <c r="F17" s="9"/>
      <c r="G17" s="96"/>
      <c r="H17" s="746"/>
      <c r="I17" s="581"/>
      <c r="J17" s="96"/>
      <c r="K17" s="746"/>
      <c r="L17" s="96"/>
      <c r="M17" s="172"/>
      <c r="N17" s="172"/>
      <c r="O17" s="166"/>
      <c r="P17">
        <f t="shared" si="7"/>
        <v>8</v>
      </c>
    </row>
    <row r="18" spans="1:20" x14ac:dyDescent="0.35">
      <c r="A18">
        <f t="shared" si="11"/>
        <v>9</v>
      </c>
      <c r="B18" s="189" t="s">
        <v>2259</v>
      </c>
      <c r="C18" s="727">
        <f>SUM(C19:C53)</f>
        <v>565.80999999999995</v>
      </c>
      <c r="D18" s="741">
        <f>SUM(D19:D53)</f>
        <v>22098.799999999996</v>
      </c>
      <c r="E18" s="798">
        <f>D18/D$8</f>
        <v>0.20959643382178589</v>
      </c>
      <c r="F18" s="475">
        <f>SUM(F19:F53)</f>
        <v>2994.28</v>
      </c>
      <c r="G18" s="798">
        <f>F18/F$8</f>
        <v>0.11262195809982323</v>
      </c>
      <c r="H18" s="745">
        <f>SUM(H19:H53)</f>
        <v>494.54453999999987</v>
      </c>
      <c r="I18" s="737">
        <f>H18/D18</f>
        <v>2.2378796133726717E-2</v>
      </c>
      <c r="J18" s="798">
        <f>SUM(J19:J53)</f>
        <v>0.30240667002192684</v>
      </c>
      <c r="K18" s="745">
        <f>SUM(K19:K53)</f>
        <v>640.04399999999998</v>
      </c>
      <c r="L18" s="798">
        <f>SUM(L19:L53)</f>
        <v>0.34877425176718302</v>
      </c>
      <c r="M18" s="470">
        <f>SUM(M19:M53)</f>
        <v>3110795</v>
      </c>
      <c r="N18" s="470">
        <f>SUM(N19:N53)</f>
        <v>4401900</v>
      </c>
      <c r="O18" s="563"/>
      <c r="P18">
        <f t="shared" si="7"/>
        <v>9</v>
      </c>
    </row>
    <row r="19" spans="1:20" x14ac:dyDescent="0.35">
      <c r="A19">
        <f t="shared" si="11"/>
        <v>10</v>
      </c>
      <c r="B19" s="104" t="s">
        <v>2271</v>
      </c>
      <c r="C19" s="174">
        <f>KeyArmiesStats!D36</f>
        <v>84.8</v>
      </c>
      <c r="D19" s="666">
        <f>KeyArmiesStats!C36</f>
        <v>4082</v>
      </c>
      <c r="E19" s="96">
        <f>D19/D$8</f>
        <v>3.8715796462275333E-2</v>
      </c>
      <c r="F19" s="58">
        <v>507.25</v>
      </c>
      <c r="G19" s="96">
        <f>F19/F$8</f>
        <v>1.9078873133486291E-2</v>
      </c>
      <c r="H19" s="747">
        <f>KeyArmiesStats!G36</f>
        <v>86.538399999999996</v>
      </c>
      <c r="I19" s="581">
        <f>KeyArmiesStats!H36</f>
        <v>2.12E-2</v>
      </c>
      <c r="J19" s="96">
        <f t="shared" ref="J19:J49" si="12">H19/H$9</f>
        <v>5.2916951369082969E-2</v>
      </c>
      <c r="K19" s="746">
        <f t="shared" ref="K19:K49" si="13">D19*K$3</f>
        <v>122.46</v>
      </c>
      <c r="L19" s="96">
        <f t="shared" ref="L19:L32" si="14">K19/K$9</f>
        <v>6.6731185467576032E-2</v>
      </c>
      <c r="M19" s="172">
        <f>KeyArmiesStats!E36</f>
        <v>180000</v>
      </c>
      <c r="N19" s="172">
        <f>KeyArmiesStats!F36</f>
        <v>930000</v>
      </c>
      <c r="O19" s="166"/>
      <c r="P19">
        <f t="shared" si="7"/>
        <v>10</v>
      </c>
      <c r="S19" t="s">
        <v>2644</v>
      </c>
      <c r="T19" t="s">
        <v>34</v>
      </c>
    </row>
    <row r="20" spans="1:20" x14ac:dyDescent="0.35">
      <c r="A20">
        <f t="shared" si="11"/>
        <v>11</v>
      </c>
      <c r="B20" s="104" t="s">
        <v>2385</v>
      </c>
      <c r="C20" s="174">
        <f>KeyArmiesStats!D37</f>
        <v>68.11</v>
      </c>
      <c r="D20" s="666">
        <f>KeyArmiesStats!C37</f>
        <v>3089</v>
      </c>
      <c r="E20" s="96">
        <f t="shared" ref="E20:E49" si="15">D20/D$8</f>
        <v>2.9297671551192679E-2</v>
      </c>
      <c r="F20" s="58">
        <v>287.13</v>
      </c>
      <c r="G20" s="96">
        <f t="shared" ref="G20" si="16">F20/F$8</f>
        <v>1.0799638921277315E-2</v>
      </c>
      <c r="H20" s="747">
        <f>KeyArmiesStats!G37</f>
        <v>71.973700000000008</v>
      </c>
      <c r="I20" s="581">
        <f>KeyArmiesStats!H37</f>
        <v>2.3300000000000001E-2</v>
      </c>
      <c r="J20" s="96">
        <f t="shared" si="12"/>
        <v>4.4010852786196271E-2</v>
      </c>
      <c r="K20" s="746">
        <f t="shared" si="13"/>
        <v>92.67</v>
      </c>
      <c r="L20" s="96">
        <f t="shared" si="14"/>
        <v>5.0497950002288676E-2</v>
      </c>
      <c r="M20" s="172">
        <f>KeyArmiesStats!E37</f>
        <v>138100</v>
      </c>
      <c r="N20" s="172">
        <f>KeyArmiesStats!F37</f>
        <v>33000</v>
      </c>
      <c r="O20" s="166"/>
      <c r="P20">
        <f t="shared" si="7"/>
        <v>11</v>
      </c>
      <c r="S20" t="s">
        <v>2644</v>
      </c>
      <c r="T20" t="s">
        <v>34</v>
      </c>
    </row>
    <row r="21" spans="1:20" x14ac:dyDescent="0.35">
      <c r="A21">
        <f t="shared" si="11"/>
        <v>12</v>
      </c>
      <c r="B21" s="104" t="s">
        <v>2386</v>
      </c>
      <c r="C21" s="174">
        <f>KeyArmiesStats!D41</f>
        <v>68.099999999999994</v>
      </c>
      <c r="D21" s="666">
        <f>KeyArmiesStats!C41</f>
        <v>2779</v>
      </c>
      <c r="E21" s="96">
        <f t="shared" si="15"/>
        <v>2.6357471427893964E-2</v>
      </c>
      <c r="F21" s="58">
        <v>426</v>
      </c>
      <c r="G21" s="96">
        <f t="shared" ref="G21" si="17">F21/F$8</f>
        <v>1.6022868319103323E-2</v>
      </c>
      <c r="H21" s="747">
        <f>KeyArmiesStats!G41</f>
        <v>57.247399999999999</v>
      </c>
      <c r="I21" s="581">
        <f>KeyArmiesStats!H41</f>
        <v>2.06E-2</v>
      </c>
      <c r="J21" s="96">
        <f t="shared" si="12"/>
        <v>3.5005938193986029E-2</v>
      </c>
      <c r="K21" s="746">
        <f t="shared" si="13"/>
        <v>83.36999999999999</v>
      </c>
      <c r="L21" s="96">
        <f t="shared" si="14"/>
        <v>4.5430172565995533E-2</v>
      </c>
      <c r="M21" s="172">
        <f>KeyArmiesStats!E41</f>
        <v>270000</v>
      </c>
      <c r="N21" s="172">
        <f>KeyArmiesStats!F41</f>
        <v>64000</v>
      </c>
      <c r="O21" s="166"/>
      <c r="P21">
        <f t="shared" si="7"/>
        <v>12</v>
      </c>
      <c r="S21" t="s">
        <v>2644</v>
      </c>
      <c r="T21" t="s">
        <v>34</v>
      </c>
    </row>
    <row r="22" spans="1:20" x14ac:dyDescent="0.35">
      <c r="A22">
        <f t="shared" si="11"/>
        <v>13</v>
      </c>
      <c r="B22" s="104" t="s">
        <v>2277</v>
      </c>
      <c r="C22" s="174">
        <f>KeyArmiesStats!D44</f>
        <v>59</v>
      </c>
      <c r="D22" s="666">
        <f>KeyArmiesStats!C44</f>
        <v>2050</v>
      </c>
      <c r="E22" s="96">
        <f t="shared" si="15"/>
        <v>1.9443258879878599E-2</v>
      </c>
      <c r="F22" s="58">
        <v>298</v>
      </c>
      <c r="G22" s="96">
        <f t="shared" ref="G22" si="18">F22/F$8</f>
        <v>1.1208485349983074E-2</v>
      </c>
      <c r="H22" s="747">
        <f>KeyArmiesStats!G44</f>
        <v>30.75</v>
      </c>
      <c r="I22" s="581">
        <f>KeyArmiesStats!H44</f>
        <v>1.4999999999999999E-2</v>
      </c>
      <c r="J22" s="96">
        <f t="shared" si="12"/>
        <v>1.8803170090957326E-2</v>
      </c>
      <c r="K22" s="746">
        <f t="shared" si="13"/>
        <v>61.5</v>
      </c>
      <c r="L22" s="96">
        <f t="shared" si="14"/>
        <v>3.3512721756132013E-2</v>
      </c>
      <c r="M22" s="172">
        <f>KeyArmiesStats!E44</f>
        <v>165000</v>
      </c>
      <c r="N22" s="172">
        <f>KeyArmiesStats!F44</f>
        <v>18300</v>
      </c>
      <c r="O22" s="166"/>
      <c r="P22">
        <f t="shared" si="7"/>
        <v>13</v>
      </c>
      <c r="S22" t="s">
        <v>2644</v>
      </c>
      <c r="T22" t="s">
        <v>34</v>
      </c>
    </row>
    <row r="23" spans="1:20" x14ac:dyDescent="0.35">
      <c r="A23">
        <f t="shared" si="11"/>
        <v>14</v>
      </c>
      <c r="B23" s="104" t="s">
        <v>2278</v>
      </c>
      <c r="C23" s="174">
        <f>KeyArmiesStats!D42</f>
        <v>49</v>
      </c>
      <c r="D23" s="666">
        <f>KeyArmiesStats!C42</f>
        <v>1647</v>
      </c>
      <c r="E23" s="96">
        <f t="shared" si="15"/>
        <v>1.5620998719590268E-2</v>
      </c>
      <c r="F23" s="58">
        <v>233</v>
      </c>
      <c r="G23" s="96">
        <f t="shared" ref="G23" si="19">F23/F$8</f>
        <v>8.7636814984766997E-3</v>
      </c>
      <c r="H23" s="747">
        <f>KeyArmiesStats!G42</f>
        <v>24.704999999999998</v>
      </c>
      <c r="I23" s="581">
        <f>KeyArmiesStats!H42</f>
        <v>1.4999999999999999E-2</v>
      </c>
      <c r="J23" s="96">
        <f t="shared" si="12"/>
        <v>1.5106742019417909E-2</v>
      </c>
      <c r="K23" s="746">
        <f t="shared" si="13"/>
        <v>49.41</v>
      </c>
      <c r="L23" s="96">
        <f t="shared" si="14"/>
        <v>2.6924611088950934E-2</v>
      </c>
      <c r="M23" s="172">
        <f>KeyArmiesStats!E42</f>
        <v>133000</v>
      </c>
      <c r="N23" s="172">
        <f>KeyArmiesStats!F42</f>
        <v>15000</v>
      </c>
      <c r="O23" s="166"/>
      <c r="P23">
        <f t="shared" si="7"/>
        <v>14</v>
      </c>
      <c r="S23" t="s">
        <v>2644</v>
      </c>
      <c r="T23" t="s">
        <v>34</v>
      </c>
    </row>
    <row r="24" spans="1:20" x14ac:dyDescent="0.35">
      <c r="A24">
        <f t="shared" si="11"/>
        <v>15</v>
      </c>
      <c r="B24" s="104" t="s">
        <v>2279</v>
      </c>
      <c r="C24" s="174">
        <f>KeyArmiesStats!D43</f>
        <v>10.6</v>
      </c>
      <c r="D24" s="666">
        <f>KeyArmiesStats!C43</f>
        <v>303</v>
      </c>
      <c r="E24" s="96">
        <f t="shared" si="15"/>
        <v>2.8738085076113243E-3</v>
      </c>
      <c r="F24" s="58">
        <v>50.3</v>
      </c>
      <c r="G24" s="96">
        <f t="shared" ref="G24" si="20">F24/F$8</f>
        <v>1.8919020573964719E-3</v>
      </c>
      <c r="H24" s="747">
        <f>KeyArmiesStats!G43</f>
        <v>4.6055999999999999</v>
      </c>
      <c r="I24" s="581">
        <f>KeyArmiesStats!H43</f>
        <v>1.52E-2</v>
      </c>
      <c r="J24" s="96">
        <f t="shared" si="12"/>
        <v>2.8162562657207497E-3</v>
      </c>
      <c r="K24" s="746">
        <f t="shared" si="13"/>
        <v>9.09</v>
      </c>
      <c r="L24" s="96">
        <f t="shared" si="14"/>
        <v>4.9533437522478047E-3</v>
      </c>
      <c r="M24" s="172">
        <f>KeyArmiesStats!E43</f>
        <v>28000</v>
      </c>
      <c r="N24" s="172" t="s">
        <v>34</v>
      </c>
      <c r="O24" s="166"/>
      <c r="P24">
        <f t="shared" si="7"/>
        <v>15</v>
      </c>
      <c r="S24" t="s">
        <v>2644</v>
      </c>
      <c r="T24" t="s">
        <v>34</v>
      </c>
    </row>
    <row r="25" spans="1:20" x14ac:dyDescent="0.35">
      <c r="A25">
        <f t="shared" si="11"/>
        <v>16</v>
      </c>
      <c r="B25" s="104" t="s">
        <v>2394</v>
      </c>
      <c r="C25" s="174">
        <f>KeyArmiesStats!D16</f>
        <v>36.799999999999997</v>
      </c>
      <c r="D25" s="666">
        <f>KeyArmiesStats!C16</f>
        <v>688</v>
      </c>
      <c r="E25" s="96">
        <f t="shared" si="15"/>
        <v>6.5253473704177927E-3</v>
      </c>
      <c r="F25" s="58">
        <v>157</v>
      </c>
      <c r="G25" s="96">
        <f t="shared" ref="G25" si="21">F25/F$8</f>
        <v>5.9051416105615527E-3</v>
      </c>
      <c r="H25" s="747">
        <f>KeyArmiesStats!G16</f>
        <v>32.129599999999996</v>
      </c>
      <c r="I25" s="581">
        <f>KeyArmiesStats!H16</f>
        <v>4.6699999999999992E-2</v>
      </c>
      <c r="J25" s="96">
        <f t="shared" si="12"/>
        <v>1.9646775081444631E-2</v>
      </c>
      <c r="K25" s="746">
        <f t="shared" si="13"/>
        <v>20.64</v>
      </c>
      <c r="L25" s="96">
        <f t="shared" si="14"/>
        <v>1.124719637474089E-2</v>
      </c>
      <c r="M25" s="172">
        <f>KeyArmiesStats!E16</f>
        <v>216000</v>
      </c>
      <c r="N25" s="172">
        <f>KeyArmiesStats!F16</f>
        <v>670000</v>
      </c>
      <c r="O25" s="166"/>
      <c r="P25">
        <f t="shared" si="7"/>
        <v>16</v>
      </c>
      <c r="S25" t="s">
        <v>2644</v>
      </c>
      <c r="T25" t="s">
        <v>34</v>
      </c>
    </row>
    <row r="26" spans="1:20" x14ac:dyDescent="0.35">
      <c r="A26">
        <f t="shared" si="11"/>
        <v>17</v>
      </c>
      <c r="B26" s="104" t="s">
        <v>2281</v>
      </c>
      <c r="C26" s="174">
        <f>KeyArmiesStats!D15</f>
        <v>33.299999999999997</v>
      </c>
      <c r="D26" s="666">
        <f>KeyArmiesStats!C15</f>
        <v>188</v>
      </c>
      <c r="E26" s="96">
        <f t="shared" si="15"/>
        <v>1.783089107032769E-3</v>
      </c>
      <c r="F26" s="58">
        <v>99.7</v>
      </c>
      <c r="G26" s="96">
        <f t="shared" ref="G26" si="22">F26/F$8</f>
        <v>3.7499529845413174E-3</v>
      </c>
      <c r="H26" s="747">
        <f>KeyArmiesStats!G15</f>
        <v>69.56</v>
      </c>
      <c r="I26" s="581">
        <f>KeyArmiesStats!H15</f>
        <v>0.37</v>
      </c>
      <c r="J26" s="96">
        <f t="shared" si="12"/>
        <v>4.2534910943967205E-2</v>
      </c>
      <c r="K26" s="746">
        <f t="shared" si="13"/>
        <v>5.64</v>
      </c>
      <c r="L26" s="96">
        <f t="shared" si="14"/>
        <v>3.073361800074545E-3</v>
      </c>
      <c r="M26" s="172">
        <f>KeyArmiesStats!E15</f>
        <v>1260000</v>
      </c>
      <c r="N26" s="172" t="s">
        <v>34</v>
      </c>
      <c r="O26" s="166"/>
      <c r="P26">
        <f t="shared" si="7"/>
        <v>17</v>
      </c>
      <c r="S26" t="s">
        <v>2644</v>
      </c>
      <c r="T26" t="s">
        <v>34</v>
      </c>
    </row>
    <row r="27" spans="1:20" x14ac:dyDescent="0.35">
      <c r="A27">
        <f t="shared" si="11"/>
        <v>18</v>
      </c>
      <c r="B27" s="104" t="s">
        <v>2280</v>
      </c>
      <c r="C27" s="174">
        <f>KeyArmiesStats!D25</f>
        <v>19</v>
      </c>
      <c r="D27" s="666">
        <f>KeyArmiesStats!C25</f>
        <v>370</v>
      </c>
      <c r="E27" s="96">
        <f t="shared" si="15"/>
        <v>3.5092711149049176E-3</v>
      </c>
      <c r="F27" s="58">
        <v>49.8</v>
      </c>
      <c r="G27" s="96">
        <f t="shared" ref="G27" si="23">F27/F$8</f>
        <v>1.873095873923346E-3</v>
      </c>
      <c r="H27" s="747">
        <f>KeyArmiesStats!G25</f>
        <v>9.25</v>
      </c>
      <c r="I27" s="581">
        <f>KeyArmiesStats!H25</f>
        <v>2.5000000000000001E-2</v>
      </c>
      <c r="J27" s="96">
        <f t="shared" si="12"/>
        <v>5.6562381574424472E-3</v>
      </c>
      <c r="K27" s="746">
        <f t="shared" si="13"/>
        <v>11.1</v>
      </c>
      <c r="L27" s="96">
        <f t="shared" si="14"/>
        <v>6.0486375852530942E-3</v>
      </c>
      <c r="M27" s="172">
        <f>KeyArmiesStats!E25</f>
        <v>72000</v>
      </c>
      <c r="N27" s="172">
        <f>KeyArmiesStats!F25</f>
        <v>55000</v>
      </c>
      <c r="O27" s="166"/>
      <c r="P27">
        <f t="shared" si="7"/>
        <v>18</v>
      </c>
      <c r="S27" t="s">
        <v>2644</v>
      </c>
      <c r="T27" t="s">
        <v>34</v>
      </c>
    </row>
    <row r="28" spans="1:20" x14ac:dyDescent="0.35">
      <c r="A28">
        <f t="shared" si="11"/>
        <v>19</v>
      </c>
      <c r="B28" s="104" t="s">
        <v>2282</v>
      </c>
      <c r="C28" s="174">
        <f>KeyArmiesStats!D26</f>
        <v>6.4</v>
      </c>
      <c r="D28" s="666">
        <f>KeyArmiesStats!C26</f>
        <v>103</v>
      </c>
      <c r="E28" s="96">
        <f t="shared" si="15"/>
        <v>9.7690520225731498E-4</v>
      </c>
      <c r="F28" s="58">
        <v>35.4</v>
      </c>
      <c r="G28" s="96">
        <f t="shared" ref="G28" si="24">F28/F$8</f>
        <v>1.3314777898973181E-3</v>
      </c>
      <c r="H28" s="747">
        <f>KeyArmiesStats!G26</f>
        <v>2.1114999999999999</v>
      </c>
      <c r="I28" s="581">
        <f>KeyArmiesStats!H26</f>
        <v>2.0500000000000001E-2</v>
      </c>
      <c r="J28" s="96">
        <f t="shared" si="12"/>
        <v>1.2911510129124031E-3</v>
      </c>
      <c r="K28" s="746">
        <f t="shared" si="13"/>
        <v>3.09</v>
      </c>
      <c r="L28" s="96">
        <f t="shared" si="14"/>
        <v>1.6838099223812667E-3</v>
      </c>
      <c r="M28" s="172">
        <f>KeyArmiesStats!E26</f>
        <v>37000</v>
      </c>
      <c r="N28" s="172">
        <f>KeyArmiesStats!F26</f>
        <v>3000</v>
      </c>
      <c r="O28" s="166"/>
      <c r="P28">
        <f t="shared" si="7"/>
        <v>19</v>
      </c>
      <c r="S28" t="s">
        <v>2644</v>
      </c>
      <c r="T28" t="s">
        <v>34</v>
      </c>
    </row>
    <row r="29" spans="1:20" x14ac:dyDescent="0.35">
      <c r="A29">
        <f t="shared" si="11"/>
        <v>20</v>
      </c>
      <c r="B29" s="104" t="s">
        <v>2283</v>
      </c>
      <c r="C29" s="174">
        <f>KeyArmiesStats!D17</f>
        <v>5.6</v>
      </c>
      <c r="D29" s="666">
        <f>KeyArmiesStats!C17</f>
        <v>283</v>
      </c>
      <c r="E29" s="96">
        <f t="shared" si="15"/>
        <v>2.6841181770759235E-3</v>
      </c>
      <c r="F29" s="58">
        <v>80.099999999999994</v>
      </c>
      <c r="G29" s="96">
        <f t="shared" ref="G29" si="25">F29/F$8</f>
        <v>3.0127505923947793E-3</v>
      </c>
      <c r="H29" s="747">
        <f>KeyArmiesStats!G17</f>
        <v>6.5089999999999995</v>
      </c>
      <c r="I29" s="581">
        <f>KeyArmiesStats!H17</f>
        <v>2.3E-2</v>
      </c>
      <c r="J29" s="96">
        <f t="shared" si="12"/>
        <v>3.9801572072208531E-3</v>
      </c>
      <c r="K29" s="746">
        <f t="shared" si="13"/>
        <v>8.49</v>
      </c>
      <c r="L29" s="96">
        <f t="shared" si="14"/>
        <v>4.6263903692611505E-3</v>
      </c>
      <c r="M29" s="172">
        <f>KeyArmiesStats!E17</f>
        <v>24000</v>
      </c>
      <c r="N29" s="172">
        <f>KeyArmiesStats!F17</f>
        <v>870000</v>
      </c>
      <c r="O29" s="166"/>
      <c r="P29">
        <f t="shared" si="7"/>
        <v>20</v>
      </c>
      <c r="S29" t="s">
        <v>2644</v>
      </c>
      <c r="T29" t="s">
        <v>34</v>
      </c>
    </row>
    <row r="30" spans="1:20" x14ac:dyDescent="0.35">
      <c r="A30">
        <f t="shared" si="11"/>
        <v>21</v>
      </c>
      <c r="B30" s="104" t="s">
        <v>2284</v>
      </c>
      <c r="C30" s="174">
        <f>KeyArmiesStats!D18</f>
        <v>5.5</v>
      </c>
      <c r="D30" s="666">
        <f>KeyArmiesStats!C18</f>
        <v>579</v>
      </c>
      <c r="E30" s="96">
        <f t="shared" si="15"/>
        <v>5.4915350689998576E-3</v>
      </c>
      <c r="F30" s="58">
        <v>122</v>
      </c>
      <c r="G30" s="96">
        <f t="shared" ref="G30" si="26">F30/F$8</f>
        <v>4.5887087674427356E-3</v>
      </c>
      <c r="H30" s="747">
        <f>KeyArmiesStats!G18</f>
        <v>11.58</v>
      </c>
      <c r="I30" s="581">
        <f>KeyArmiesStats!H18</f>
        <v>0.02</v>
      </c>
      <c r="J30" s="96">
        <f t="shared" si="12"/>
        <v>7.0809986879117343E-3</v>
      </c>
      <c r="K30" s="746">
        <f t="shared" si="13"/>
        <v>17.37</v>
      </c>
      <c r="L30" s="96">
        <f t="shared" si="14"/>
        <v>9.4653004374636272E-3</v>
      </c>
      <c r="M30" s="172">
        <f>KeyArmiesStats!E18</f>
        <v>33400</v>
      </c>
      <c r="N30" s="172">
        <f>KeyArmiesStats!F18</f>
        <v>40500</v>
      </c>
      <c r="O30" s="166"/>
      <c r="P30">
        <f t="shared" si="7"/>
        <v>21</v>
      </c>
      <c r="S30" t="s">
        <v>2644</v>
      </c>
      <c r="T30" t="s">
        <v>34</v>
      </c>
    </row>
    <row r="31" spans="1:20" x14ac:dyDescent="0.35">
      <c r="A31">
        <f t="shared" si="11"/>
        <v>22</v>
      </c>
      <c r="B31" s="104" t="s">
        <v>2285</v>
      </c>
      <c r="C31" s="174">
        <f>KeyArmiesStats!D19</f>
        <v>10.5</v>
      </c>
      <c r="D31" s="666">
        <f>KeyArmiesStats!C19</f>
        <v>591</v>
      </c>
      <c r="E31" s="96">
        <f t="shared" si="15"/>
        <v>5.6053492673210983E-3</v>
      </c>
      <c r="F31" s="58">
        <v>130</v>
      </c>
      <c r="G31" s="96">
        <f t="shared" ref="G31" si="27">F31/F$8</f>
        <v>4.8896077030127503E-3</v>
      </c>
      <c r="H31" s="747">
        <f>KeyArmiesStats!G19</f>
        <v>13.001999999999999</v>
      </c>
      <c r="I31" s="581">
        <f>KeyArmiesStats!H19</f>
        <v>2.1999999999999999E-2</v>
      </c>
      <c r="J31" s="96">
        <f t="shared" si="12"/>
        <v>7.9505306511423457E-3</v>
      </c>
      <c r="K31" s="746">
        <f t="shared" si="13"/>
        <v>17.73</v>
      </c>
      <c r="L31" s="96">
        <f t="shared" si="14"/>
        <v>9.6614724672556187E-3</v>
      </c>
      <c r="M31" s="172">
        <f>KeyArmiesStats!E19</f>
        <v>25600</v>
      </c>
      <c r="N31" s="172">
        <f>KeyArmiesStats!F19</f>
        <v>34000</v>
      </c>
      <c r="O31" s="166"/>
      <c r="P31">
        <f t="shared" si="7"/>
        <v>22</v>
      </c>
      <c r="S31" t="s">
        <v>2644</v>
      </c>
      <c r="T31" t="s">
        <v>34</v>
      </c>
    </row>
    <row r="32" spans="1:20" x14ac:dyDescent="0.35">
      <c r="A32">
        <f t="shared" si="11"/>
        <v>23</v>
      </c>
      <c r="B32" s="104" t="s">
        <v>2286</v>
      </c>
      <c r="C32" s="174">
        <f>KeyArmiesStats!D20</f>
        <v>5.9</v>
      </c>
      <c r="D32" s="666">
        <f>KeyArmiesStats!C20</f>
        <v>400</v>
      </c>
      <c r="E32" s="96">
        <f t="shared" si="15"/>
        <v>3.7938066107080191E-3</v>
      </c>
      <c r="F32" s="58">
        <v>33.200000000000003</v>
      </c>
      <c r="G32" s="96">
        <f t="shared" ref="G32" si="28">F32/F$8</f>
        <v>1.2487305826155641E-3</v>
      </c>
      <c r="H32" s="747">
        <f>KeyArmiesStats!G20</f>
        <v>8</v>
      </c>
      <c r="I32" s="581">
        <f>KeyArmiesStats!H20</f>
        <v>0.02</v>
      </c>
      <c r="J32" s="96">
        <f t="shared" si="12"/>
        <v>4.8918816496799546E-3</v>
      </c>
      <c r="K32" s="746">
        <f t="shared" si="13"/>
        <v>12</v>
      </c>
      <c r="L32" s="96">
        <f t="shared" si="14"/>
        <v>6.5390676597330754E-3</v>
      </c>
      <c r="M32" s="172">
        <f>KeyArmiesStats!E20</f>
        <v>21000</v>
      </c>
      <c r="N32" s="172">
        <f>KeyArmiesStats!F20</f>
        <v>63000</v>
      </c>
      <c r="O32" s="166"/>
      <c r="P32">
        <f t="shared" si="7"/>
        <v>23</v>
      </c>
      <c r="S32" t="s">
        <v>2644</v>
      </c>
      <c r="T32" t="s">
        <v>34</v>
      </c>
    </row>
    <row r="33" spans="1:20" x14ac:dyDescent="0.35">
      <c r="A33">
        <f t="shared" si="11"/>
        <v>24</v>
      </c>
      <c r="B33" s="104" t="s">
        <v>2287</v>
      </c>
      <c r="C33" s="174">
        <f>KeyArmiesStats!D21</f>
        <v>0.4</v>
      </c>
      <c r="D33" s="666">
        <f>KeyArmiesStats!C21</f>
        <v>30.5</v>
      </c>
      <c r="E33" s="96">
        <f t="shared" si="15"/>
        <v>2.8927775406648645E-4</v>
      </c>
      <c r="F33" s="58">
        <v>19.3</v>
      </c>
      <c r="G33" s="96">
        <f t="shared" ref="G33" si="29">F33/F$8</f>
        <v>7.2591868206266219E-4</v>
      </c>
      <c r="H33" s="747" t="s">
        <v>34</v>
      </c>
      <c r="I33" s="601" t="s">
        <v>34</v>
      </c>
      <c r="J33" s="126" t="s">
        <v>34</v>
      </c>
      <c r="K33" s="746">
        <f t="shared" si="13"/>
        <v>0.91499999999999992</v>
      </c>
      <c r="L33" s="96">
        <f t="shared" ref="L33:L34" si="30">K33/K$9</f>
        <v>4.986039090546469E-4</v>
      </c>
      <c r="M33" s="172" t="s">
        <v>34</v>
      </c>
      <c r="N33" s="172" t="s">
        <v>34</v>
      </c>
      <c r="O33" s="166"/>
      <c r="P33">
        <f t="shared" si="7"/>
        <v>24</v>
      </c>
      <c r="S33" t="s">
        <v>2644</v>
      </c>
      <c r="T33" t="s">
        <v>34</v>
      </c>
    </row>
    <row r="34" spans="1:20" x14ac:dyDescent="0.35">
      <c r="A34">
        <f t="shared" si="11"/>
        <v>25</v>
      </c>
      <c r="B34" s="104" t="s">
        <v>2288</v>
      </c>
      <c r="C34" s="174">
        <f>KeyArmiesStats!D22</f>
        <v>1.4</v>
      </c>
      <c r="D34" s="666">
        <f>KeyArmiesStats!C22</f>
        <v>61.6</v>
      </c>
      <c r="E34" s="96">
        <f t="shared" si="15"/>
        <v>5.8424621804903495E-4</v>
      </c>
      <c r="F34" s="58">
        <v>7.5</v>
      </c>
      <c r="G34" s="96">
        <f t="shared" ref="G34" si="31">F34/F$8</f>
        <v>2.8209275209688944E-4</v>
      </c>
      <c r="H34" s="747">
        <f>KeyArmiesStats!G22</f>
        <v>2.1128800000000001</v>
      </c>
      <c r="I34" s="581">
        <f>KeyArmiesStats!H22</f>
        <v>3.4299999999999997E-2</v>
      </c>
      <c r="J34" s="96">
        <f t="shared" si="12"/>
        <v>1.2919948624969728E-3</v>
      </c>
      <c r="K34" s="746">
        <f t="shared" si="13"/>
        <v>1.8479999999999999</v>
      </c>
      <c r="L34" s="96">
        <f t="shared" si="30"/>
        <v>1.0070164195988935E-3</v>
      </c>
      <c r="M34" s="172">
        <f>KeyArmiesStats!E22</f>
        <v>7700</v>
      </c>
      <c r="N34" s="172">
        <f>KeyArmiesStats!F22</f>
        <v>80000</v>
      </c>
      <c r="O34" s="166"/>
      <c r="P34">
        <f t="shared" si="7"/>
        <v>25</v>
      </c>
      <c r="S34" t="s">
        <v>2644</v>
      </c>
      <c r="T34" t="s">
        <v>34</v>
      </c>
    </row>
    <row r="35" spans="1:20" x14ac:dyDescent="0.35">
      <c r="A35">
        <f t="shared" si="11"/>
        <v>26</v>
      </c>
      <c r="B35" s="104" t="s">
        <v>2289</v>
      </c>
      <c r="C35" s="174">
        <f>KeyArmiesStats!D23</f>
        <v>1.8</v>
      </c>
      <c r="D35" s="666">
        <f>KeyArmiesStats!C23</f>
        <v>78</v>
      </c>
      <c r="E35" s="96">
        <f t="shared" si="15"/>
        <v>7.3979228908806378E-4</v>
      </c>
      <c r="F35" s="58">
        <v>6</v>
      </c>
      <c r="G35" s="96">
        <f t="shared" ref="G35" si="32">F35/F$8</f>
        <v>2.2567420167751156E-4</v>
      </c>
      <c r="H35" s="747">
        <f>KeyArmiesStats!G23</f>
        <v>2.4725999999999999</v>
      </c>
      <c r="I35" s="581">
        <f>KeyArmiesStats!H23</f>
        <v>3.1699999999999999E-2</v>
      </c>
      <c r="J35" s="96">
        <f t="shared" si="12"/>
        <v>1.511958320874832E-3</v>
      </c>
      <c r="K35" s="746">
        <f t="shared" si="13"/>
        <v>2.34</v>
      </c>
      <c r="L35" s="96">
        <f t="shared" ref="L35:L49" si="33">K35/K$9</f>
        <v>1.2751181936479497E-3</v>
      </c>
      <c r="M35" s="172">
        <f>KeyArmiesStats!E23</f>
        <v>17345</v>
      </c>
      <c r="N35" s="172">
        <f>KeyArmiesStats!F23</f>
        <v>38000</v>
      </c>
      <c r="O35" s="166"/>
      <c r="P35">
        <f t="shared" si="7"/>
        <v>26</v>
      </c>
      <c r="S35" t="s">
        <v>2644</v>
      </c>
      <c r="T35" t="s">
        <v>34</v>
      </c>
    </row>
    <row r="36" spans="1:20" x14ac:dyDescent="0.35">
      <c r="A36">
        <f t="shared" si="11"/>
        <v>27</v>
      </c>
      <c r="B36" s="104" t="s">
        <v>2299</v>
      </c>
      <c r="C36" s="174">
        <f>KeyArmiesStats!D24</f>
        <v>2.9</v>
      </c>
      <c r="D36" s="666">
        <f>KeyArmiesStats!C24</f>
        <v>145</v>
      </c>
      <c r="E36" s="96">
        <f t="shared" si="15"/>
        <v>1.3752548963816569E-3</v>
      </c>
      <c r="F36" s="58">
        <v>11.2</v>
      </c>
      <c r="G36" s="96">
        <f t="shared" ref="G36" si="34">F36/F$8</f>
        <v>4.2125850979802154E-4</v>
      </c>
      <c r="H36" s="747">
        <f>KeyArmiesStats!G24</f>
        <v>4.6399999999999997</v>
      </c>
      <c r="I36" s="581">
        <f>KeyArmiesStats!H24</f>
        <v>3.2000000000000001E-2</v>
      </c>
      <c r="J36" s="96">
        <f t="shared" si="12"/>
        <v>2.8372913568143737E-3</v>
      </c>
      <c r="K36" s="746">
        <f t="shared" si="13"/>
        <v>4.3499999999999996</v>
      </c>
      <c r="L36" s="96">
        <f t="shared" si="33"/>
        <v>2.3704120266532396E-3</v>
      </c>
      <c r="M36" s="172">
        <f>KeyArmiesStats!E24</f>
        <v>23000</v>
      </c>
      <c r="N36" s="172">
        <f>KeyArmiesStats!F24</f>
        <v>104000</v>
      </c>
      <c r="O36" s="166"/>
      <c r="P36">
        <f t="shared" si="7"/>
        <v>27</v>
      </c>
      <c r="S36" t="s">
        <v>2644</v>
      </c>
      <c r="T36" t="s">
        <v>34</v>
      </c>
    </row>
    <row r="37" spans="1:20" x14ac:dyDescent="0.35">
      <c r="A37">
        <f t="shared" si="11"/>
        <v>28</v>
      </c>
      <c r="B37" s="104" t="s">
        <v>2298</v>
      </c>
      <c r="C37" s="174">
        <f>KeyArmiesStats!D27</f>
        <v>11</v>
      </c>
      <c r="D37" s="666">
        <f>KeyArmiesStats!C27</f>
        <v>325</v>
      </c>
      <c r="E37" s="96">
        <f t="shared" si="15"/>
        <v>3.0824678712002658E-3</v>
      </c>
      <c r="F37" s="58">
        <v>62.1</v>
      </c>
      <c r="G37" s="96">
        <f t="shared" ref="G37" si="35">F37/F$8</f>
        <v>2.3357279873622446E-3</v>
      </c>
      <c r="H37" s="747">
        <f>KeyArmiesStats!G27</f>
        <v>6.5</v>
      </c>
      <c r="I37" s="581">
        <f>KeyArmiesStats!H27</f>
        <v>0.02</v>
      </c>
      <c r="J37" s="96">
        <f t="shared" si="12"/>
        <v>3.9746538403649632E-3</v>
      </c>
      <c r="K37" s="746">
        <f t="shared" si="13"/>
        <v>9.75</v>
      </c>
      <c r="L37" s="96">
        <f t="shared" si="33"/>
        <v>5.3129924735331232E-3</v>
      </c>
      <c r="M37" s="172">
        <f>KeyArmiesStats!E27</f>
        <v>28000</v>
      </c>
      <c r="N37" s="172">
        <f>KeyArmiesStats!F27</f>
        <v>4200</v>
      </c>
      <c r="O37" s="166"/>
      <c r="P37">
        <f t="shared" si="7"/>
        <v>28</v>
      </c>
      <c r="S37" t="s">
        <v>2644</v>
      </c>
      <c r="T37" t="s">
        <v>34</v>
      </c>
    </row>
    <row r="38" spans="1:20" x14ac:dyDescent="0.35">
      <c r="A38">
        <f t="shared" si="11"/>
        <v>29</v>
      </c>
      <c r="B38" s="104" t="s">
        <v>2297</v>
      </c>
      <c r="C38" s="174">
        <f>KeyArmiesStats!D28</f>
        <v>5.4</v>
      </c>
      <c r="D38" s="666">
        <f>KeyArmiesStats!C28</f>
        <v>141</v>
      </c>
      <c r="E38" s="96">
        <f t="shared" si="15"/>
        <v>1.3373168302745768E-3</v>
      </c>
      <c r="F38" s="58">
        <v>26.4</v>
      </c>
      <c r="G38" s="96">
        <f t="shared" ref="G38" si="36">F38/F$8</f>
        <v>9.9296648738105074E-4</v>
      </c>
      <c r="H38" s="747">
        <f>KeyArmiesStats!G28</f>
        <v>2.82</v>
      </c>
      <c r="I38" s="601">
        <f>KeyArmiesStats!H28</f>
        <v>0.02</v>
      </c>
      <c r="J38" s="96">
        <f t="shared" si="12"/>
        <v>1.7243882815121839E-3</v>
      </c>
      <c r="K38" s="746">
        <f t="shared" si="13"/>
        <v>4.2299999999999995</v>
      </c>
      <c r="L38" s="96">
        <f t="shared" si="33"/>
        <v>2.3050213500559087E-3</v>
      </c>
      <c r="M38" s="172">
        <f>KeyArmiesStats!E28</f>
        <v>19500</v>
      </c>
      <c r="N38" s="172" t="str">
        <f>KeyArmiesStats!F28</f>
        <v>-</v>
      </c>
      <c r="O38" s="166"/>
      <c r="P38">
        <f t="shared" si="7"/>
        <v>29</v>
      </c>
      <c r="S38" t="s">
        <v>2644</v>
      </c>
      <c r="T38" t="s">
        <v>34</v>
      </c>
    </row>
    <row r="39" spans="1:20" x14ac:dyDescent="0.35">
      <c r="A39">
        <f t="shared" si="11"/>
        <v>30</v>
      </c>
      <c r="B39" s="104" t="s">
        <v>2308</v>
      </c>
      <c r="C39" s="174">
        <f>KeyArmiesStats!D29</f>
        <v>8.9</v>
      </c>
      <c r="D39" s="666">
        <f>KeyArmiesStats!C29</f>
        <v>942</v>
      </c>
      <c r="E39" s="96">
        <f t="shared" si="15"/>
        <v>8.9344145682173845E-3</v>
      </c>
      <c r="F39" s="58">
        <v>57.2</v>
      </c>
      <c r="G39" s="96">
        <f t="shared" ref="G39" si="37">F39/F$8</f>
        <v>2.1514273893256104E-3</v>
      </c>
      <c r="H39" s="747">
        <f>KeyArmiesStats!G29</f>
        <v>6.25</v>
      </c>
      <c r="I39" s="581">
        <f>KeyArmiesStats!H29</f>
        <v>6.6348195329087051E-3</v>
      </c>
      <c r="J39" s="96">
        <f t="shared" si="12"/>
        <v>3.8217825388124644E-3</v>
      </c>
      <c r="K39" s="746">
        <f t="shared" si="13"/>
        <v>28.259999999999998</v>
      </c>
      <c r="L39" s="96">
        <f t="shared" si="33"/>
        <v>1.5399504338671391E-2</v>
      </c>
      <c r="M39" s="172">
        <f>KeyArmiesStats!E29</f>
        <v>147000</v>
      </c>
      <c r="N39" s="172">
        <f>KeyArmiesStats!F29</f>
        <v>969000</v>
      </c>
      <c r="O39" s="166"/>
      <c r="P39">
        <f t="shared" si="7"/>
        <v>30</v>
      </c>
      <c r="S39" t="s">
        <v>2644</v>
      </c>
      <c r="T39" t="s">
        <v>34</v>
      </c>
    </row>
    <row r="40" spans="1:20" x14ac:dyDescent="0.35">
      <c r="A40">
        <f t="shared" si="11"/>
        <v>31</v>
      </c>
      <c r="B40" s="104" t="s">
        <v>2296</v>
      </c>
      <c r="C40" s="174">
        <f>KeyArmiesStats!D30</f>
        <v>10.4</v>
      </c>
      <c r="D40" s="666">
        <f>KeyArmiesStats!C30</f>
        <v>253</v>
      </c>
      <c r="E40" s="96">
        <f t="shared" si="15"/>
        <v>2.3995826812728219E-3</v>
      </c>
      <c r="F40" s="58">
        <v>47.3</v>
      </c>
      <c r="G40" s="96">
        <f t="shared" ref="G40" si="38">F40/F$8</f>
        <v>1.779064956557716E-3</v>
      </c>
      <c r="H40" s="747">
        <f>KeyArmiesStats!G30</f>
        <v>9.3609999999999989</v>
      </c>
      <c r="I40" s="581">
        <f>KeyArmiesStats!H30</f>
        <v>3.6999999999999998E-2</v>
      </c>
      <c r="J40" s="96">
        <f t="shared" si="12"/>
        <v>5.7241130153317561E-3</v>
      </c>
      <c r="K40" s="746">
        <f t="shared" si="13"/>
        <v>7.59</v>
      </c>
      <c r="L40" s="96">
        <f t="shared" si="33"/>
        <v>4.1359602947811701E-3</v>
      </c>
      <c r="M40" s="172">
        <f>KeyArmiesStats!E30</f>
        <v>143000</v>
      </c>
      <c r="N40" s="172">
        <f>KeyArmiesStats!F30</f>
        <v>221000</v>
      </c>
      <c r="O40" s="166"/>
      <c r="P40">
        <f t="shared" si="7"/>
        <v>31</v>
      </c>
      <c r="S40" t="s">
        <v>2644</v>
      </c>
      <c r="T40" t="s">
        <v>34</v>
      </c>
    </row>
    <row r="41" spans="1:20" x14ac:dyDescent="0.35">
      <c r="A41">
        <f t="shared" si="11"/>
        <v>32</v>
      </c>
      <c r="B41" s="104" t="s">
        <v>2295</v>
      </c>
      <c r="C41" s="174">
        <f>KeyArmiesStats!D31</f>
        <v>2.1</v>
      </c>
      <c r="D41" s="666">
        <f>KeyArmiesStats!C31</f>
        <v>72</v>
      </c>
      <c r="E41" s="96">
        <f t="shared" si="15"/>
        <v>6.828851899274435E-4</v>
      </c>
      <c r="F41" s="58">
        <v>13.1</v>
      </c>
      <c r="G41" s="96">
        <f t="shared" ref="G41" si="39">F41/F$8</f>
        <v>4.9272200699590019E-4</v>
      </c>
      <c r="H41" s="747">
        <f>KeyArmiesStats!G31</f>
        <v>1.0367999999999999</v>
      </c>
      <c r="I41" s="581">
        <f>KeyArmiesStats!H31</f>
        <v>1.44E-2</v>
      </c>
      <c r="J41" s="96">
        <f t="shared" si="12"/>
        <v>6.3398786179852211E-4</v>
      </c>
      <c r="K41" s="746">
        <f t="shared" si="13"/>
        <v>2.16</v>
      </c>
      <c r="L41" s="96">
        <f t="shared" si="33"/>
        <v>1.1770321787519535E-3</v>
      </c>
      <c r="M41" s="172">
        <f>KeyArmiesStats!E31</f>
        <v>7300</v>
      </c>
      <c r="N41" s="172">
        <f>KeyArmiesStats!F31</f>
        <v>26000</v>
      </c>
      <c r="O41" s="166"/>
      <c r="P41">
        <f t="shared" si="7"/>
        <v>32</v>
      </c>
      <c r="S41" t="s">
        <v>2644</v>
      </c>
      <c r="T41" t="s">
        <v>34</v>
      </c>
    </row>
    <row r="42" spans="1:20" x14ac:dyDescent="0.35">
      <c r="A42">
        <f t="shared" si="11"/>
        <v>33</v>
      </c>
      <c r="B42" s="104" t="s">
        <v>2294</v>
      </c>
      <c r="C42" s="174">
        <f>KeyArmiesStats!D32</f>
        <v>3.9</v>
      </c>
      <c r="D42" s="666">
        <f>KeyArmiesStats!C32</f>
        <v>90</v>
      </c>
      <c r="E42" s="96">
        <f t="shared" si="15"/>
        <v>8.5360648740930435E-4</v>
      </c>
      <c r="F42" s="58">
        <v>17.100000000000001</v>
      </c>
      <c r="G42" s="96">
        <f t="shared" ref="G42" si="40">F42/F$8</f>
        <v>6.4317147478090806E-4</v>
      </c>
      <c r="H42" s="747">
        <f>KeyArmiesStats!G32</f>
        <v>1.6199999999999999</v>
      </c>
      <c r="I42" s="581">
        <f>KeyArmiesStats!H32</f>
        <v>1.7999999999999999E-2</v>
      </c>
      <c r="J42" s="96">
        <f t="shared" si="12"/>
        <v>9.9060603406019064E-4</v>
      </c>
      <c r="K42" s="746">
        <f t="shared" si="13"/>
        <v>2.6999999999999997</v>
      </c>
      <c r="L42" s="96">
        <f t="shared" si="33"/>
        <v>1.4712902234399418E-3</v>
      </c>
      <c r="M42" s="172">
        <f>KeyArmiesStats!E32</f>
        <v>14000</v>
      </c>
      <c r="N42" s="172">
        <f>KeyArmiesStats!F32</f>
        <v>20000</v>
      </c>
      <c r="O42" s="166"/>
      <c r="P42">
        <f t="shared" si="7"/>
        <v>33</v>
      </c>
      <c r="S42" t="s">
        <v>2644</v>
      </c>
      <c r="T42" t="s">
        <v>34</v>
      </c>
    </row>
    <row r="43" spans="1:20" x14ac:dyDescent="0.35">
      <c r="A43">
        <f t="shared" si="11"/>
        <v>34</v>
      </c>
      <c r="B43" s="104" t="s">
        <v>2293</v>
      </c>
      <c r="C43" s="174">
        <f>KeyArmiesStats!D33</f>
        <v>2.4</v>
      </c>
      <c r="D43" s="666">
        <f>KeyArmiesStats!C33</f>
        <v>25.3</v>
      </c>
      <c r="E43" s="96">
        <f t="shared" si="15"/>
        <v>2.3995826812728223E-4</v>
      </c>
      <c r="F43" s="58">
        <v>6.5</v>
      </c>
      <c r="G43" s="96">
        <f t="shared" ref="G43" si="41">F43/F$8</f>
        <v>2.4448038515063756E-4</v>
      </c>
      <c r="H43" s="747">
        <f>KeyArmiesStats!G33</f>
        <v>0.50600000000000001</v>
      </c>
      <c r="I43" s="581">
        <f>KeyArmiesStats!H33</f>
        <v>0.02</v>
      </c>
      <c r="J43" s="96">
        <f t="shared" si="12"/>
        <v>3.0941151434225715E-4</v>
      </c>
      <c r="K43" s="746">
        <f t="shared" si="13"/>
        <v>0.75900000000000001</v>
      </c>
      <c r="L43" s="96">
        <f t="shared" si="33"/>
        <v>4.1359602947811701E-4</v>
      </c>
      <c r="M43" s="172">
        <f>KeyArmiesStats!E33</f>
        <v>8500</v>
      </c>
      <c r="N43" s="172">
        <f>KeyArmiesStats!F33</f>
        <v>19000</v>
      </c>
      <c r="O43" s="166"/>
      <c r="P43">
        <f t="shared" si="7"/>
        <v>34</v>
      </c>
      <c r="S43" t="s">
        <v>2644</v>
      </c>
      <c r="T43" t="s">
        <v>34</v>
      </c>
    </row>
    <row r="44" spans="1:20" x14ac:dyDescent="0.35">
      <c r="A44">
        <f t="shared" si="11"/>
        <v>35</v>
      </c>
      <c r="B44" s="104" t="s">
        <v>2292</v>
      </c>
      <c r="C44" s="174">
        <f>KeyArmiesStats!D34</f>
        <v>0.6</v>
      </c>
      <c r="D44" s="666">
        <f>KeyArmiesStats!C34</f>
        <v>7</v>
      </c>
      <c r="E44" s="96">
        <f t="shared" si="15"/>
        <v>6.6391615687390334E-5</v>
      </c>
      <c r="F44" s="58">
        <v>3</v>
      </c>
      <c r="G44" s="96">
        <f t="shared" ref="G44" si="42">F44/F$8</f>
        <v>1.1283710083875578E-4</v>
      </c>
      <c r="H44" s="747">
        <f>KeyArmiesStats!G34</f>
        <v>0.13300000000000001</v>
      </c>
      <c r="I44" s="581">
        <f>KeyArmiesStats!H34</f>
        <v>1.9E-2</v>
      </c>
      <c r="J44" s="96">
        <f t="shared" si="12"/>
        <v>8.1327532425929248E-5</v>
      </c>
      <c r="K44" s="746">
        <f t="shared" si="13"/>
        <v>0.21</v>
      </c>
      <c r="L44" s="96">
        <f t="shared" si="33"/>
        <v>1.1443368404532881E-4</v>
      </c>
      <c r="M44" s="172">
        <f>KeyArmiesStats!E34</f>
        <v>2350</v>
      </c>
      <c r="N44" s="172" t="str">
        <f>KeyArmiesStats!F34</f>
        <v>-</v>
      </c>
      <c r="O44" s="166"/>
      <c r="P44">
        <f t="shared" si="7"/>
        <v>35</v>
      </c>
      <c r="S44" t="s">
        <v>2644</v>
      </c>
      <c r="T44" t="s">
        <v>34</v>
      </c>
    </row>
    <row r="45" spans="1:20" x14ac:dyDescent="0.35">
      <c r="A45">
        <f t="shared" si="11"/>
        <v>36</v>
      </c>
      <c r="B45" s="104" t="s">
        <v>2275</v>
      </c>
      <c r="C45" s="174">
        <f>KeyArmiesStats!D35</f>
        <v>1.8</v>
      </c>
      <c r="D45" s="666">
        <f>KeyArmiesStats!C35</f>
        <v>15.8</v>
      </c>
      <c r="E45" s="96">
        <f t="shared" si="15"/>
        <v>1.4985536112296677E-4</v>
      </c>
      <c r="F45" s="58">
        <v>5.8</v>
      </c>
      <c r="G45" s="96">
        <f t="shared" ref="G45" si="43">F45/F$8</f>
        <v>2.1815172828826117E-4</v>
      </c>
      <c r="H45" s="747">
        <f>KeyArmiesStats!G35</f>
        <v>0.32390000000000002</v>
      </c>
      <c r="I45" s="581">
        <f>KeyArmiesStats!H35</f>
        <v>2.0500000000000001E-2</v>
      </c>
      <c r="J45" s="96">
        <f t="shared" si="12"/>
        <v>1.9806005829141717E-4</v>
      </c>
      <c r="K45" s="746">
        <f t="shared" si="13"/>
        <v>0.47399999999999998</v>
      </c>
      <c r="L45" s="96">
        <f t="shared" si="33"/>
        <v>2.5829317255945646E-4</v>
      </c>
      <c r="M45" s="172">
        <f>KeyArmiesStats!E35</f>
        <v>10000</v>
      </c>
      <c r="N45" s="172">
        <f>KeyArmiesStats!F35</f>
        <v>61000</v>
      </c>
      <c r="O45" s="166"/>
      <c r="P45">
        <f t="shared" si="7"/>
        <v>36</v>
      </c>
      <c r="S45" t="s">
        <v>2644</v>
      </c>
      <c r="T45" t="s">
        <v>34</v>
      </c>
    </row>
    <row r="46" spans="1:20" x14ac:dyDescent="0.35">
      <c r="A46">
        <f t="shared" si="11"/>
        <v>37</v>
      </c>
      <c r="B46" s="104" t="s">
        <v>2276</v>
      </c>
      <c r="C46" s="174">
        <f>KeyArmiesStats!D38</f>
        <v>18.2</v>
      </c>
      <c r="D46" s="666">
        <f>KeyArmiesStats!C38</f>
        <v>1218</v>
      </c>
      <c r="E46" s="96">
        <f t="shared" si="15"/>
        <v>1.1552141129605918E-2</v>
      </c>
      <c r="F46" s="58">
        <v>111.8</v>
      </c>
      <c r="G46" s="96">
        <f t="shared" ref="G46" si="44">F46/F$8</f>
        <v>4.2050626245909656E-3</v>
      </c>
      <c r="H46" s="747">
        <f>KeyArmiesStats!G38</f>
        <v>19.488</v>
      </c>
      <c r="I46" s="581">
        <f>KeyArmiesStats!H38</f>
        <v>1.6E-2</v>
      </c>
      <c r="J46" s="96">
        <f t="shared" si="12"/>
        <v>1.1916623698620369E-2</v>
      </c>
      <c r="K46" s="746">
        <f t="shared" si="13"/>
        <v>36.54</v>
      </c>
      <c r="L46" s="96">
        <f t="shared" si="33"/>
        <v>1.9911461023887213E-2</v>
      </c>
      <c r="M46" s="172">
        <f>KeyArmiesStats!E38</f>
        <v>42300</v>
      </c>
      <c r="N46" s="172">
        <f>KeyArmiesStats!F38</f>
        <v>7500</v>
      </c>
      <c r="O46" s="166"/>
      <c r="P46">
        <f t="shared" si="7"/>
        <v>37</v>
      </c>
      <c r="S46" t="s">
        <v>2644</v>
      </c>
      <c r="T46" t="s">
        <v>34</v>
      </c>
    </row>
    <row r="47" spans="1:20" x14ac:dyDescent="0.35">
      <c r="A47">
        <f t="shared" si="11"/>
        <v>38</v>
      </c>
      <c r="B47" s="104" t="s">
        <v>2274</v>
      </c>
      <c r="C47" s="174">
        <f>KeyArmiesStats!D39</f>
        <v>11.8</v>
      </c>
      <c r="D47" s="666">
        <f>KeyArmiesStats!C39</f>
        <v>655</v>
      </c>
      <c r="E47" s="96">
        <f t="shared" si="15"/>
        <v>6.2123583250343816E-3</v>
      </c>
      <c r="F47" s="58">
        <v>80</v>
      </c>
      <c r="G47" s="96">
        <f t="shared" ref="G47" si="45">F47/F$8</f>
        <v>3.0089893557001543E-3</v>
      </c>
      <c r="H47" s="747">
        <f>KeyArmiesStats!G39</f>
        <v>8.1219999999999999</v>
      </c>
      <c r="I47" s="581">
        <f>KeyArmiesStats!H39</f>
        <v>1.24E-2</v>
      </c>
      <c r="J47" s="96">
        <f t="shared" si="12"/>
        <v>4.9664828448375735E-3</v>
      </c>
      <c r="K47" s="746">
        <f t="shared" si="13"/>
        <v>19.649999999999999</v>
      </c>
      <c r="L47" s="96">
        <f t="shared" si="33"/>
        <v>1.070772329281291E-2</v>
      </c>
      <c r="M47" s="172">
        <f>KeyArmiesStats!E39</f>
        <v>24700</v>
      </c>
      <c r="N47" s="172">
        <f>KeyArmiesStats!F39</f>
        <v>6400</v>
      </c>
      <c r="O47" s="166"/>
      <c r="P47">
        <f t="shared" si="7"/>
        <v>38</v>
      </c>
      <c r="S47" t="s">
        <v>2644</v>
      </c>
      <c r="T47" t="s">
        <v>34</v>
      </c>
    </row>
    <row r="48" spans="1:20" x14ac:dyDescent="0.35">
      <c r="A48">
        <f t="shared" si="11"/>
        <v>39</v>
      </c>
      <c r="B48" s="104" t="s">
        <v>2273</v>
      </c>
      <c r="C48" s="174">
        <f>KeyArmiesStats!D40</f>
        <v>0.7</v>
      </c>
      <c r="D48" s="666">
        <f>KeyArmiesStats!C40</f>
        <v>88.6</v>
      </c>
      <c r="E48" s="96">
        <f t="shared" si="15"/>
        <v>8.4032816427182617E-4</v>
      </c>
      <c r="F48" s="58">
        <v>6.1</v>
      </c>
      <c r="G48" s="96">
        <f t="shared" ref="G48" si="46">F48/F$8</f>
        <v>2.2943543837213674E-4</v>
      </c>
      <c r="H48" s="747">
        <f>KeyArmiesStats!G40</f>
        <v>0.49615999999999999</v>
      </c>
      <c r="I48" s="581">
        <f>KeyArmiesStats!H40</f>
        <v>5.5999999999999999E-3</v>
      </c>
      <c r="J48" s="96">
        <f t="shared" si="12"/>
        <v>3.0339449991315077E-4</v>
      </c>
      <c r="K48" s="746">
        <f t="shared" si="13"/>
        <v>2.6579999999999999</v>
      </c>
      <c r="L48" s="96">
        <f t="shared" si="33"/>
        <v>1.448403486630876E-3</v>
      </c>
      <c r="M48" s="172">
        <f>KeyArmiesStats!E40</f>
        <v>1000</v>
      </c>
      <c r="N48" s="172" t="str">
        <f>KeyArmiesStats!F40</f>
        <v>-</v>
      </c>
      <c r="O48" s="166"/>
      <c r="P48">
        <f t="shared" si="7"/>
        <v>39</v>
      </c>
      <c r="S48" t="s">
        <v>2644</v>
      </c>
      <c r="T48" t="s">
        <v>34</v>
      </c>
    </row>
    <row r="49" spans="1:21" x14ac:dyDescent="0.35">
      <c r="A49">
        <f t="shared" si="11"/>
        <v>40</v>
      </c>
      <c r="B49" s="104" t="s">
        <v>2382</v>
      </c>
      <c r="C49" s="174">
        <v>0.9</v>
      </c>
      <c r="D49" s="666">
        <v>35</v>
      </c>
      <c r="E49" s="96">
        <f t="shared" si="15"/>
        <v>3.3195807843695169E-4</v>
      </c>
      <c r="F49" s="58">
        <v>5</v>
      </c>
      <c r="G49" s="96">
        <f t="shared" ref="G49" si="47">F49/F$8</f>
        <v>1.8806183473125965E-4</v>
      </c>
      <c r="H49" s="747">
        <f>D49*I49</f>
        <v>0.70000000000000007</v>
      </c>
      <c r="I49" s="581">
        <v>0.02</v>
      </c>
      <c r="J49" s="96">
        <f t="shared" si="12"/>
        <v>4.2803964434699607E-4</v>
      </c>
      <c r="K49" s="746">
        <f t="shared" si="13"/>
        <v>1.05</v>
      </c>
      <c r="L49" s="96">
        <f t="shared" si="33"/>
        <v>5.7216842022664413E-4</v>
      </c>
      <c r="M49" s="172">
        <v>12000</v>
      </c>
      <c r="N49" s="172">
        <v>50000</v>
      </c>
      <c r="O49" s="166"/>
      <c r="P49">
        <f t="shared" si="7"/>
        <v>40</v>
      </c>
      <c r="Q49" t="s">
        <v>2383</v>
      </c>
      <c r="R49" t="s">
        <v>2383</v>
      </c>
      <c r="S49" t="s">
        <v>2644</v>
      </c>
      <c r="T49" t="s">
        <v>2393</v>
      </c>
      <c r="U49" t="s">
        <v>2393</v>
      </c>
    </row>
    <row r="50" spans="1:21" x14ac:dyDescent="0.35">
      <c r="A50">
        <f t="shared" si="11"/>
        <v>41</v>
      </c>
      <c r="B50" s="104" t="s">
        <v>2925</v>
      </c>
      <c r="C50" s="174">
        <f>KeyArmiesStats!D13</f>
        <v>9.6</v>
      </c>
      <c r="D50" s="666">
        <f>KeyArmiesStats!C13</f>
        <v>223</v>
      </c>
      <c r="E50" s="96"/>
      <c r="F50" s="58"/>
      <c r="G50" s="96"/>
      <c r="H50" s="747"/>
      <c r="I50" s="581"/>
      <c r="J50" s="96"/>
      <c r="K50" s="746"/>
      <c r="L50" s="96"/>
      <c r="M50" s="172"/>
      <c r="N50" s="172"/>
      <c r="O50" s="166"/>
    </row>
    <row r="51" spans="1:21" x14ac:dyDescent="0.35">
      <c r="A51">
        <f t="shared" si="11"/>
        <v>42</v>
      </c>
      <c r="B51" s="104" t="s">
        <v>2926</v>
      </c>
      <c r="C51" s="174">
        <f>KeyArmiesStats!D14</f>
        <v>9</v>
      </c>
      <c r="D51" s="666">
        <f>KeyArmiesStats!C14</f>
        <v>541</v>
      </c>
      <c r="E51" s="96"/>
      <c r="F51" s="58"/>
      <c r="G51" s="96"/>
      <c r="H51" s="747"/>
      <c r="I51" s="581"/>
      <c r="J51" s="96"/>
      <c r="K51" s="746"/>
      <c r="L51" s="96"/>
      <c r="M51" s="172"/>
      <c r="N51" s="172"/>
      <c r="O51" s="166"/>
    </row>
    <row r="52" spans="1:21" x14ac:dyDescent="0.35">
      <c r="A52">
        <f t="shared" si="11"/>
        <v>43</v>
      </c>
      <c r="B52" s="104"/>
      <c r="C52" s="174"/>
      <c r="D52" s="666"/>
      <c r="E52" s="96"/>
      <c r="F52" s="58"/>
      <c r="G52" s="96"/>
      <c r="H52" s="747"/>
      <c r="I52" s="581"/>
      <c r="J52" s="96"/>
      <c r="K52" s="746"/>
      <c r="L52" s="96"/>
      <c r="M52" s="172"/>
      <c r="N52" s="172"/>
      <c r="O52" s="166"/>
    </row>
    <row r="53" spans="1:21" x14ac:dyDescent="0.35">
      <c r="A53">
        <f t="shared" si="11"/>
        <v>44</v>
      </c>
      <c r="B53" s="123"/>
      <c r="C53" s="174"/>
      <c r="D53" s="666"/>
      <c r="E53" s="126"/>
      <c r="F53" s="58"/>
      <c r="G53" s="126"/>
      <c r="H53" s="747"/>
      <c r="I53" s="581"/>
      <c r="J53" s="126"/>
      <c r="K53" s="747"/>
      <c r="L53" s="126"/>
      <c r="M53" s="172"/>
      <c r="N53" s="172"/>
      <c r="O53" s="166"/>
      <c r="P53">
        <f>P49+1</f>
        <v>41</v>
      </c>
    </row>
    <row r="54" spans="1:21" x14ac:dyDescent="0.35">
      <c r="A54">
        <f t="shared" si="11"/>
        <v>45</v>
      </c>
      <c r="B54" s="716" t="s">
        <v>2261</v>
      </c>
      <c r="C54" s="727">
        <f>SUM(C55:C58)</f>
        <v>9.84</v>
      </c>
      <c r="D54" s="741">
        <f>SUM(D55:D58)</f>
        <v>525</v>
      </c>
      <c r="E54" s="798">
        <f>D54/D$8</f>
        <v>4.9793711765542753E-3</v>
      </c>
      <c r="F54" s="475">
        <f>SUM(F55:F58)</f>
        <v>65.400000000000006</v>
      </c>
      <c r="G54" s="798">
        <f>F54/F$8</f>
        <v>2.4598487982848763E-3</v>
      </c>
      <c r="H54" s="745">
        <f>SUM(H55:H58)</f>
        <v>28.875</v>
      </c>
      <c r="I54" s="737">
        <f>H54/D54</f>
        <v>5.5E-2</v>
      </c>
      <c r="J54" s="798">
        <f>SUM(J55:J58)</f>
        <v>1.7656635329313587E-2</v>
      </c>
      <c r="K54" s="745">
        <f>SUM(K55:K58)</f>
        <v>15.75</v>
      </c>
      <c r="L54" s="798">
        <f>SUM(L55:L58)</f>
        <v>8.5825263033996613E-3</v>
      </c>
      <c r="M54" s="470">
        <f>SUM(M55:M58)</f>
        <v>169000</v>
      </c>
      <c r="N54" s="470">
        <f>SUM(N55:N58)</f>
        <v>465000</v>
      </c>
      <c r="O54" s="717"/>
      <c r="P54">
        <f t="shared" si="7"/>
        <v>42</v>
      </c>
    </row>
    <row r="55" spans="1:21" x14ac:dyDescent="0.35">
      <c r="A55">
        <f t="shared" si="11"/>
        <v>46</v>
      </c>
      <c r="B55" s="104" t="s">
        <v>2305</v>
      </c>
      <c r="C55" s="174">
        <f>KeyArmiesStats!D62</f>
        <v>9.84</v>
      </c>
      <c r="D55" s="666">
        <f>KeyArmiesStats!C62</f>
        <v>525</v>
      </c>
      <c r="E55" s="96">
        <f>D55/D$8</f>
        <v>4.9793711765542753E-3</v>
      </c>
      <c r="F55" s="58">
        <v>65.400000000000006</v>
      </c>
      <c r="G55" s="96">
        <f>F55/F$8</f>
        <v>2.4598487982848763E-3</v>
      </c>
      <c r="H55" s="747">
        <f>KeyArmiesStats!G62</f>
        <v>28.875</v>
      </c>
      <c r="I55" s="581">
        <f>KeyArmiesStats!H62</f>
        <v>5.5E-2</v>
      </c>
      <c r="J55" s="96">
        <f t="shared" ref="J55" si="48">H55/H$9</f>
        <v>1.7656635329313587E-2</v>
      </c>
      <c r="K55" s="746">
        <f>D55*K$3</f>
        <v>15.75</v>
      </c>
      <c r="L55" s="96">
        <f>K55/K$9</f>
        <v>8.5825263033996613E-3</v>
      </c>
      <c r="M55" s="172">
        <f>KeyArmiesStats!E62</f>
        <v>169000</v>
      </c>
      <c r="N55" s="172">
        <f>KeyArmiesStats!F62</f>
        <v>465000</v>
      </c>
      <c r="O55" s="166"/>
      <c r="P55">
        <f t="shared" si="7"/>
        <v>43</v>
      </c>
      <c r="S55" s="4" t="s">
        <v>2644</v>
      </c>
    </row>
    <row r="56" spans="1:21" x14ac:dyDescent="0.35">
      <c r="A56">
        <f t="shared" si="11"/>
        <v>47</v>
      </c>
      <c r="B56" s="104" t="s">
        <v>2309</v>
      </c>
      <c r="C56" s="174" t="s">
        <v>34</v>
      </c>
      <c r="D56" s="666" t="s">
        <v>34</v>
      </c>
      <c r="E56" s="126"/>
      <c r="F56" s="666" t="s">
        <v>34</v>
      </c>
      <c r="G56" s="126"/>
      <c r="H56" s="666" t="s">
        <v>34</v>
      </c>
      <c r="I56" s="666" t="s">
        <v>34</v>
      </c>
      <c r="J56" s="666" t="s">
        <v>34</v>
      </c>
      <c r="K56" s="666" t="s">
        <v>34</v>
      </c>
      <c r="L56" s="666" t="s">
        <v>34</v>
      </c>
      <c r="M56" s="666" t="s">
        <v>34</v>
      </c>
      <c r="N56" s="666" t="s">
        <v>34</v>
      </c>
      <c r="O56" s="166"/>
      <c r="P56">
        <f t="shared" si="7"/>
        <v>44</v>
      </c>
    </row>
    <row r="57" spans="1:21" x14ac:dyDescent="0.35">
      <c r="A57">
        <f t="shared" si="11"/>
        <v>48</v>
      </c>
      <c r="B57" s="104" t="s">
        <v>2310</v>
      </c>
      <c r="C57" s="174" t="s">
        <v>34</v>
      </c>
      <c r="D57" s="666" t="s">
        <v>34</v>
      </c>
      <c r="E57" s="126"/>
      <c r="F57" s="666" t="s">
        <v>34</v>
      </c>
      <c r="G57" s="126"/>
      <c r="H57" s="666" t="s">
        <v>34</v>
      </c>
      <c r="I57" s="666" t="s">
        <v>34</v>
      </c>
      <c r="J57" s="666" t="s">
        <v>34</v>
      </c>
      <c r="K57" s="666" t="s">
        <v>34</v>
      </c>
      <c r="L57" s="666" t="s">
        <v>34</v>
      </c>
      <c r="M57" s="666" t="s">
        <v>34</v>
      </c>
      <c r="N57" s="666" t="s">
        <v>34</v>
      </c>
      <c r="O57" s="166"/>
      <c r="P57">
        <f t="shared" si="7"/>
        <v>45</v>
      </c>
    </row>
    <row r="58" spans="1:21" x14ac:dyDescent="0.35">
      <c r="A58">
        <f t="shared" si="11"/>
        <v>49</v>
      </c>
      <c r="B58" s="104"/>
      <c r="C58" s="174"/>
      <c r="D58" s="666"/>
      <c r="E58" s="126"/>
      <c r="F58" s="58"/>
      <c r="G58" s="126"/>
      <c r="H58" s="747"/>
      <c r="I58" s="581"/>
      <c r="J58" s="126"/>
      <c r="K58" s="747"/>
      <c r="L58" s="126"/>
      <c r="M58" s="172"/>
      <c r="N58" s="172"/>
      <c r="O58" s="166"/>
      <c r="P58">
        <f t="shared" si="7"/>
        <v>46</v>
      </c>
    </row>
    <row r="59" spans="1:21" x14ac:dyDescent="0.35">
      <c r="A59">
        <f t="shared" si="11"/>
        <v>50</v>
      </c>
      <c r="B59" s="189" t="s">
        <v>2260</v>
      </c>
      <c r="C59" s="727">
        <f>SUM(C60:C66)</f>
        <v>237.9</v>
      </c>
      <c r="D59" s="741">
        <f>SUM(D60:D66)</f>
        <v>9281</v>
      </c>
      <c r="E59" s="798">
        <f>D59/D$8</f>
        <v>8.8025797884952808E-2</v>
      </c>
      <c r="F59" s="475">
        <f>SUM(F60:F66)</f>
        <v>2148.6</v>
      </c>
      <c r="G59" s="798">
        <f>F59/F$8</f>
        <v>8.0813931620716886E-2</v>
      </c>
      <c r="H59" s="745">
        <f>SUM(H60:H66)</f>
        <v>175.249</v>
      </c>
      <c r="I59" s="737">
        <f>H59/D59</f>
        <v>1.8882555759077685E-2</v>
      </c>
      <c r="J59" s="798">
        <f>SUM(J60:J66)</f>
        <v>0.10716217090309529</v>
      </c>
      <c r="K59" s="745">
        <f>SUM(K60:K66)</f>
        <v>278.43</v>
      </c>
      <c r="L59" s="798">
        <f>SUM(L60:L66)</f>
        <v>0.15172271737495668</v>
      </c>
      <c r="M59" s="470">
        <f>SUM(M60:M66)</f>
        <v>1053700</v>
      </c>
      <c r="N59" s="470">
        <f>SUM(N60:N66)</f>
        <v>5848200</v>
      </c>
      <c r="O59" s="560"/>
      <c r="P59">
        <f t="shared" si="7"/>
        <v>47</v>
      </c>
    </row>
    <row r="60" spans="1:21" x14ac:dyDescent="0.35">
      <c r="A60">
        <f t="shared" si="11"/>
        <v>51</v>
      </c>
      <c r="B60" s="104" t="s">
        <v>2312</v>
      </c>
      <c r="C60" s="173">
        <f>KeyArmiesStats!D54</f>
        <v>124</v>
      </c>
      <c r="D60" s="667">
        <f>KeyArmiesStats!C54</f>
        <v>4232</v>
      </c>
      <c r="E60" s="96">
        <f>D60/D$8</f>
        <v>4.0138473941290845E-2</v>
      </c>
      <c r="F60" s="9">
        <v>939.3</v>
      </c>
      <c r="G60" s="96">
        <f>F60/F$8</f>
        <v>3.5329296272614434E-2</v>
      </c>
      <c r="H60" s="746">
        <f>KeyArmiesStats!G54</f>
        <v>55.015999999999998</v>
      </c>
      <c r="I60" s="581">
        <f>KeyArmiesStats!H54</f>
        <v>1.2999999999999999E-2</v>
      </c>
      <c r="J60" s="96">
        <f t="shared" ref="J60:J65" si="49">H60/H$9</f>
        <v>3.3641470104849046E-2</v>
      </c>
      <c r="K60" s="746">
        <f t="shared" ref="K60:K65" si="50">D60*K$3</f>
        <v>126.96</v>
      </c>
      <c r="L60" s="96">
        <f t="shared" ref="L60:L65" si="51">K60/K$9</f>
        <v>6.9183335839975935E-2</v>
      </c>
      <c r="M60" s="159">
        <f>KeyArmiesStats!E54</f>
        <v>257000</v>
      </c>
      <c r="N60" s="159">
        <f>KeyArmiesStats!F54</f>
        <v>56000</v>
      </c>
      <c r="O60" s="25"/>
      <c r="P60">
        <f t="shared" si="7"/>
        <v>48</v>
      </c>
      <c r="S60" t="s">
        <v>2644</v>
      </c>
    </row>
    <row r="61" spans="1:21" x14ac:dyDescent="0.35">
      <c r="A61">
        <f t="shared" si="11"/>
        <v>52</v>
      </c>
      <c r="B61" s="104" t="s">
        <v>2313</v>
      </c>
      <c r="C61" s="173">
        <f>KeyArmiesStats!D60</f>
        <v>51.7</v>
      </c>
      <c r="D61" s="667">
        <f>KeyArmiesStats!C60</f>
        <v>1710</v>
      </c>
      <c r="E61" s="96">
        <f t="shared" ref="E61:E65" si="52">D61/D$8</f>
        <v>1.6218523260776781E-2</v>
      </c>
      <c r="F61" s="9">
        <v>586.79999999999995</v>
      </c>
      <c r="G61" s="96">
        <f t="shared" ref="G61" si="53">F61/F$8</f>
        <v>2.2070936924060629E-2</v>
      </c>
      <c r="H61" s="746">
        <f>KeyArmiesStats!G60</f>
        <v>47.88</v>
      </c>
      <c r="I61" s="581">
        <f>KeyArmiesStats!H60</f>
        <v>2.8000000000000001E-2</v>
      </c>
      <c r="J61" s="96">
        <f t="shared" si="49"/>
        <v>2.9277911673334531E-2</v>
      </c>
      <c r="K61" s="746">
        <f t="shared" si="50"/>
        <v>51.3</v>
      </c>
      <c r="L61" s="96">
        <f t="shared" si="51"/>
        <v>2.7954514245358896E-2</v>
      </c>
      <c r="M61" s="159">
        <f>KeyArmiesStats!E60</f>
        <v>500000</v>
      </c>
      <c r="N61" s="159">
        <f>KeyArmiesStats!F60</f>
        <v>3100000</v>
      </c>
      <c r="O61" s="25"/>
      <c r="P61">
        <f t="shared" si="7"/>
        <v>49</v>
      </c>
      <c r="S61" t="s">
        <v>2644</v>
      </c>
    </row>
    <row r="62" spans="1:21" x14ac:dyDescent="0.35">
      <c r="A62">
        <f t="shared" si="11"/>
        <v>53</v>
      </c>
      <c r="B62" s="104" t="s">
        <v>2315</v>
      </c>
      <c r="C62" s="173">
        <f>KeyArmiesStats!D56</f>
        <v>27.4</v>
      </c>
      <c r="D62" s="667">
        <f>KeyArmiesStats!C56</f>
        <v>1790</v>
      </c>
      <c r="E62" s="96">
        <f t="shared" si="52"/>
        <v>1.6977284582918386E-2</v>
      </c>
      <c r="F62" s="9">
        <v>250</v>
      </c>
      <c r="G62" s="96">
        <f t="shared" ref="G62" si="54">F62/F$8</f>
        <v>9.4030917365629813E-3</v>
      </c>
      <c r="H62" s="746">
        <f>KeyArmiesStats!G56</f>
        <v>36.516000000000005</v>
      </c>
      <c r="I62" s="581">
        <f>KeyArmiesStats!H56</f>
        <v>2.0400000000000001E-2</v>
      </c>
      <c r="J62" s="96">
        <f t="shared" si="49"/>
        <v>2.2328993789964155E-2</v>
      </c>
      <c r="K62" s="746">
        <f t="shared" si="50"/>
        <v>53.699999999999996</v>
      </c>
      <c r="L62" s="96">
        <f t="shared" si="51"/>
        <v>2.9262327777305509E-2</v>
      </c>
      <c r="M62" s="159">
        <f>KeyArmiesStats!E56</f>
        <v>57000</v>
      </c>
      <c r="N62" s="159">
        <f>KeyArmiesStats!F56</f>
        <v>32000</v>
      </c>
      <c r="O62" s="25"/>
      <c r="P62">
        <f t="shared" si="7"/>
        <v>50</v>
      </c>
      <c r="S62" t="s">
        <v>2644</v>
      </c>
    </row>
    <row r="63" spans="1:21" x14ac:dyDescent="0.35">
      <c r="A63">
        <f t="shared" si="11"/>
        <v>54</v>
      </c>
      <c r="B63" s="104" t="s">
        <v>2314</v>
      </c>
      <c r="C63" s="173">
        <f>KeyArmiesStats!D51</f>
        <v>23.4</v>
      </c>
      <c r="D63" s="667">
        <f>KeyArmiesStats!C51</f>
        <v>775</v>
      </c>
      <c r="E63" s="96">
        <f t="shared" si="52"/>
        <v>7.3505003082467869E-3</v>
      </c>
      <c r="F63" s="9">
        <v>274</v>
      </c>
      <c r="G63" s="96">
        <f t="shared" ref="G63" si="55">F63/F$8</f>
        <v>1.0305788543273029E-2</v>
      </c>
      <c r="H63" s="746">
        <f>KeyArmiesStats!G51</f>
        <v>19.100000000000001</v>
      </c>
      <c r="I63" s="581">
        <f>KeyArmiesStats!H51</f>
        <v>2.4645161290322584E-2</v>
      </c>
      <c r="J63" s="96">
        <f t="shared" si="49"/>
        <v>1.1679367438610892E-2</v>
      </c>
      <c r="K63" s="746">
        <f t="shared" si="50"/>
        <v>23.25</v>
      </c>
      <c r="L63" s="96">
        <f t="shared" si="51"/>
        <v>1.2669443590732833E-2</v>
      </c>
      <c r="M63" s="159">
        <f>KeyArmiesStats!E51</f>
        <v>180000</v>
      </c>
      <c r="N63" s="159">
        <f>KeyArmiesStats!F51</f>
        <v>1657000</v>
      </c>
      <c r="O63" s="25"/>
      <c r="P63">
        <f t="shared" si="7"/>
        <v>51</v>
      </c>
      <c r="S63" t="s">
        <v>2644</v>
      </c>
    </row>
    <row r="64" spans="1:21" x14ac:dyDescent="0.35">
      <c r="A64">
        <f t="shared" si="11"/>
        <v>55</v>
      </c>
      <c r="B64" s="104" t="s">
        <v>2316</v>
      </c>
      <c r="C64" s="173">
        <f>KeyArmiesStats!D57</f>
        <v>5.4</v>
      </c>
      <c r="D64" s="667">
        <f>KeyArmiesStats!C57</f>
        <v>249</v>
      </c>
      <c r="E64" s="96">
        <f t="shared" si="52"/>
        <v>2.3616446151657421E-3</v>
      </c>
      <c r="F64" s="9">
        <v>41.5</v>
      </c>
      <c r="G64" s="96">
        <f t="shared" ref="G64" si="56">F64/F$8</f>
        <v>1.5609132282694549E-3</v>
      </c>
      <c r="H64" s="746">
        <f>KeyArmiesStats!G57</f>
        <v>3.2369999999999997</v>
      </c>
      <c r="I64" s="581">
        <f>KeyArmiesStats!H57</f>
        <v>1.2999999999999999E-2</v>
      </c>
      <c r="J64" s="96">
        <f t="shared" si="49"/>
        <v>1.9793776125017516E-3</v>
      </c>
      <c r="K64" s="746">
        <f t="shared" si="50"/>
        <v>7.47</v>
      </c>
      <c r="L64" s="96">
        <f t="shared" si="51"/>
        <v>4.0705696181838388E-3</v>
      </c>
      <c r="M64" s="159">
        <f>KeyArmiesStats!E57</f>
        <v>8700</v>
      </c>
      <c r="N64" s="159">
        <f>KeyArmiesStats!F57</f>
        <v>3200</v>
      </c>
      <c r="O64" s="25"/>
      <c r="P64">
        <f t="shared" si="7"/>
        <v>52</v>
      </c>
      <c r="S64" t="s">
        <v>2644</v>
      </c>
    </row>
    <row r="65" spans="1:22" x14ac:dyDescent="0.35">
      <c r="A65">
        <f t="shared" si="11"/>
        <v>56</v>
      </c>
      <c r="B65" s="104" t="s">
        <v>2317</v>
      </c>
      <c r="C65" s="173">
        <v>6</v>
      </c>
      <c r="D65" s="667">
        <f>525</f>
        <v>525</v>
      </c>
      <c r="E65" s="96">
        <f t="shared" si="52"/>
        <v>4.9793711765542753E-3</v>
      </c>
      <c r="F65" s="9">
        <v>57</v>
      </c>
      <c r="G65" s="96">
        <f t="shared" ref="G65" si="57">F65/F$8</f>
        <v>2.14390491593636E-3</v>
      </c>
      <c r="H65" s="746">
        <v>13.5</v>
      </c>
      <c r="I65" s="581">
        <f>H65/D65</f>
        <v>2.5714285714285714E-2</v>
      </c>
      <c r="J65" s="96">
        <f t="shared" si="49"/>
        <v>8.2550502838349242E-3</v>
      </c>
      <c r="K65" s="746">
        <f t="shared" si="50"/>
        <v>15.75</v>
      </c>
      <c r="L65" s="96">
        <f t="shared" si="51"/>
        <v>8.5825263033996613E-3</v>
      </c>
      <c r="M65" s="159">
        <v>51000</v>
      </c>
      <c r="N65" s="159">
        <v>1000000</v>
      </c>
      <c r="O65" s="25"/>
      <c r="P65">
        <f t="shared" si="7"/>
        <v>53</v>
      </c>
      <c r="Q65" t="s">
        <v>2319</v>
      </c>
      <c r="R65" t="s">
        <v>2319</v>
      </c>
      <c r="S65" t="s">
        <v>2644</v>
      </c>
      <c r="T65" t="s">
        <v>2392</v>
      </c>
      <c r="U65" t="s">
        <v>2392</v>
      </c>
    </row>
    <row r="66" spans="1:22" ht="15" thickBot="1" x14ac:dyDescent="0.4">
      <c r="A66">
        <f t="shared" si="11"/>
        <v>57</v>
      </c>
      <c r="B66" s="123"/>
      <c r="C66" s="173"/>
      <c r="D66" s="667"/>
      <c r="E66" s="96"/>
      <c r="F66" s="9"/>
      <c r="G66" s="96"/>
      <c r="H66" s="746"/>
      <c r="I66" s="581"/>
      <c r="J66" s="96"/>
      <c r="K66" s="746"/>
      <c r="L66" s="96"/>
      <c r="M66" s="159"/>
      <c r="N66" s="159"/>
      <c r="O66" s="25"/>
      <c r="P66">
        <f t="shared" si="7"/>
        <v>54</v>
      </c>
    </row>
    <row r="67" spans="1:22" ht="22" thickTop="1" thickBot="1" x14ac:dyDescent="0.55000000000000004">
      <c r="A67">
        <f t="shared" si="11"/>
        <v>58</v>
      </c>
      <c r="B67" s="723" t="s">
        <v>2858</v>
      </c>
      <c r="C67" s="724"/>
      <c r="D67" s="742"/>
      <c r="E67" s="853"/>
      <c r="F67" s="842"/>
      <c r="G67" s="853"/>
      <c r="H67" s="724"/>
      <c r="I67" s="738"/>
      <c r="J67" s="724"/>
      <c r="K67" s="748"/>
      <c r="L67" s="748"/>
      <c r="M67" s="735"/>
      <c r="N67" s="735"/>
      <c r="O67" s="720"/>
      <c r="P67">
        <f t="shared" si="7"/>
        <v>55</v>
      </c>
    </row>
    <row r="68" spans="1:22" ht="15.5" thickTop="1" thickBot="1" x14ac:dyDescent="0.4">
      <c r="A68">
        <f t="shared" si="11"/>
        <v>59</v>
      </c>
      <c r="B68" s="721" t="s">
        <v>2803</v>
      </c>
      <c r="C68" s="728">
        <f>SUM(C69:C78)</f>
        <v>1855.1</v>
      </c>
      <c r="D68" s="743">
        <f>SUM(D69:D78)</f>
        <v>22116.3</v>
      </c>
      <c r="E68" s="799">
        <f>D68/D$8</f>
        <v>0.20976241286100442</v>
      </c>
      <c r="F68" s="843">
        <f>SUM(F69:F78)</f>
        <v>10291.688999999998</v>
      </c>
      <c r="G68" s="799">
        <f>F68/F$8</f>
        <v>0.38709478316470453</v>
      </c>
      <c r="H68" s="749">
        <f>SUM(H69:H78)</f>
        <v>514.15020000000004</v>
      </c>
      <c r="I68" s="730">
        <f>H68/D68</f>
        <v>2.3247568535424101E-2</v>
      </c>
      <c r="J68" s="810">
        <f>SUM(J69:J76)</f>
        <v>0.99999999999999989</v>
      </c>
      <c r="K68" s="749" t="s">
        <v>34</v>
      </c>
      <c r="L68" s="749" t="s">
        <v>34</v>
      </c>
      <c r="M68" s="729">
        <f>SUM(M69:M78)</f>
        <v>6527000</v>
      </c>
      <c r="N68" s="729">
        <f>SUM(N69:N78)</f>
        <v>4314400</v>
      </c>
      <c r="O68" s="722"/>
      <c r="P68">
        <f t="shared" si="7"/>
        <v>56</v>
      </c>
    </row>
    <row r="69" spans="1:22" ht="15" thickTop="1" x14ac:dyDescent="0.35">
      <c r="A69">
        <f t="shared" ref="A69:A72" si="58">A68+1</f>
        <v>60</v>
      </c>
      <c r="B69" s="104" t="s">
        <v>2646</v>
      </c>
      <c r="C69" s="173">
        <f>KeyArmiesStats!D10</f>
        <v>143.69999999999999</v>
      </c>
      <c r="D69" s="667">
        <f>KeyArmiesStats!C10</f>
        <v>2184</v>
      </c>
      <c r="E69" s="96">
        <f>D69/D$8</f>
        <v>2.0714184094465786E-2</v>
      </c>
      <c r="F69" s="9">
        <v>1026</v>
      </c>
      <c r="G69" s="96">
        <f>F69/F$8</f>
        <v>3.8590288486854481E-2</v>
      </c>
      <c r="H69" s="746">
        <f>KeyArmiesStats!G10</f>
        <v>131.04</v>
      </c>
      <c r="I69" s="581">
        <f>KeyArmiesStats!H10</f>
        <v>0.06</v>
      </c>
      <c r="J69" s="96">
        <f>H69/H$68</f>
        <v>0.25486715749600014</v>
      </c>
      <c r="K69" s="747" t="s">
        <v>34</v>
      </c>
      <c r="L69" s="747" t="s">
        <v>34</v>
      </c>
      <c r="M69" s="159">
        <f>KeyArmiesStats!E10</f>
        <v>1500000</v>
      </c>
      <c r="N69" s="159">
        <f>KeyArmiesStats!F10</f>
        <v>2000000</v>
      </c>
      <c r="O69" s="25"/>
      <c r="P69">
        <f t="shared" ref="P69:P78" si="59">P68+1</f>
        <v>57</v>
      </c>
      <c r="S69" t="s">
        <v>2644</v>
      </c>
    </row>
    <row r="70" spans="1:22" x14ac:dyDescent="0.35">
      <c r="A70">
        <f t="shared" si="58"/>
        <v>61</v>
      </c>
      <c r="B70" s="104" t="s">
        <v>2800</v>
      </c>
      <c r="C70" s="173">
        <f>KeyArmiesStats!D63</f>
        <v>85.3</v>
      </c>
      <c r="D70" s="667">
        <f>KeyArmiesStats!C63</f>
        <v>413</v>
      </c>
      <c r="E70" s="96">
        <f t="shared" ref="E70:E77" si="60">D70/D$8</f>
        <v>3.9171053255560298E-3</v>
      </c>
      <c r="F70" s="9">
        <v>315.84300000000002</v>
      </c>
      <c r="G70" s="96">
        <f t="shared" ref="G70" si="61">F70/F$8</f>
        <v>1.1879602813405048E-2</v>
      </c>
      <c r="H70" s="746">
        <f>KeyArmiesStats!G63</f>
        <v>21.475999999999999</v>
      </c>
      <c r="I70" s="581">
        <f>KeyArmiesStats!H63</f>
        <v>5.1999999999999998E-2</v>
      </c>
      <c r="J70" s="96">
        <f t="shared" ref="J70:J75" si="62">H70/H$68</f>
        <v>4.1769895256288915E-2</v>
      </c>
      <c r="K70" s="747" t="s">
        <v>34</v>
      </c>
      <c r="L70" s="747" t="s">
        <v>34</v>
      </c>
      <c r="M70" s="159">
        <f>KeyArmiesStats!E63</f>
        <v>610000</v>
      </c>
      <c r="N70" s="159">
        <f>KeyArmiesStats!F63</f>
        <v>350000</v>
      </c>
      <c r="O70" s="25"/>
      <c r="P70">
        <f t="shared" si="59"/>
        <v>58</v>
      </c>
      <c r="S70" t="s">
        <v>2644</v>
      </c>
    </row>
    <row r="71" spans="1:22" x14ac:dyDescent="0.35">
      <c r="A71">
        <f t="shared" si="58"/>
        <v>62</v>
      </c>
      <c r="B71" s="104" t="s">
        <v>2647</v>
      </c>
      <c r="C71" s="173">
        <f>KeyArmiesStats!D59</f>
        <v>26</v>
      </c>
      <c r="D71" s="667">
        <f>KeyArmiesStats!C59</f>
        <v>20</v>
      </c>
      <c r="E71" s="96">
        <f t="shared" si="60"/>
        <v>1.8969033053540095E-4</v>
      </c>
      <c r="F71" s="58">
        <v>18.2</v>
      </c>
      <c r="G71" s="96">
        <f t="shared" ref="G71" si="63">F71/F$8</f>
        <v>6.8454507842178507E-4</v>
      </c>
      <c r="H71" s="746">
        <f>KeyArmiesStats!G59</f>
        <v>6.66</v>
      </c>
      <c r="I71" s="581">
        <f>KeyArmiesStats!H59</f>
        <v>0.33300000000000002</v>
      </c>
      <c r="J71" s="96">
        <f t="shared" si="62"/>
        <v>1.2953413224384624E-2</v>
      </c>
      <c r="K71" s="747" t="s">
        <v>34</v>
      </c>
      <c r="L71" s="747" t="s">
        <v>34</v>
      </c>
      <c r="M71" s="159">
        <f>KeyArmiesStats!E59</f>
        <v>1320000</v>
      </c>
      <c r="N71" s="159">
        <f>KeyArmiesStats!F59</f>
        <v>560000</v>
      </c>
      <c r="O71" s="25"/>
      <c r="P71">
        <f t="shared" si="59"/>
        <v>59</v>
      </c>
      <c r="S71" t="s">
        <v>2644</v>
      </c>
    </row>
    <row r="72" spans="1:22" x14ac:dyDescent="0.35">
      <c r="A72">
        <f t="shared" si="58"/>
        <v>63</v>
      </c>
      <c r="B72" s="104" t="s">
        <v>2700</v>
      </c>
      <c r="C72" s="173">
        <f>KeyArmiesStats!D52</f>
        <v>1410</v>
      </c>
      <c r="D72" s="667">
        <f>KeyArmiesStats!C52</f>
        <v>17963</v>
      </c>
      <c r="E72" s="96">
        <f t="shared" si="60"/>
        <v>0.17037037037037037</v>
      </c>
      <c r="F72" s="9">
        <v>8540</v>
      </c>
      <c r="G72" s="96">
        <f t="shared" ref="G72" si="64">F72/F$8</f>
        <v>0.32120961372099144</v>
      </c>
      <c r="H72" s="746">
        <f>KeyArmiesStats!G52</f>
        <v>314.35250000000002</v>
      </c>
      <c r="I72" s="581">
        <f>KeyArmiesStats!H52</f>
        <v>1.7500000000000002E-2</v>
      </c>
      <c r="J72" s="96">
        <f t="shared" si="62"/>
        <v>0.61140207666942459</v>
      </c>
      <c r="K72" s="747" t="s">
        <v>34</v>
      </c>
      <c r="L72" s="747" t="s">
        <v>34</v>
      </c>
      <c r="M72" s="159">
        <f>KeyArmiesStats!E52</f>
        <v>2035000</v>
      </c>
      <c r="N72" s="159">
        <f>KeyArmiesStats!F52</f>
        <v>510000</v>
      </c>
      <c r="O72" s="25"/>
      <c r="P72">
        <f t="shared" si="59"/>
        <v>60</v>
      </c>
      <c r="S72" t="s">
        <v>2644</v>
      </c>
    </row>
    <row r="73" spans="1:22" x14ac:dyDescent="0.35">
      <c r="A73">
        <f t="shared" si="11"/>
        <v>64</v>
      </c>
      <c r="B73" s="104" t="s">
        <v>2648</v>
      </c>
      <c r="C73" s="173">
        <f>KeyArmiesStats!D11</f>
        <v>9.1</v>
      </c>
      <c r="D73" s="667">
        <f>KeyArmiesStats!C11</f>
        <v>69</v>
      </c>
      <c r="E73" s="96">
        <f t="shared" si="60"/>
        <v>6.5443164034713331E-4</v>
      </c>
      <c r="F73" s="9">
        <v>35.515999999999998</v>
      </c>
      <c r="G73" s="96">
        <f t="shared" ref="G73" si="65">F73/F$8</f>
        <v>1.3358408244630833E-3</v>
      </c>
      <c r="H73" s="746">
        <f>KeyArmiesStats!G11</f>
        <v>0.82800000000000007</v>
      </c>
      <c r="I73" s="581">
        <f>KeyArmiesStats!H11</f>
        <v>1.2E-2</v>
      </c>
      <c r="J73" s="96">
        <f t="shared" si="62"/>
        <v>1.6104243468153859E-3</v>
      </c>
      <c r="K73" s="747" t="s">
        <v>34</v>
      </c>
      <c r="L73" s="747" t="s">
        <v>34</v>
      </c>
      <c r="M73" s="159">
        <f>KeyArmiesStats!E11</f>
        <v>63000</v>
      </c>
      <c r="N73" s="159">
        <f>KeyArmiesStats!F11</f>
        <v>365400</v>
      </c>
      <c r="O73" s="25"/>
      <c r="P73">
        <f t="shared" si="59"/>
        <v>61</v>
      </c>
      <c r="S73" t="s">
        <v>2644</v>
      </c>
    </row>
    <row r="74" spans="1:22" x14ac:dyDescent="0.35">
      <c r="A74">
        <f t="shared" si="11"/>
        <v>65</v>
      </c>
      <c r="B74" s="104" t="s">
        <v>2649</v>
      </c>
      <c r="C74" s="173">
        <f>KeyArmiesStats!D65</f>
        <v>24</v>
      </c>
      <c r="D74" s="667">
        <f>KeyArmiesStats!C65</f>
        <v>11</v>
      </c>
      <c r="E74" s="96">
        <f t="shared" si="60"/>
        <v>1.0432968179447053E-4</v>
      </c>
      <c r="F74" s="9">
        <v>12.91</v>
      </c>
      <c r="G74" s="96">
        <f t="shared" ref="G74" si="66">F74/F$8</f>
        <v>4.8557565727611241E-4</v>
      </c>
      <c r="H74" s="746">
        <f>KeyArmiesStats!G65</f>
        <v>0.495</v>
      </c>
      <c r="I74" s="581">
        <f>KeyArmiesStats!H65</f>
        <v>4.4999999999999998E-2</v>
      </c>
      <c r="J74" s="96">
        <f t="shared" si="62"/>
        <v>9.627536855961545E-4</v>
      </c>
      <c r="K74" s="747" t="s">
        <v>34</v>
      </c>
      <c r="L74" s="747" t="s">
        <v>34</v>
      </c>
      <c r="M74" s="159">
        <f>KeyArmiesStats!E65</f>
        <v>170000</v>
      </c>
      <c r="N74" s="159">
        <f>KeyArmiesStats!F65</f>
        <v>50000</v>
      </c>
      <c r="O74" s="25"/>
      <c r="P74">
        <f t="shared" si="59"/>
        <v>62</v>
      </c>
      <c r="S74" t="s">
        <v>2644</v>
      </c>
    </row>
    <row r="75" spans="1:22" x14ac:dyDescent="0.35">
      <c r="A75">
        <f t="shared" si="11"/>
        <v>66</v>
      </c>
      <c r="B75" s="104" t="s">
        <v>2650</v>
      </c>
      <c r="C75" s="173">
        <v>30.5</v>
      </c>
      <c r="D75" s="667">
        <v>92.2</v>
      </c>
      <c r="E75" s="96">
        <f t="shared" si="60"/>
        <v>8.7447242376819843E-4</v>
      </c>
      <c r="F75" s="9">
        <v>56.77</v>
      </c>
      <c r="G75" s="96">
        <f t="shared" ref="G75" si="67">F75/F$8</f>
        <v>2.1352540715387221E-3</v>
      </c>
      <c r="H75" s="746">
        <f>D75*I75</f>
        <v>0.32270000000000004</v>
      </c>
      <c r="I75" s="581">
        <v>3.5000000000000001E-3</v>
      </c>
      <c r="J75" s="96">
        <f t="shared" si="62"/>
        <v>6.2763760473106894E-4</v>
      </c>
      <c r="K75" s="747" t="s">
        <v>34</v>
      </c>
      <c r="L75" s="747" t="s">
        <v>34</v>
      </c>
      <c r="M75" s="159">
        <f>220000+109000</f>
        <v>329000</v>
      </c>
      <c r="N75" s="159">
        <v>8000</v>
      </c>
      <c r="O75" s="25"/>
      <c r="P75">
        <f t="shared" si="59"/>
        <v>63</v>
      </c>
      <c r="Q75" t="s">
        <v>2332</v>
      </c>
      <c r="R75" s="4" t="s">
        <v>2332</v>
      </c>
      <c r="S75" t="s">
        <v>2644</v>
      </c>
      <c r="T75" t="s">
        <v>2391</v>
      </c>
    </row>
    <row r="76" spans="1:22" x14ac:dyDescent="0.35">
      <c r="A76">
        <f t="shared" si="11"/>
        <v>67</v>
      </c>
      <c r="B76" s="123" t="s">
        <v>2919</v>
      </c>
      <c r="C76" s="173">
        <f>KeyArmiesStats!D64</f>
        <v>85.4</v>
      </c>
      <c r="D76" s="667">
        <f>KeyArmiesStats!C64</f>
        <v>1344</v>
      </c>
      <c r="E76" s="96">
        <f t="shared" si="60"/>
        <v>1.2747190211978945E-2</v>
      </c>
      <c r="F76" s="9">
        <v>280.45999999999998</v>
      </c>
      <c r="G76" s="96">
        <f t="shared" ref="G76" si="68">F76/F$8</f>
        <v>1.0548764433745816E-2</v>
      </c>
      <c r="H76" s="746">
        <f>KeyArmiesStats!G64</f>
        <v>38.975999999999999</v>
      </c>
      <c r="I76" s="581">
        <f>KeyArmiesStats!H64</f>
        <v>2.9000000000000001E-2</v>
      </c>
      <c r="J76" s="96">
        <f>H76/H$68</f>
        <v>7.5806641716759021E-2</v>
      </c>
      <c r="K76" s="747" t="s">
        <v>34</v>
      </c>
      <c r="L76" s="747" t="s">
        <v>34</v>
      </c>
      <c r="M76" s="159">
        <f>KeyArmiesStats!E64</f>
        <v>425000</v>
      </c>
      <c r="N76" s="159">
        <f>KeyArmiesStats!F64</f>
        <v>381000</v>
      </c>
      <c r="O76" s="25"/>
      <c r="P76">
        <f t="shared" si="59"/>
        <v>64</v>
      </c>
      <c r="S76" s="4" t="s">
        <v>2644</v>
      </c>
    </row>
    <row r="77" spans="1:22" x14ac:dyDescent="0.35">
      <c r="A77">
        <f t="shared" si="11"/>
        <v>68</v>
      </c>
      <c r="B77" s="104" t="s">
        <v>2927</v>
      </c>
      <c r="C77" s="173">
        <v>41.1</v>
      </c>
      <c r="D77" s="667">
        <v>20.100000000000001</v>
      </c>
      <c r="E77" s="96">
        <f t="shared" si="60"/>
        <v>1.9063878218807798E-4</v>
      </c>
      <c r="F77" s="9">
        <v>5.99</v>
      </c>
      <c r="G77" s="96">
        <f t="shared" ref="G77" si="69">F77/F$8</f>
        <v>2.2529807800804905E-4</v>
      </c>
      <c r="H77" s="747" t="s">
        <v>34</v>
      </c>
      <c r="I77" s="747" t="s">
        <v>34</v>
      </c>
      <c r="J77" s="747" t="s">
        <v>34</v>
      </c>
      <c r="K77" s="747" t="s">
        <v>34</v>
      </c>
      <c r="L77" s="747" t="s">
        <v>34</v>
      </c>
      <c r="M77" s="159">
        <v>75000</v>
      </c>
      <c r="N77" s="159">
        <v>90000</v>
      </c>
      <c r="O77" s="25"/>
      <c r="P77">
        <f t="shared" si="59"/>
        <v>65</v>
      </c>
      <c r="R77" t="s">
        <v>2848</v>
      </c>
      <c r="S77" t="s">
        <v>2644</v>
      </c>
      <c r="T77" t="s">
        <v>34</v>
      </c>
      <c r="U77" t="s">
        <v>2850</v>
      </c>
      <c r="V77" t="s">
        <v>34</v>
      </c>
    </row>
    <row r="78" spans="1:22" ht="15" thickBot="1" x14ac:dyDescent="0.4">
      <c r="A78">
        <f t="shared" si="11"/>
        <v>69</v>
      </c>
      <c r="B78" s="106"/>
      <c r="C78" s="229"/>
      <c r="D78" s="668"/>
      <c r="E78" s="131"/>
      <c r="F78" s="50"/>
      <c r="G78" s="131"/>
      <c r="H78" s="795"/>
      <c r="I78" s="739"/>
      <c r="J78" s="131"/>
      <c r="K78" s="750"/>
      <c r="L78" s="750"/>
      <c r="M78" s="160"/>
      <c r="N78" s="160"/>
      <c r="O78" s="28"/>
      <c r="P78">
        <f t="shared" si="59"/>
        <v>66</v>
      </c>
    </row>
    <row r="79" spans="1:22" ht="15" thickTop="1" x14ac:dyDescent="0.35">
      <c r="B79" s="3"/>
    </row>
    <row r="80" spans="1:22" x14ac:dyDescent="0.35">
      <c r="B80" s="3"/>
    </row>
  </sheetData>
  <hyperlinks>
    <hyperlink ref="S55" r:id="rId1" xr:uid="{DAAFE43D-4D8D-46A6-BB31-63EE776141AC}"/>
    <hyperlink ref="R75" r:id="rId2" xr:uid="{787D5929-3EEA-47D3-BAAD-18D482D23F31}"/>
    <hyperlink ref="S76" r:id="rId3" xr:uid="{EA4B02E3-2E30-4ED5-B3A3-F2D87EB22DD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D9A7B-C093-4676-8C45-B2788D0CF99A}">
  <dimension ref="A1:H74"/>
  <sheetViews>
    <sheetView workbookViewId="0">
      <pane xSplit="2" ySplit="7" topLeftCell="C8" activePane="bottomRight" state="frozen"/>
      <selection pane="topRight" activeCell="C1" sqref="C1"/>
      <selection pane="bottomLeft" activeCell="A9" sqref="A9"/>
      <selection pane="bottomRight" activeCell="B6" sqref="B6"/>
    </sheetView>
  </sheetViews>
  <sheetFormatPr defaultRowHeight="14.5" x14ac:dyDescent="0.35"/>
  <cols>
    <col min="1" max="1" width="6.6328125" customWidth="1"/>
    <col min="2" max="2" width="59" customWidth="1"/>
    <col min="3" max="6" width="42.36328125" customWidth="1"/>
    <col min="7" max="7" width="1.81640625" customWidth="1"/>
    <col min="9" max="9" width="9.90625" customWidth="1"/>
    <col min="10" max="11" width="7" customWidth="1"/>
    <col min="12" max="12" width="12.6328125" customWidth="1"/>
    <col min="13" max="13" width="16.36328125" customWidth="1"/>
  </cols>
  <sheetData>
    <row r="1" spans="1:8" ht="28.5" x14ac:dyDescent="0.65">
      <c r="A1" s="1" t="str">
        <f>UkrAid24jan2022ToOct312023!A1</f>
        <v>AQ Islamists advance to Hama, Putin replaces his top Syrian general &amp; much more #69/96</v>
      </c>
    </row>
    <row r="2" spans="1:8" x14ac:dyDescent="0.35">
      <c r="A2" s="434" t="str">
        <f>UkrAid24jan2022ToOct312023!$A$2</f>
        <v>Proprietary. © H. Mathiesen. This material can be used by others free of charge provided that the author H. Mathiesen is attributed and a clickable link is made visible to the location of used material on www.hmexperience.dk</v>
      </c>
    </row>
    <row r="3" spans="1:8" x14ac:dyDescent="0.35">
      <c r="E3" s="96"/>
    </row>
    <row r="4" spans="1:8" ht="24" thickBot="1" x14ac:dyDescent="0.6">
      <c r="B4" s="435" t="s">
        <v>2860</v>
      </c>
      <c r="C4" s="435"/>
      <c r="D4" s="435"/>
      <c r="E4" s="263"/>
      <c r="F4" s="263"/>
      <c r="G4" s="263"/>
      <c r="H4" s="3"/>
    </row>
    <row r="5" spans="1:8" ht="21.5" thickTop="1" x14ac:dyDescent="0.5">
      <c r="B5" s="715" t="s">
        <v>2857</v>
      </c>
      <c r="C5" s="437" t="s">
        <v>2788</v>
      </c>
      <c r="D5" s="438" t="s">
        <v>2790</v>
      </c>
      <c r="E5" s="438" t="s">
        <v>2820</v>
      </c>
      <c r="F5" s="438" t="s">
        <v>190</v>
      </c>
      <c r="G5" s="558"/>
      <c r="H5" s="3"/>
    </row>
    <row r="6" spans="1:8" x14ac:dyDescent="0.35">
      <c r="B6" s="440" t="s">
        <v>2931</v>
      </c>
      <c r="C6" s="564" t="s">
        <v>2789</v>
      </c>
      <c r="D6" s="441" t="s">
        <v>2804</v>
      </c>
      <c r="E6" s="441" t="s">
        <v>2804</v>
      </c>
      <c r="F6" s="441"/>
      <c r="G6" s="559"/>
      <c r="H6" s="3"/>
    </row>
    <row r="7" spans="1:8" ht="15" thickBot="1" x14ac:dyDescent="0.4">
      <c r="B7" s="444"/>
      <c r="C7" s="444"/>
      <c r="D7" s="445" t="s">
        <v>2819</v>
      </c>
      <c r="E7" s="445" t="s">
        <v>2819</v>
      </c>
      <c r="F7" s="445"/>
      <c r="G7" s="446"/>
      <c r="H7" s="3"/>
    </row>
    <row r="8" spans="1:8" ht="15" thickTop="1" x14ac:dyDescent="0.35">
      <c r="A8">
        <v>1</v>
      </c>
      <c r="B8" s="181" t="s">
        <v>2809</v>
      </c>
      <c r="C8" s="385"/>
      <c r="D8" s="183"/>
      <c r="E8" s="183"/>
      <c r="F8" s="192"/>
      <c r="G8" s="696"/>
      <c r="H8">
        <v>1</v>
      </c>
    </row>
    <row r="9" spans="1:8" x14ac:dyDescent="0.35">
      <c r="A9">
        <f>A8+1</f>
        <v>2</v>
      </c>
      <c r="B9" s="51" t="s">
        <v>2821</v>
      </c>
      <c r="C9" s="51" t="s">
        <v>2822</v>
      </c>
      <c r="D9" s="159" t="s">
        <v>2823</v>
      </c>
      <c r="E9" s="159" t="s">
        <v>2824</v>
      </c>
      <c r="F9" t="s">
        <v>34</v>
      </c>
      <c r="G9" s="167"/>
      <c r="H9">
        <f>H8+1</f>
        <v>2</v>
      </c>
    </row>
    <row r="10" spans="1:8" x14ac:dyDescent="0.35">
      <c r="A10">
        <f>A9+1</f>
        <v>3</v>
      </c>
      <c r="B10" s="51" t="s">
        <v>2867</v>
      </c>
      <c r="C10" s="51" t="s">
        <v>2825</v>
      </c>
      <c r="D10" s="159" t="s">
        <v>2831</v>
      </c>
      <c r="E10" s="159" t="s">
        <v>2832</v>
      </c>
      <c r="F10" t="s">
        <v>34</v>
      </c>
      <c r="G10" s="167"/>
      <c r="H10">
        <f>H9+1</f>
        <v>3</v>
      </c>
    </row>
    <row r="11" spans="1:8" ht="15" thickBot="1" x14ac:dyDescent="0.4">
      <c r="A11">
        <f>A10+1</f>
        <v>4</v>
      </c>
      <c r="B11" s="51"/>
      <c r="C11" s="51"/>
      <c r="D11" s="159"/>
      <c r="E11" s="159"/>
      <c r="G11" s="167"/>
      <c r="H11">
        <f t="shared" ref="H11:H70" si="0">H10+1</f>
        <v>4</v>
      </c>
    </row>
    <row r="12" spans="1:8" ht="15" thickTop="1" x14ac:dyDescent="0.35">
      <c r="A12">
        <f t="shared" ref="A12:A70" si="1">A11+1</f>
        <v>5</v>
      </c>
      <c r="B12" s="231" t="s">
        <v>2864</v>
      </c>
      <c r="C12" s="231"/>
      <c r="D12" s="657"/>
      <c r="E12" s="657"/>
      <c r="F12" s="658"/>
      <c r="G12" s="676"/>
      <c r="H12">
        <f t="shared" si="0"/>
        <v>5</v>
      </c>
    </row>
    <row r="13" spans="1:8" x14ac:dyDescent="0.35">
      <c r="A13">
        <f t="shared" si="1"/>
        <v>6</v>
      </c>
      <c r="B13" s="123" t="s">
        <v>2808</v>
      </c>
      <c r="C13" t="s">
        <v>2833</v>
      </c>
      <c r="D13" s="159" t="s">
        <v>2834</v>
      </c>
      <c r="E13" s="159" t="s">
        <v>34</v>
      </c>
      <c r="F13" t="s">
        <v>2835</v>
      </c>
      <c r="G13" s="167"/>
      <c r="H13">
        <f t="shared" si="0"/>
        <v>6</v>
      </c>
    </row>
    <row r="14" spans="1:8" x14ac:dyDescent="0.35">
      <c r="A14">
        <f t="shared" si="1"/>
        <v>7</v>
      </c>
      <c r="B14" s="123" t="s">
        <v>2875</v>
      </c>
      <c r="C14" t="s">
        <v>2877</v>
      </c>
      <c r="D14" s="159" t="s">
        <v>2836</v>
      </c>
      <c r="E14" s="159" t="s">
        <v>34</v>
      </c>
      <c r="G14" s="167"/>
      <c r="H14">
        <f t="shared" si="0"/>
        <v>7</v>
      </c>
    </row>
    <row r="15" spans="1:8" x14ac:dyDescent="0.35">
      <c r="A15">
        <f t="shared" si="1"/>
        <v>8</v>
      </c>
      <c r="B15" s="123" t="s">
        <v>2876</v>
      </c>
      <c r="C15" t="s">
        <v>2853</v>
      </c>
      <c r="D15" s="159" t="s">
        <v>2842</v>
      </c>
      <c r="E15" s="159" t="s">
        <v>34</v>
      </c>
      <c r="F15" t="s">
        <v>34</v>
      </c>
      <c r="G15" s="167"/>
      <c r="H15">
        <f t="shared" si="0"/>
        <v>8</v>
      </c>
    </row>
    <row r="16" spans="1:8" x14ac:dyDescent="0.35">
      <c r="A16">
        <f t="shared" si="1"/>
        <v>9</v>
      </c>
      <c r="B16" s="123" t="s">
        <v>2878</v>
      </c>
      <c r="C16" t="s">
        <v>2887</v>
      </c>
      <c r="D16" s="159" t="s">
        <v>2873</v>
      </c>
      <c r="E16" s="159" t="s">
        <v>34</v>
      </c>
      <c r="F16" t="s">
        <v>34</v>
      </c>
      <c r="G16" s="167"/>
      <c r="H16">
        <f t="shared" si="0"/>
        <v>9</v>
      </c>
    </row>
    <row r="17" spans="1:8" x14ac:dyDescent="0.35">
      <c r="A17">
        <f t="shared" si="1"/>
        <v>10</v>
      </c>
      <c r="B17" s="123" t="s">
        <v>2879</v>
      </c>
      <c r="C17" t="s">
        <v>2888</v>
      </c>
      <c r="D17" s="159"/>
      <c r="E17" s="159" t="s">
        <v>34</v>
      </c>
      <c r="G17" s="167"/>
      <c r="H17">
        <f t="shared" si="0"/>
        <v>10</v>
      </c>
    </row>
    <row r="18" spans="1:8" ht="15" thickBot="1" x14ac:dyDescent="0.4">
      <c r="A18">
        <f t="shared" si="1"/>
        <v>11</v>
      </c>
      <c r="B18" s="123"/>
      <c r="D18" s="159"/>
      <c r="E18" s="159"/>
      <c r="G18" s="167"/>
      <c r="H18">
        <f t="shared" si="0"/>
        <v>11</v>
      </c>
    </row>
    <row r="19" spans="1:8" ht="15" thickTop="1" x14ac:dyDescent="0.35">
      <c r="A19">
        <f t="shared" si="1"/>
        <v>12</v>
      </c>
      <c r="B19" s="233" t="s">
        <v>2826</v>
      </c>
      <c r="C19" s="232" t="s">
        <v>2837</v>
      </c>
      <c r="D19" s="711" t="s">
        <v>2838</v>
      </c>
      <c r="E19" s="657" t="s">
        <v>34</v>
      </c>
      <c r="F19" s="658" t="s">
        <v>34</v>
      </c>
      <c r="G19" s="676"/>
      <c r="H19">
        <f t="shared" si="0"/>
        <v>12</v>
      </c>
    </row>
    <row r="20" spans="1:8" x14ac:dyDescent="0.35">
      <c r="A20">
        <f t="shared" si="1"/>
        <v>13</v>
      </c>
      <c r="B20" s="189" t="s">
        <v>2827</v>
      </c>
      <c r="C20" s="473"/>
      <c r="D20" s="469"/>
      <c r="E20" s="192"/>
      <c r="F20" s="192"/>
      <c r="G20" s="560"/>
      <c r="H20">
        <f t="shared" si="0"/>
        <v>13</v>
      </c>
    </row>
    <row r="21" spans="1:8" x14ac:dyDescent="0.35">
      <c r="A21">
        <f t="shared" si="1"/>
        <v>14</v>
      </c>
      <c r="B21" s="123" t="s">
        <v>2855</v>
      </c>
      <c r="C21" t="s">
        <v>2856</v>
      </c>
      <c r="D21" s="159" t="s">
        <v>34</v>
      </c>
      <c r="E21" s="159" t="s">
        <v>34</v>
      </c>
      <c r="F21" s="159" t="s">
        <v>34</v>
      </c>
      <c r="G21" s="25"/>
      <c r="H21">
        <f t="shared" si="0"/>
        <v>14</v>
      </c>
    </row>
    <row r="22" spans="1:8" x14ac:dyDescent="0.35">
      <c r="A22">
        <f t="shared" si="1"/>
        <v>15</v>
      </c>
      <c r="B22" s="123" t="s">
        <v>2263</v>
      </c>
      <c r="C22" t="s">
        <v>2830</v>
      </c>
      <c r="D22" s="159" t="s">
        <v>34</v>
      </c>
      <c r="E22" s="159" t="s">
        <v>34</v>
      </c>
      <c r="F22" s="159" t="s">
        <v>34</v>
      </c>
      <c r="G22" s="167"/>
      <c r="H22">
        <f t="shared" si="0"/>
        <v>15</v>
      </c>
    </row>
    <row r="23" spans="1:8" x14ac:dyDescent="0.35">
      <c r="A23">
        <f t="shared" si="1"/>
        <v>16</v>
      </c>
      <c r="B23" s="123" t="s">
        <v>2841</v>
      </c>
      <c r="C23" t="s">
        <v>2839</v>
      </c>
      <c r="D23" s="159" t="s">
        <v>34</v>
      </c>
      <c r="E23" s="159" t="s">
        <v>34</v>
      </c>
      <c r="F23" s="159" t="s">
        <v>34</v>
      </c>
      <c r="G23" s="167"/>
      <c r="H23">
        <f t="shared" si="0"/>
        <v>16</v>
      </c>
    </row>
    <row r="24" spans="1:8" x14ac:dyDescent="0.35">
      <c r="A24">
        <f t="shared" si="1"/>
        <v>17</v>
      </c>
      <c r="B24" s="123" t="s">
        <v>2843</v>
      </c>
      <c r="C24" t="s">
        <v>2844</v>
      </c>
      <c r="D24" s="159" t="s">
        <v>34</v>
      </c>
      <c r="E24" s="159" t="s">
        <v>34</v>
      </c>
      <c r="F24" s="159" t="s">
        <v>34</v>
      </c>
      <c r="G24" s="167"/>
      <c r="H24">
        <f t="shared" si="0"/>
        <v>17</v>
      </c>
    </row>
    <row r="25" spans="1:8" x14ac:dyDescent="0.35">
      <c r="A25">
        <f t="shared" si="1"/>
        <v>18</v>
      </c>
      <c r="B25" s="123" t="s">
        <v>2840</v>
      </c>
      <c r="C25" t="s">
        <v>2854</v>
      </c>
      <c r="D25" s="159" t="s">
        <v>2862</v>
      </c>
      <c r="E25" s="159" t="s">
        <v>34</v>
      </c>
      <c r="F25" s="159" t="s">
        <v>34</v>
      </c>
      <c r="G25" s="167"/>
      <c r="H25">
        <f t="shared" si="0"/>
        <v>18</v>
      </c>
    </row>
    <row r="26" spans="1:8" x14ac:dyDescent="0.35">
      <c r="A26">
        <f t="shared" si="1"/>
        <v>19</v>
      </c>
      <c r="B26" s="123" t="s">
        <v>2849</v>
      </c>
      <c r="C26" t="s">
        <v>2889</v>
      </c>
      <c r="D26" s="159" t="s">
        <v>34</v>
      </c>
      <c r="E26" s="159" t="s">
        <v>34</v>
      </c>
      <c r="F26" s="159" t="s">
        <v>34</v>
      </c>
      <c r="G26" s="167"/>
      <c r="H26">
        <f t="shared" si="0"/>
        <v>19</v>
      </c>
    </row>
    <row r="27" spans="1:8" x14ac:dyDescent="0.35">
      <c r="A27">
        <f t="shared" si="1"/>
        <v>20</v>
      </c>
      <c r="B27" s="123" t="s">
        <v>2851</v>
      </c>
      <c r="C27" t="s">
        <v>2890</v>
      </c>
      <c r="D27" s="159" t="s">
        <v>34</v>
      </c>
      <c r="E27" s="159" t="s">
        <v>34</v>
      </c>
      <c r="F27" s="159" t="s">
        <v>34</v>
      </c>
      <c r="G27" s="167"/>
      <c r="H27">
        <f t="shared" si="0"/>
        <v>20</v>
      </c>
    </row>
    <row r="28" spans="1:8" x14ac:dyDescent="0.35">
      <c r="A28">
        <f t="shared" si="1"/>
        <v>21</v>
      </c>
      <c r="B28" s="123" t="s">
        <v>2846</v>
      </c>
      <c r="C28" t="s">
        <v>2891</v>
      </c>
      <c r="D28" s="159" t="s">
        <v>34</v>
      </c>
      <c r="E28" s="159" t="s">
        <v>34</v>
      </c>
      <c r="F28" s="159" t="s">
        <v>34</v>
      </c>
      <c r="G28" s="167"/>
      <c r="H28">
        <f t="shared" si="0"/>
        <v>21</v>
      </c>
    </row>
    <row r="29" spans="1:8" x14ac:dyDescent="0.35">
      <c r="A29">
        <f t="shared" si="1"/>
        <v>22</v>
      </c>
      <c r="B29" s="123" t="s">
        <v>2872</v>
      </c>
      <c r="C29" t="s">
        <v>2892</v>
      </c>
      <c r="D29" s="159" t="s">
        <v>34</v>
      </c>
      <c r="E29" s="159" t="s">
        <v>34</v>
      </c>
      <c r="F29" s="159" t="s">
        <v>34</v>
      </c>
      <c r="G29" s="167"/>
      <c r="H29">
        <f t="shared" si="0"/>
        <v>22</v>
      </c>
    </row>
    <row r="30" spans="1:8" x14ac:dyDescent="0.35">
      <c r="A30">
        <f t="shared" si="1"/>
        <v>23</v>
      </c>
      <c r="B30" s="123"/>
      <c r="D30" s="159"/>
      <c r="E30" s="159"/>
      <c r="G30" s="167"/>
      <c r="H30">
        <f t="shared" si="0"/>
        <v>23</v>
      </c>
    </row>
    <row r="31" spans="1:8" x14ac:dyDescent="0.35">
      <c r="A31">
        <f t="shared" si="1"/>
        <v>24</v>
      </c>
      <c r="B31" s="189" t="s">
        <v>2828</v>
      </c>
      <c r="C31" s="192"/>
      <c r="D31" s="183"/>
      <c r="E31" s="183"/>
      <c r="F31" s="192"/>
      <c r="G31" s="696"/>
      <c r="H31">
        <f t="shared" si="0"/>
        <v>24</v>
      </c>
    </row>
    <row r="32" spans="1:8" x14ac:dyDescent="0.35">
      <c r="A32">
        <f t="shared" si="1"/>
        <v>25</v>
      </c>
      <c r="B32" s="123" t="s">
        <v>2845</v>
      </c>
      <c r="C32" t="s">
        <v>2852</v>
      </c>
      <c r="D32" s="159" t="s">
        <v>34</v>
      </c>
      <c r="E32" s="159" t="s">
        <v>34</v>
      </c>
      <c r="F32" t="s">
        <v>34</v>
      </c>
      <c r="G32" s="167"/>
      <c r="H32">
        <f t="shared" si="0"/>
        <v>25</v>
      </c>
    </row>
    <row r="33" spans="1:8" x14ac:dyDescent="0.35">
      <c r="A33">
        <f t="shared" si="1"/>
        <v>26</v>
      </c>
      <c r="B33" s="123" t="s">
        <v>2847</v>
      </c>
      <c r="C33" t="s">
        <v>2893</v>
      </c>
      <c r="D33" s="159" t="s">
        <v>34</v>
      </c>
      <c r="E33" s="159" t="s">
        <v>34</v>
      </c>
      <c r="F33" t="s">
        <v>34</v>
      </c>
      <c r="G33" s="167"/>
      <c r="H33">
        <f t="shared" si="0"/>
        <v>26</v>
      </c>
    </row>
    <row r="34" spans="1:8" x14ac:dyDescent="0.35">
      <c r="A34">
        <f t="shared" si="1"/>
        <v>27</v>
      </c>
      <c r="B34" s="123"/>
      <c r="D34" s="159"/>
      <c r="E34" s="159"/>
      <c r="G34" s="167"/>
      <c r="H34">
        <f t="shared" si="0"/>
        <v>27</v>
      </c>
    </row>
    <row r="35" spans="1:8" x14ac:dyDescent="0.35">
      <c r="A35">
        <f t="shared" si="1"/>
        <v>28</v>
      </c>
      <c r="B35" s="189" t="s">
        <v>2829</v>
      </c>
      <c r="C35" s="192"/>
      <c r="D35" s="183"/>
      <c r="E35" s="183"/>
      <c r="F35" s="192"/>
      <c r="G35" s="696"/>
      <c r="H35">
        <f t="shared" si="0"/>
        <v>28</v>
      </c>
    </row>
    <row r="36" spans="1:8" x14ac:dyDescent="0.35">
      <c r="A36">
        <f t="shared" si="1"/>
        <v>29</v>
      </c>
      <c r="B36" s="123" t="s">
        <v>2264</v>
      </c>
      <c r="C36" t="s">
        <v>2798</v>
      </c>
      <c r="D36" s="159" t="s">
        <v>34</v>
      </c>
      <c r="E36" s="159" t="s">
        <v>34</v>
      </c>
      <c r="F36" t="s">
        <v>34</v>
      </c>
      <c r="G36" s="167"/>
      <c r="H36">
        <f t="shared" si="0"/>
        <v>29</v>
      </c>
    </row>
    <row r="37" spans="1:8" x14ac:dyDescent="0.35">
      <c r="A37">
        <f t="shared" si="1"/>
        <v>30</v>
      </c>
      <c r="B37" s="123" t="s">
        <v>2859</v>
      </c>
      <c r="C37" t="s">
        <v>2866</v>
      </c>
      <c r="D37" s="159" t="s">
        <v>34</v>
      </c>
      <c r="E37" s="159" t="s">
        <v>34</v>
      </c>
      <c r="F37" t="s">
        <v>34</v>
      </c>
      <c r="G37" s="167"/>
      <c r="H37">
        <f t="shared" si="0"/>
        <v>30</v>
      </c>
    </row>
    <row r="38" spans="1:8" ht="15" thickBot="1" x14ac:dyDescent="0.4">
      <c r="A38">
        <f t="shared" si="1"/>
        <v>31</v>
      </c>
      <c r="B38" s="123"/>
      <c r="D38" s="159"/>
      <c r="E38" s="159"/>
      <c r="G38" s="167"/>
      <c r="H38">
        <f t="shared" si="0"/>
        <v>31</v>
      </c>
    </row>
    <row r="39" spans="1:8" ht="15" thickTop="1" x14ac:dyDescent="0.35">
      <c r="A39">
        <f t="shared" si="1"/>
        <v>32</v>
      </c>
      <c r="B39" s="233" t="s">
        <v>2865</v>
      </c>
      <c r="C39" s="658"/>
      <c r="D39" s="657"/>
      <c r="E39" s="657"/>
      <c r="F39" s="658"/>
      <c r="G39" s="851"/>
      <c r="H39">
        <f t="shared" si="0"/>
        <v>32</v>
      </c>
    </row>
    <row r="40" spans="1:8" x14ac:dyDescent="0.35">
      <c r="A40">
        <f t="shared" si="1"/>
        <v>33</v>
      </c>
      <c r="B40" s="123" t="s">
        <v>2874</v>
      </c>
      <c r="C40" t="s">
        <v>2882</v>
      </c>
      <c r="D40" s="159" t="s">
        <v>2894</v>
      </c>
      <c r="E40" s="159" t="s">
        <v>34</v>
      </c>
      <c r="F40" t="s">
        <v>34</v>
      </c>
      <c r="G40" s="167"/>
      <c r="H40">
        <f t="shared" si="0"/>
        <v>33</v>
      </c>
    </row>
    <row r="41" spans="1:8" x14ac:dyDescent="0.35">
      <c r="A41">
        <f t="shared" si="1"/>
        <v>34</v>
      </c>
      <c r="B41" s="123" t="s">
        <v>2883</v>
      </c>
      <c r="C41" t="s">
        <v>2884</v>
      </c>
      <c r="D41" s="159" t="s">
        <v>34</v>
      </c>
      <c r="E41" s="159" t="s">
        <v>34</v>
      </c>
      <c r="F41" t="s">
        <v>34</v>
      </c>
      <c r="G41" s="167"/>
      <c r="H41">
        <f t="shared" si="0"/>
        <v>34</v>
      </c>
    </row>
    <row r="42" spans="1:8" x14ac:dyDescent="0.35">
      <c r="A42">
        <f t="shared" si="1"/>
        <v>35</v>
      </c>
      <c r="B42" s="123" t="s">
        <v>2885</v>
      </c>
      <c r="C42" t="s">
        <v>2886</v>
      </c>
      <c r="D42" s="159" t="s">
        <v>34</v>
      </c>
      <c r="E42" s="159" t="s">
        <v>34</v>
      </c>
      <c r="F42" t="s">
        <v>34</v>
      </c>
      <c r="G42" s="167"/>
      <c r="H42">
        <f t="shared" si="0"/>
        <v>35</v>
      </c>
    </row>
    <row r="43" spans="1:8" x14ac:dyDescent="0.35">
      <c r="A43">
        <f t="shared" si="1"/>
        <v>36</v>
      </c>
      <c r="B43" s="123" t="s">
        <v>2881</v>
      </c>
      <c r="C43" t="s">
        <v>2895</v>
      </c>
      <c r="D43" s="159" t="s">
        <v>34</v>
      </c>
      <c r="E43" s="159" t="s">
        <v>34</v>
      </c>
      <c r="F43" t="s">
        <v>34</v>
      </c>
      <c r="G43" s="167"/>
      <c r="H43">
        <f t="shared" si="0"/>
        <v>36</v>
      </c>
    </row>
    <row r="44" spans="1:8" x14ac:dyDescent="0.35">
      <c r="A44">
        <f t="shared" si="1"/>
        <v>37</v>
      </c>
      <c r="B44" s="123" t="s">
        <v>2880</v>
      </c>
      <c r="C44" t="s">
        <v>2896</v>
      </c>
      <c r="D44" s="159" t="s">
        <v>34</v>
      </c>
      <c r="E44" s="159" t="s">
        <v>34</v>
      </c>
      <c r="F44" t="s">
        <v>34</v>
      </c>
      <c r="G44" s="167"/>
      <c r="H44">
        <f t="shared" si="0"/>
        <v>37</v>
      </c>
    </row>
    <row r="45" spans="1:8" ht="15" thickBot="1" x14ac:dyDescent="0.4">
      <c r="A45">
        <f t="shared" si="1"/>
        <v>38</v>
      </c>
      <c r="B45" s="123"/>
      <c r="D45" s="159"/>
      <c r="E45" s="159"/>
      <c r="G45" s="167"/>
      <c r="H45">
        <f t="shared" si="0"/>
        <v>38</v>
      </c>
    </row>
    <row r="46" spans="1:8" ht="15" thickTop="1" x14ac:dyDescent="0.35">
      <c r="A46">
        <f t="shared" si="1"/>
        <v>39</v>
      </c>
      <c r="B46" s="233" t="s">
        <v>2905</v>
      </c>
      <c r="C46" s="232" t="s">
        <v>2936</v>
      </c>
      <c r="D46" s="711" t="s">
        <v>2908</v>
      </c>
      <c r="E46" s="657" t="s">
        <v>34</v>
      </c>
      <c r="F46" s="232" t="s">
        <v>2937</v>
      </c>
      <c r="G46" s="676"/>
      <c r="H46">
        <f t="shared" si="0"/>
        <v>39</v>
      </c>
    </row>
    <row r="47" spans="1:8" x14ac:dyDescent="0.35">
      <c r="A47">
        <f t="shared" si="1"/>
        <v>40</v>
      </c>
      <c r="B47" s="123" t="s">
        <v>2898</v>
      </c>
      <c r="C47" t="s">
        <v>34</v>
      </c>
      <c r="D47" s="159" t="s">
        <v>34</v>
      </c>
      <c r="E47" s="159" t="s">
        <v>34</v>
      </c>
      <c r="F47" s="159" t="s">
        <v>2911</v>
      </c>
      <c r="G47" s="167"/>
      <c r="H47">
        <f t="shared" si="0"/>
        <v>40</v>
      </c>
    </row>
    <row r="48" spans="1:8" x14ac:dyDescent="0.35">
      <c r="A48">
        <f t="shared" si="1"/>
        <v>41</v>
      </c>
      <c r="B48" s="123" t="s">
        <v>2897</v>
      </c>
      <c r="C48" t="s">
        <v>34</v>
      </c>
      <c r="D48" s="159" t="s">
        <v>34</v>
      </c>
      <c r="E48" s="159" t="s">
        <v>34</v>
      </c>
      <c r="F48" s="159" t="s">
        <v>2910</v>
      </c>
      <c r="G48" s="167"/>
      <c r="H48">
        <f t="shared" si="0"/>
        <v>41</v>
      </c>
    </row>
    <row r="49" spans="1:8" x14ac:dyDescent="0.35">
      <c r="A49">
        <f t="shared" si="1"/>
        <v>42</v>
      </c>
      <c r="B49" s="123" t="s">
        <v>2907</v>
      </c>
      <c r="C49" t="s">
        <v>34</v>
      </c>
      <c r="D49" s="159" t="s">
        <v>34</v>
      </c>
      <c r="E49" s="159" t="s">
        <v>34</v>
      </c>
      <c r="F49" s="159" t="s">
        <v>34</v>
      </c>
      <c r="G49" s="167"/>
      <c r="H49">
        <f t="shared" si="0"/>
        <v>42</v>
      </c>
    </row>
    <row r="50" spans="1:8" x14ac:dyDescent="0.35">
      <c r="A50">
        <f t="shared" si="1"/>
        <v>43</v>
      </c>
      <c r="B50" s="123" t="s">
        <v>2901</v>
      </c>
      <c r="C50" t="s">
        <v>34</v>
      </c>
      <c r="D50" s="159" t="s">
        <v>34</v>
      </c>
      <c r="E50" s="159" t="s">
        <v>34</v>
      </c>
      <c r="F50" s="159" t="s">
        <v>2912</v>
      </c>
      <c r="G50" s="167"/>
      <c r="H50">
        <f t="shared" si="0"/>
        <v>43</v>
      </c>
    </row>
    <row r="51" spans="1:8" x14ac:dyDescent="0.35">
      <c r="A51">
        <f t="shared" si="1"/>
        <v>44</v>
      </c>
      <c r="B51" s="123" t="s">
        <v>2899</v>
      </c>
      <c r="C51" t="s">
        <v>34</v>
      </c>
      <c r="D51" s="159" t="s">
        <v>34</v>
      </c>
      <c r="E51" s="159" t="s">
        <v>34</v>
      </c>
      <c r="F51" s="159" t="s">
        <v>2913</v>
      </c>
      <c r="G51" s="167"/>
      <c r="H51">
        <f t="shared" si="0"/>
        <v>44</v>
      </c>
    </row>
    <row r="52" spans="1:8" x14ac:dyDescent="0.35">
      <c r="A52">
        <f t="shared" si="1"/>
        <v>45</v>
      </c>
      <c r="B52" s="123" t="s">
        <v>2902</v>
      </c>
      <c r="C52" t="s">
        <v>34</v>
      </c>
      <c r="D52" s="159" t="s">
        <v>34</v>
      </c>
      <c r="E52" s="159" t="s">
        <v>34</v>
      </c>
      <c r="F52" s="159" t="s">
        <v>2914</v>
      </c>
      <c r="G52" s="167"/>
      <c r="H52">
        <f t="shared" si="0"/>
        <v>45</v>
      </c>
    </row>
    <row r="53" spans="1:8" x14ac:dyDescent="0.35">
      <c r="A53">
        <f t="shared" si="1"/>
        <v>46</v>
      </c>
      <c r="B53" s="123" t="s">
        <v>2903</v>
      </c>
      <c r="C53" t="s">
        <v>34</v>
      </c>
      <c r="D53" s="159" t="s">
        <v>34</v>
      </c>
      <c r="E53" s="159" t="s">
        <v>34</v>
      </c>
      <c r="F53" s="159" t="s">
        <v>2915</v>
      </c>
      <c r="G53" s="167"/>
      <c r="H53">
        <f t="shared" si="0"/>
        <v>46</v>
      </c>
    </row>
    <row r="54" spans="1:8" x14ac:dyDescent="0.35">
      <c r="A54">
        <f t="shared" si="1"/>
        <v>47</v>
      </c>
      <c r="B54" s="123" t="s">
        <v>2900</v>
      </c>
      <c r="C54" t="s">
        <v>34</v>
      </c>
      <c r="D54" s="159" t="s">
        <v>34</v>
      </c>
      <c r="E54" s="159" t="s">
        <v>34</v>
      </c>
      <c r="F54" s="159" t="s">
        <v>2916</v>
      </c>
      <c r="G54" s="167"/>
      <c r="H54">
        <f t="shared" si="0"/>
        <v>47</v>
      </c>
    </row>
    <row r="55" spans="1:8" x14ac:dyDescent="0.35">
      <c r="A55">
        <f t="shared" si="1"/>
        <v>48</v>
      </c>
      <c r="B55" s="123" t="s">
        <v>2904</v>
      </c>
      <c r="C55" t="s">
        <v>34</v>
      </c>
      <c r="D55" s="159" t="s">
        <v>34</v>
      </c>
      <c r="E55" s="159" t="s">
        <v>34</v>
      </c>
      <c r="F55" s="159" t="s">
        <v>2917</v>
      </c>
      <c r="G55" s="167"/>
      <c r="H55">
        <f t="shared" si="0"/>
        <v>48</v>
      </c>
    </row>
    <row r="56" spans="1:8" x14ac:dyDescent="0.35">
      <c r="A56">
        <f t="shared" si="1"/>
        <v>49</v>
      </c>
      <c r="B56" s="123" t="s">
        <v>2906</v>
      </c>
      <c r="C56" t="s">
        <v>34</v>
      </c>
      <c r="D56" s="159" t="s">
        <v>34</v>
      </c>
      <c r="E56" s="159" t="s">
        <v>34</v>
      </c>
      <c r="F56" s="159" t="s">
        <v>2918</v>
      </c>
      <c r="G56" s="167"/>
      <c r="H56">
        <f t="shared" si="0"/>
        <v>49</v>
      </c>
    </row>
    <row r="57" spans="1:8" x14ac:dyDescent="0.35">
      <c r="A57">
        <f t="shared" si="1"/>
        <v>50</v>
      </c>
      <c r="B57" s="123" t="s">
        <v>2921</v>
      </c>
      <c r="C57" t="s">
        <v>34</v>
      </c>
      <c r="D57" s="159" t="s">
        <v>34</v>
      </c>
      <c r="E57" s="159" t="s">
        <v>34</v>
      </c>
      <c r="F57" s="159" t="s">
        <v>2922</v>
      </c>
      <c r="G57" s="167"/>
      <c r="H57">
        <f t="shared" si="0"/>
        <v>50</v>
      </c>
    </row>
    <row r="58" spans="1:8" x14ac:dyDescent="0.35">
      <c r="A58">
        <f t="shared" si="1"/>
        <v>51</v>
      </c>
      <c r="B58" s="123" t="s">
        <v>2943</v>
      </c>
      <c r="C58" t="s">
        <v>2947</v>
      </c>
      <c r="D58" s="159" t="s">
        <v>34</v>
      </c>
      <c r="E58" s="159" t="s">
        <v>34</v>
      </c>
      <c r="F58" s="159" t="s">
        <v>34</v>
      </c>
      <c r="G58" s="167"/>
      <c r="H58">
        <f t="shared" si="0"/>
        <v>51</v>
      </c>
    </row>
    <row r="59" spans="1:8" x14ac:dyDescent="0.35">
      <c r="A59">
        <f t="shared" si="1"/>
        <v>52</v>
      </c>
      <c r="B59" s="123" t="s">
        <v>2946</v>
      </c>
      <c r="C59" t="s">
        <v>2945</v>
      </c>
      <c r="D59" s="159" t="s">
        <v>34</v>
      </c>
      <c r="E59" s="159" t="s">
        <v>34</v>
      </c>
      <c r="F59" s="159" t="s">
        <v>34</v>
      </c>
      <c r="G59" s="167"/>
    </row>
    <row r="60" spans="1:8" ht="15" thickBot="1" x14ac:dyDescent="0.4">
      <c r="A60">
        <f t="shared" si="1"/>
        <v>53</v>
      </c>
      <c r="B60" s="123"/>
      <c r="G60" s="25"/>
      <c r="H60">
        <f>H58+1</f>
        <v>52</v>
      </c>
    </row>
    <row r="61" spans="1:8" ht="21.5" thickTop="1" x14ac:dyDescent="0.5">
      <c r="A61">
        <f t="shared" si="1"/>
        <v>54</v>
      </c>
      <c r="B61" s="723" t="s">
        <v>2805</v>
      </c>
      <c r="C61" s="854"/>
      <c r="D61" s="854"/>
      <c r="E61" s="854"/>
      <c r="F61" s="854"/>
      <c r="G61" s="720"/>
      <c r="H61">
        <f t="shared" si="0"/>
        <v>53</v>
      </c>
    </row>
    <row r="62" spans="1:8" ht="15" thickBot="1" x14ac:dyDescent="0.4">
      <c r="A62">
        <f t="shared" si="1"/>
        <v>55</v>
      </c>
      <c r="B62" s="570" t="s">
        <v>2932</v>
      </c>
      <c r="C62" s="565"/>
      <c r="D62" s="565"/>
      <c r="E62" s="565"/>
      <c r="F62" s="565"/>
      <c r="G62" s="855"/>
      <c r="H62">
        <f t="shared" si="0"/>
        <v>54</v>
      </c>
    </row>
    <row r="63" spans="1:8" ht="15" thickTop="1" x14ac:dyDescent="0.35">
      <c r="A63">
        <f t="shared" si="1"/>
        <v>56</v>
      </c>
      <c r="B63" s="137" t="s">
        <v>2935</v>
      </c>
      <c r="C63" t="s">
        <v>2940</v>
      </c>
      <c r="D63" t="s">
        <v>34</v>
      </c>
      <c r="E63" t="s">
        <v>34</v>
      </c>
      <c r="F63" t="s">
        <v>34</v>
      </c>
      <c r="G63" s="25"/>
      <c r="H63">
        <f t="shared" si="0"/>
        <v>55</v>
      </c>
    </row>
    <row r="64" spans="1:8" x14ac:dyDescent="0.35">
      <c r="A64">
        <f t="shared" si="1"/>
        <v>57</v>
      </c>
      <c r="B64" s="123" t="s">
        <v>2941</v>
      </c>
      <c r="C64" t="s">
        <v>2942</v>
      </c>
      <c r="G64" s="25"/>
      <c r="H64">
        <f t="shared" si="0"/>
        <v>56</v>
      </c>
    </row>
    <row r="65" spans="1:8" x14ac:dyDescent="0.35">
      <c r="A65">
        <f t="shared" si="1"/>
        <v>58</v>
      </c>
      <c r="B65" s="123" t="s">
        <v>2944</v>
      </c>
      <c r="G65" s="25"/>
      <c r="H65">
        <f t="shared" si="0"/>
        <v>57</v>
      </c>
    </row>
    <row r="66" spans="1:8" x14ac:dyDescent="0.35">
      <c r="A66">
        <f t="shared" si="1"/>
        <v>59</v>
      </c>
      <c r="B66" s="123" t="s">
        <v>2939</v>
      </c>
      <c r="C66" t="s">
        <v>2933</v>
      </c>
      <c r="D66" t="s">
        <v>34</v>
      </c>
      <c r="E66" t="s">
        <v>34</v>
      </c>
      <c r="F66" t="s">
        <v>34</v>
      </c>
      <c r="G66" s="25"/>
      <c r="H66">
        <f t="shared" si="0"/>
        <v>58</v>
      </c>
    </row>
    <row r="67" spans="1:8" x14ac:dyDescent="0.35">
      <c r="A67">
        <f t="shared" si="1"/>
        <v>60</v>
      </c>
      <c r="B67" s="123" t="s">
        <v>2934</v>
      </c>
      <c r="G67" s="25"/>
      <c r="H67">
        <f t="shared" si="0"/>
        <v>59</v>
      </c>
    </row>
    <row r="68" spans="1:8" x14ac:dyDescent="0.35">
      <c r="A68">
        <f t="shared" si="1"/>
        <v>61</v>
      </c>
      <c r="B68" s="123" t="s">
        <v>2938</v>
      </c>
      <c r="G68" s="25"/>
      <c r="H68">
        <f t="shared" si="0"/>
        <v>60</v>
      </c>
    </row>
    <row r="69" spans="1:8" x14ac:dyDescent="0.35">
      <c r="A69">
        <f t="shared" si="1"/>
        <v>62</v>
      </c>
      <c r="B69" s="123"/>
      <c r="G69" s="25"/>
      <c r="H69">
        <f t="shared" si="0"/>
        <v>61</v>
      </c>
    </row>
    <row r="70" spans="1:8" ht="15" thickBot="1" x14ac:dyDescent="0.4">
      <c r="A70">
        <f t="shared" si="1"/>
        <v>63</v>
      </c>
      <c r="B70" s="112"/>
      <c r="C70" s="14"/>
      <c r="D70" s="14"/>
      <c r="E70" s="14"/>
      <c r="F70" s="14"/>
      <c r="G70" s="28"/>
      <c r="H70">
        <f t="shared" si="0"/>
        <v>62</v>
      </c>
    </row>
    <row r="71" spans="1:8" ht="15" thickTop="1" x14ac:dyDescent="0.35"/>
    <row r="73" spans="1:8" x14ac:dyDescent="0.35">
      <c r="C73" t="s">
        <v>2806</v>
      </c>
    </row>
    <row r="74" spans="1:8" x14ac:dyDescent="0.35">
      <c r="C74" t="s">
        <v>2807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D7B22-C62B-4ACA-A128-13721A0A7328}">
  <dimension ref="A1:M28"/>
  <sheetViews>
    <sheetView zoomScale="120" zoomScaleNormal="120" workbookViewId="0">
      <pane xSplit="2" ySplit="8" topLeftCell="C9" activePane="bottomRight" state="frozen"/>
      <selection pane="topRight" activeCell="C1" sqref="C1"/>
      <selection pane="bottomLeft" activeCell="A9" sqref="A9"/>
      <selection pane="bottomRight" activeCell="B15" sqref="B15"/>
    </sheetView>
  </sheetViews>
  <sheetFormatPr defaultRowHeight="14.5" x14ac:dyDescent="0.35"/>
  <cols>
    <col min="2" max="2" width="39.54296875" customWidth="1"/>
    <col min="3" max="3" width="10.453125" customWidth="1"/>
    <col min="4" max="4" width="48.81640625" customWidth="1"/>
    <col min="6" max="6" width="12.90625" customWidth="1"/>
    <col min="7" max="7" width="13" customWidth="1"/>
    <col min="8" max="8" width="15.6328125" customWidth="1"/>
  </cols>
  <sheetData>
    <row r="1" spans="1:13" ht="28.5" x14ac:dyDescent="0.65">
      <c r="A1" s="1" t="str">
        <f>UkrAid24jan2022ToOct312023!A1</f>
        <v>AQ Islamists advance to Hama, Putin replaces his top Syrian general &amp; much more #69/96</v>
      </c>
    </row>
    <row r="2" spans="1:13" x14ac:dyDescent="0.35">
      <c r="A2" s="434" t="str">
        <f>UkrAid24jan2022ToOct312023!$A$2</f>
        <v>Proprietary. © H. Mathiesen. This material can be used by others free of charge provided that the author H. Mathiesen is attributed and a clickable link is made visible to the location of used material on www.hmexperience.dk</v>
      </c>
    </row>
    <row r="3" spans="1:13" x14ac:dyDescent="0.35">
      <c r="A3" s="456" t="str">
        <f>UkrAid24jan2022ToOct312023!A3</f>
        <v>Links to all sources are available in sources table below</v>
      </c>
      <c r="B3" s="458"/>
      <c r="F3" s="159"/>
    </row>
    <row r="4" spans="1:13" x14ac:dyDescent="0.35">
      <c r="F4" s="159"/>
      <c r="M4" t="s">
        <v>1155</v>
      </c>
    </row>
    <row r="5" spans="1:13" ht="24" thickBot="1" x14ac:dyDescent="0.6">
      <c r="B5" s="435" t="s">
        <v>1164</v>
      </c>
      <c r="C5" s="435"/>
      <c r="D5" s="435"/>
      <c r="E5" s="435"/>
      <c r="F5" s="263"/>
      <c r="G5" s="263"/>
      <c r="H5" s="263"/>
      <c r="I5" s="263"/>
      <c r="J5" s="263"/>
      <c r="K5" s="263"/>
      <c r="L5" s="3"/>
    </row>
    <row r="6" spans="1:13" ht="15" thickTop="1" x14ac:dyDescent="0.35">
      <c r="B6" s="436"/>
      <c r="C6" s="437" t="s">
        <v>1148</v>
      </c>
      <c r="D6" s="438" t="s">
        <v>1147</v>
      </c>
      <c r="E6" s="438" t="s">
        <v>734</v>
      </c>
      <c r="F6" s="438" t="s">
        <v>1156</v>
      </c>
      <c r="G6" s="438" t="s">
        <v>1160</v>
      </c>
      <c r="H6" s="438" t="s">
        <v>1162</v>
      </c>
      <c r="I6" s="438"/>
      <c r="J6" s="438"/>
      <c r="K6" s="558"/>
      <c r="L6" s="3"/>
    </row>
    <row r="7" spans="1:13" x14ac:dyDescent="0.35">
      <c r="B7" s="440"/>
      <c r="C7" s="564" t="s">
        <v>1149</v>
      </c>
      <c r="D7" s="441"/>
      <c r="E7" s="441" t="s">
        <v>733</v>
      </c>
      <c r="F7" s="448" t="s">
        <v>1158</v>
      </c>
      <c r="G7" s="441" t="s">
        <v>1161</v>
      </c>
      <c r="H7" s="441" t="s">
        <v>1163</v>
      </c>
      <c r="I7" s="441"/>
      <c r="J7" s="441"/>
      <c r="K7" s="559"/>
      <c r="L7" s="3"/>
    </row>
    <row r="8" spans="1:13" ht="15" thickBot="1" x14ac:dyDescent="0.4">
      <c r="B8" s="444"/>
      <c r="C8" s="444"/>
      <c r="D8" s="445"/>
      <c r="E8" s="565" t="s">
        <v>1150</v>
      </c>
      <c r="F8" s="565" t="s">
        <v>1157</v>
      </c>
      <c r="G8" s="445"/>
      <c r="H8" s="445"/>
      <c r="I8" s="445"/>
      <c r="J8" s="445"/>
      <c r="K8" s="446"/>
      <c r="L8" s="3"/>
    </row>
    <row r="9" spans="1:13" ht="15" thickTop="1" x14ac:dyDescent="0.35">
      <c r="A9">
        <v>1</v>
      </c>
      <c r="B9" s="181" t="s">
        <v>1146</v>
      </c>
      <c r="C9" s="181"/>
      <c r="D9" s="182"/>
      <c r="E9" s="182"/>
      <c r="F9" s="192"/>
      <c r="G9" s="192"/>
      <c r="H9" s="192"/>
      <c r="I9" s="192"/>
      <c r="J9" s="192"/>
      <c r="K9" s="560"/>
      <c r="L9">
        <v>1</v>
      </c>
    </row>
    <row r="10" spans="1:13" x14ac:dyDescent="0.35">
      <c r="A10">
        <f>A9+1</f>
        <v>2</v>
      </c>
      <c r="B10" s="51" t="s">
        <v>1151</v>
      </c>
      <c r="C10" s="417"/>
      <c r="D10" s="159"/>
      <c r="E10" s="159"/>
      <c r="F10" s="159"/>
      <c r="G10" s="42"/>
      <c r="I10" s="172"/>
      <c r="J10" s="172"/>
      <c r="K10" s="166"/>
      <c r="L10">
        <f>L9+1</f>
        <v>2</v>
      </c>
    </row>
    <row r="11" spans="1:13" x14ac:dyDescent="0.35">
      <c r="A11">
        <f t="shared" ref="A11:A27" si="0">A10+1</f>
        <v>3</v>
      </c>
      <c r="B11" s="51" t="s">
        <v>1152</v>
      </c>
      <c r="C11" s="417"/>
      <c r="D11" s="172"/>
      <c r="E11" s="172"/>
      <c r="F11" s="159"/>
      <c r="G11" s="42"/>
      <c r="I11" s="172"/>
      <c r="J11" s="172"/>
      <c r="K11" s="166"/>
      <c r="L11">
        <f t="shared" ref="L11:L27" si="1">L10+1</f>
        <v>3</v>
      </c>
    </row>
    <row r="12" spans="1:13" x14ac:dyDescent="0.35">
      <c r="A12">
        <f>A11+1</f>
        <v>4</v>
      </c>
      <c r="B12" s="51" t="s">
        <v>1153</v>
      </c>
      <c r="C12" s="417"/>
      <c r="D12" s="159"/>
      <c r="E12" s="159"/>
      <c r="F12" s="159"/>
      <c r="G12" s="42"/>
      <c r="I12" s="172"/>
      <c r="J12" s="172"/>
      <c r="K12" s="166"/>
      <c r="L12">
        <f t="shared" si="1"/>
        <v>4</v>
      </c>
    </row>
    <row r="13" spans="1:13" x14ac:dyDescent="0.35">
      <c r="A13">
        <f t="shared" ref="A13:A17" si="2">A12+1</f>
        <v>5</v>
      </c>
      <c r="B13" s="123" t="s">
        <v>1154</v>
      </c>
      <c r="C13" s="42"/>
      <c r="D13" s="159"/>
      <c r="E13" s="159"/>
      <c r="F13" s="172"/>
      <c r="G13" s="70"/>
      <c r="H13" s="454"/>
      <c r="I13" s="172"/>
      <c r="J13" s="172"/>
      <c r="K13" s="166"/>
      <c r="L13">
        <f t="shared" si="1"/>
        <v>5</v>
      </c>
    </row>
    <row r="14" spans="1:13" x14ac:dyDescent="0.35">
      <c r="A14">
        <f t="shared" si="2"/>
        <v>6</v>
      </c>
      <c r="B14" s="123" t="s">
        <v>1159</v>
      </c>
      <c r="C14" s="42"/>
      <c r="D14" s="159"/>
      <c r="E14" s="159"/>
      <c r="F14" s="172"/>
      <c r="G14" s="70"/>
      <c r="H14" s="561"/>
      <c r="I14" s="172"/>
      <c r="J14" s="172"/>
      <c r="K14" s="166"/>
      <c r="L14">
        <f t="shared" si="1"/>
        <v>6</v>
      </c>
    </row>
    <row r="15" spans="1:13" x14ac:dyDescent="0.35">
      <c r="A15">
        <f t="shared" si="2"/>
        <v>7</v>
      </c>
      <c r="B15" s="123"/>
      <c r="C15" s="42"/>
      <c r="D15" s="159"/>
      <c r="E15" s="159"/>
      <c r="F15" s="172"/>
      <c r="G15" s="70"/>
      <c r="H15" s="454"/>
      <c r="I15" s="172"/>
      <c r="J15" s="172"/>
      <c r="K15" s="166"/>
      <c r="L15">
        <f t="shared" si="1"/>
        <v>7</v>
      </c>
    </row>
    <row r="16" spans="1:13" x14ac:dyDescent="0.35">
      <c r="A16">
        <f t="shared" si="2"/>
        <v>8</v>
      </c>
      <c r="B16" s="123"/>
      <c r="C16" s="42"/>
      <c r="D16" s="159"/>
      <c r="E16" s="159"/>
      <c r="F16" s="172"/>
      <c r="G16" s="70"/>
      <c r="H16" s="454"/>
      <c r="I16" s="172"/>
      <c r="J16" s="172"/>
      <c r="K16" s="166"/>
      <c r="L16">
        <f t="shared" si="1"/>
        <v>8</v>
      </c>
    </row>
    <row r="17" spans="1:12" x14ac:dyDescent="0.35">
      <c r="A17">
        <f t="shared" si="2"/>
        <v>9</v>
      </c>
      <c r="B17" s="51"/>
      <c r="C17" s="417"/>
      <c r="D17" s="159"/>
      <c r="E17" s="159"/>
      <c r="F17" s="159"/>
      <c r="G17" s="42"/>
      <c r="I17" s="172"/>
      <c r="J17" s="172"/>
      <c r="K17" s="166"/>
      <c r="L17">
        <f t="shared" si="1"/>
        <v>9</v>
      </c>
    </row>
    <row r="18" spans="1:12" x14ac:dyDescent="0.35">
      <c r="A18">
        <f t="shared" si="0"/>
        <v>10</v>
      </c>
      <c r="B18" s="181" t="s">
        <v>1165</v>
      </c>
      <c r="C18" s="463"/>
      <c r="D18" s="183"/>
      <c r="E18" s="183"/>
      <c r="F18" s="183"/>
      <c r="G18" s="562"/>
      <c r="H18" s="192"/>
      <c r="I18" s="182"/>
      <c r="J18" s="182"/>
      <c r="K18" s="563"/>
      <c r="L18">
        <f t="shared" si="1"/>
        <v>10</v>
      </c>
    </row>
    <row r="19" spans="1:12" x14ac:dyDescent="0.35">
      <c r="A19">
        <f t="shared" si="0"/>
        <v>11</v>
      </c>
      <c r="B19" s="123"/>
      <c r="C19" s="42"/>
      <c r="D19" s="172"/>
      <c r="E19" s="159"/>
      <c r="F19" s="172"/>
      <c r="G19" s="42"/>
      <c r="I19" s="172"/>
      <c r="J19" s="172"/>
      <c r="K19" s="166"/>
      <c r="L19">
        <f t="shared" si="1"/>
        <v>11</v>
      </c>
    </row>
    <row r="20" spans="1:12" x14ac:dyDescent="0.35">
      <c r="A20">
        <f t="shared" si="0"/>
        <v>12</v>
      </c>
      <c r="B20" s="123"/>
      <c r="C20" s="42"/>
      <c r="D20" s="172"/>
      <c r="E20" s="159"/>
      <c r="F20" s="172"/>
      <c r="G20" s="42"/>
      <c r="I20" s="172"/>
      <c r="J20" s="172"/>
      <c r="K20" s="166"/>
      <c r="L20">
        <f t="shared" si="1"/>
        <v>12</v>
      </c>
    </row>
    <row r="21" spans="1:12" x14ac:dyDescent="0.35">
      <c r="A21">
        <f t="shared" si="0"/>
        <v>13</v>
      </c>
      <c r="B21" s="123"/>
      <c r="C21" s="42"/>
      <c r="D21" s="172"/>
      <c r="E21" s="159"/>
      <c r="F21" s="172"/>
      <c r="G21" s="42"/>
      <c r="I21" s="172"/>
      <c r="J21" s="172"/>
      <c r="K21" s="166"/>
      <c r="L21">
        <f t="shared" si="1"/>
        <v>13</v>
      </c>
    </row>
    <row r="22" spans="1:12" x14ac:dyDescent="0.35">
      <c r="A22">
        <f t="shared" si="0"/>
        <v>14</v>
      </c>
      <c r="B22" s="123"/>
      <c r="C22" s="42"/>
      <c r="D22" s="172"/>
      <c r="E22" s="159"/>
      <c r="F22" s="172"/>
      <c r="G22" s="42"/>
      <c r="I22" s="172"/>
      <c r="J22" s="172"/>
      <c r="K22" s="166"/>
      <c r="L22">
        <f t="shared" si="1"/>
        <v>14</v>
      </c>
    </row>
    <row r="23" spans="1:12" x14ac:dyDescent="0.35">
      <c r="A23">
        <f t="shared" si="0"/>
        <v>15</v>
      </c>
      <c r="B23" s="189" t="s">
        <v>1166</v>
      </c>
      <c r="C23" s="192"/>
      <c r="D23" s="192"/>
      <c r="E23" s="192"/>
      <c r="F23" s="192"/>
      <c r="G23" s="192"/>
      <c r="H23" s="192"/>
      <c r="I23" s="192"/>
      <c r="J23" s="192"/>
      <c r="K23" s="560"/>
      <c r="L23">
        <f t="shared" si="1"/>
        <v>15</v>
      </c>
    </row>
    <row r="24" spans="1:12" x14ac:dyDescent="0.35">
      <c r="A24">
        <f t="shared" si="0"/>
        <v>16</v>
      </c>
      <c r="B24" s="123"/>
      <c r="K24" s="25"/>
      <c r="L24">
        <f t="shared" si="1"/>
        <v>16</v>
      </c>
    </row>
    <row r="25" spans="1:12" x14ac:dyDescent="0.35">
      <c r="A25">
        <f t="shared" si="0"/>
        <v>17</v>
      </c>
      <c r="B25" s="123"/>
      <c r="K25" s="25"/>
      <c r="L25">
        <f t="shared" si="1"/>
        <v>17</v>
      </c>
    </row>
    <row r="26" spans="1:12" x14ac:dyDescent="0.35">
      <c r="A26">
        <f t="shared" si="0"/>
        <v>18</v>
      </c>
      <c r="B26" s="123"/>
      <c r="K26" s="25"/>
      <c r="L26">
        <f t="shared" si="1"/>
        <v>18</v>
      </c>
    </row>
    <row r="27" spans="1:12" ht="15" thickBot="1" x14ac:dyDescent="0.4">
      <c r="A27">
        <f t="shared" si="0"/>
        <v>19</v>
      </c>
      <c r="B27" s="112"/>
      <c r="C27" s="14"/>
      <c r="D27" s="14"/>
      <c r="E27" s="14"/>
      <c r="F27" s="14"/>
      <c r="G27" s="14"/>
      <c r="H27" s="14"/>
      <c r="I27" s="14"/>
      <c r="J27" s="14"/>
      <c r="K27" s="28"/>
      <c r="L27">
        <f t="shared" si="1"/>
        <v>19</v>
      </c>
    </row>
    <row r="28" spans="1:12" ht="15" thickTop="1" x14ac:dyDescent="0.3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2DE49-FA27-4E6C-95C2-0E1D616FDD49}">
  <dimension ref="A1:BV96"/>
  <sheetViews>
    <sheetView zoomScaleNormal="100" workbookViewId="0">
      <pane xSplit="3" ySplit="9" topLeftCell="D10" activePane="bottomRight" state="frozen"/>
      <selection pane="topRight" activeCell="D1" sqref="D1"/>
      <selection pane="bottomLeft" activeCell="A10" sqref="A10"/>
      <selection pane="bottomRight" activeCell="M4" sqref="M4"/>
    </sheetView>
  </sheetViews>
  <sheetFormatPr defaultRowHeight="14.5" x14ac:dyDescent="0.35"/>
  <cols>
    <col min="2" max="2" width="3.81640625" customWidth="1"/>
    <col min="3" max="3" width="31" customWidth="1"/>
    <col min="4" max="4" width="14.08984375" customWidth="1"/>
    <col min="5" max="5" width="14.81640625" customWidth="1"/>
    <col min="6" max="6" width="12.08984375" customWidth="1"/>
    <col min="7" max="7" width="11" customWidth="1"/>
    <col min="8" max="10" width="14.81640625" customWidth="1"/>
    <col min="11" max="11" width="14.7265625" customWidth="1"/>
    <col min="12" max="12" width="9.453125" customWidth="1"/>
    <col min="13" max="13" width="7.90625" customWidth="1"/>
    <col min="14" max="15" width="11.1796875" customWidth="1"/>
    <col min="16" max="16" width="9.90625" customWidth="1"/>
    <col min="17" max="17" width="9.453125" customWidth="1"/>
    <col min="18" max="18" width="9.6328125" customWidth="1"/>
    <col min="19" max="19" width="8.54296875" customWidth="1"/>
    <col min="20" max="21" width="11.1796875" customWidth="1"/>
    <col min="22" max="22" width="9.90625" customWidth="1"/>
    <col min="23" max="23" width="9.453125" customWidth="1"/>
    <col min="24" max="24" width="9.6328125" customWidth="1"/>
    <col min="25" max="25" width="8.54296875" customWidth="1"/>
    <col min="26" max="27" width="11.1796875" customWidth="1"/>
    <col min="28" max="28" width="9.90625" customWidth="1"/>
    <col min="29" max="30" width="9.453125" customWidth="1"/>
    <col min="31" max="31" width="8.1796875" customWidth="1"/>
    <col min="32" max="33" width="11.1796875" customWidth="1"/>
    <col min="34" max="36" width="9.453125" customWidth="1"/>
    <col min="37" max="37" width="8.1796875" customWidth="1"/>
    <col min="38" max="39" width="11.1796875" customWidth="1"/>
    <col min="40" max="41" width="9.453125" customWidth="1"/>
    <col min="43" max="43" width="3.81640625" customWidth="1"/>
    <col min="44" max="44" width="30.7265625" customWidth="1"/>
    <col min="45" max="45" width="14.6328125" customWidth="1"/>
    <col min="46" max="46" width="11.1796875" customWidth="1"/>
    <col min="47" max="47" width="9.36328125" customWidth="1"/>
    <col min="48" max="48" width="8.90625" customWidth="1"/>
    <col min="49" max="50" width="10.90625" customWidth="1"/>
    <col min="51" max="52" width="9.26953125" customWidth="1"/>
    <col min="54" max="54" width="3.81640625" customWidth="1"/>
    <col min="55" max="55" width="30.7265625" customWidth="1"/>
    <col min="56" max="56" width="14.6328125" customWidth="1"/>
    <col min="57" max="57" width="11.1796875" customWidth="1"/>
    <col min="58" max="58" width="9.36328125" customWidth="1"/>
    <col min="59" max="59" width="9.08984375" customWidth="1"/>
    <col min="60" max="61" width="10.6328125" customWidth="1"/>
    <col min="62" max="62" width="9.1796875" customWidth="1"/>
    <col min="63" max="63" width="9.453125" customWidth="1"/>
    <col min="65" max="65" width="3.81640625" customWidth="1"/>
    <col min="66" max="66" width="30.7265625" customWidth="1"/>
    <col min="67" max="67" width="14.6328125" customWidth="1"/>
    <col min="68" max="68" width="11.1796875" customWidth="1"/>
    <col min="69" max="70" width="11" customWidth="1"/>
    <col min="71" max="71" width="9.81640625" customWidth="1"/>
    <col min="72" max="72" width="10.90625" customWidth="1"/>
    <col min="73" max="73" width="10.81640625" customWidth="1"/>
    <col min="74" max="74" width="10.26953125" customWidth="1"/>
  </cols>
  <sheetData>
    <row r="1" spans="1:74" ht="28.5" x14ac:dyDescent="0.65">
      <c r="A1" s="1" t="str">
        <f>UkrAid24jan2022ToOct312023!A1</f>
        <v>AQ Islamists advance to Hama, Putin replaces his top Syrian general &amp; much more #69/96</v>
      </c>
    </row>
    <row r="2" spans="1:74" x14ac:dyDescent="0.35">
      <c r="A2" s="434" t="str">
        <f>UkrAid24jan2022ToOct312023!A2</f>
        <v>Proprietary. © H. Mathiesen. This material can be used by others free of charge provided that the author H. Mathiesen is attributed and a clickable link is made visible to the location of used material on www.hmexperience.dk</v>
      </c>
    </row>
    <row r="3" spans="1:74" ht="15.5" x14ac:dyDescent="0.35">
      <c r="A3" s="459" t="str">
        <f>UkrAid24jan2022ToOct312023!A3</f>
        <v>Links to all sources are available in sources table below</v>
      </c>
      <c r="B3" s="458"/>
      <c r="C3" s="458"/>
      <c r="D3" s="458"/>
    </row>
    <row r="4" spans="1:74" ht="15.5" x14ac:dyDescent="0.35">
      <c r="A4" s="235"/>
      <c r="M4">
        <f>DATEDIF($D$9,H9,"D")</f>
        <v>476</v>
      </c>
      <c r="S4">
        <f>DATEDIF($D$9,I9,"D")</f>
        <v>751</v>
      </c>
      <c r="Y4">
        <f>DATEDIF($D$9,J9,"D")</f>
        <v>777</v>
      </c>
      <c r="AE4">
        <f>DATEDIF($H9,I9,"D")</f>
        <v>275</v>
      </c>
      <c r="AK4">
        <f>DATEDIF($H9,J9,"D")</f>
        <v>301</v>
      </c>
      <c r="AV4">
        <f>Y4</f>
        <v>777</v>
      </c>
      <c r="BG4">
        <f>AK4</f>
        <v>301</v>
      </c>
    </row>
    <row r="5" spans="1:74" ht="21.5" thickBot="1" x14ac:dyDescent="0.55000000000000004">
      <c r="B5" s="447" t="s">
        <v>295</v>
      </c>
      <c r="C5" s="448"/>
      <c r="D5" s="448"/>
      <c r="E5" s="448"/>
      <c r="F5" s="448"/>
      <c r="G5" s="448"/>
      <c r="H5" s="448"/>
      <c r="I5" s="448"/>
      <c r="J5" s="448"/>
      <c r="K5" s="448"/>
      <c r="L5" s="448"/>
      <c r="M5" s="448"/>
      <c r="N5" s="448"/>
      <c r="O5" s="448"/>
      <c r="P5" s="448"/>
      <c r="Q5" s="448"/>
      <c r="R5" s="448"/>
      <c r="S5" s="448"/>
      <c r="T5" s="448"/>
      <c r="U5" s="448"/>
      <c r="V5" s="448"/>
      <c r="W5" s="448"/>
      <c r="X5" s="448"/>
      <c r="Y5" s="448"/>
      <c r="Z5" s="448"/>
      <c r="AA5" s="448"/>
      <c r="AB5" s="448"/>
      <c r="AC5" s="448"/>
      <c r="AD5" s="448"/>
      <c r="AE5" s="448"/>
      <c r="AF5" s="448"/>
      <c r="AG5" s="448"/>
      <c r="AH5" s="448"/>
      <c r="AI5" s="448"/>
      <c r="AJ5" s="448"/>
      <c r="AK5" s="448"/>
      <c r="AL5" s="448"/>
      <c r="AM5" s="448"/>
      <c r="AN5" s="448"/>
      <c r="AO5" s="448"/>
      <c r="AQ5" s="447" t="s">
        <v>321</v>
      </c>
      <c r="AR5" s="448"/>
      <c r="AS5" s="448"/>
      <c r="AT5" s="448"/>
      <c r="AU5" s="448"/>
      <c r="AV5" s="448"/>
      <c r="AW5" s="448"/>
      <c r="AX5" s="448"/>
      <c r="AY5" s="448"/>
      <c r="AZ5" s="448"/>
      <c r="BB5" s="447" t="s">
        <v>379</v>
      </c>
      <c r="BC5" s="448"/>
      <c r="BD5" s="448"/>
      <c r="BE5" s="448"/>
      <c r="BF5" s="448"/>
      <c r="BG5" s="448"/>
      <c r="BH5" s="448"/>
      <c r="BI5" s="448"/>
      <c r="BJ5" s="448"/>
      <c r="BK5" s="448"/>
      <c r="BM5" s="447" t="s">
        <v>576</v>
      </c>
      <c r="BN5" s="448"/>
      <c r="BO5" s="448"/>
      <c r="BP5" s="448"/>
      <c r="BQ5" s="448"/>
      <c r="BR5" s="448"/>
      <c r="BS5" s="448"/>
      <c r="BT5" s="448"/>
      <c r="BU5" s="448"/>
      <c r="BV5" s="448"/>
    </row>
    <row r="6" spans="1:74" ht="19.5" thickTop="1" thickBot="1" x14ac:dyDescent="0.5">
      <c r="B6" s="236"/>
      <c r="C6" s="352"/>
      <c r="D6" s="246"/>
      <c r="E6" s="354"/>
      <c r="F6" s="354"/>
      <c r="G6" s="354"/>
      <c r="H6" s="354"/>
      <c r="I6" s="354"/>
      <c r="J6" s="354"/>
      <c r="K6" s="355"/>
      <c r="L6" s="238" t="s">
        <v>235</v>
      </c>
      <c r="M6" s="239"/>
      <c r="N6" s="239"/>
      <c r="O6" s="239"/>
      <c r="P6" s="239"/>
      <c r="Q6" s="239"/>
      <c r="R6" s="240" t="s">
        <v>236</v>
      </c>
      <c r="S6" s="241"/>
      <c r="T6" s="241"/>
      <c r="U6" s="241"/>
      <c r="V6" s="241"/>
      <c r="W6" s="242"/>
      <c r="X6" s="240" t="s">
        <v>368</v>
      </c>
      <c r="Y6" s="241"/>
      <c r="Z6" s="241"/>
      <c r="AA6" s="241"/>
      <c r="AB6" s="241"/>
      <c r="AC6" s="242"/>
      <c r="AD6" s="243" t="s">
        <v>237</v>
      </c>
      <c r="AE6" s="244"/>
      <c r="AF6" s="244"/>
      <c r="AG6" s="244"/>
      <c r="AH6" s="244"/>
      <c r="AI6" s="245"/>
      <c r="AJ6" s="243" t="s">
        <v>370</v>
      </c>
      <c r="AK6" s="244"/>
      <c r="AL6" s="244"/>
      <c r="AM6" s="244"/>
      <c r="AN6" s="244"/>
      <c r="AO6" s="245"/>
      <c r="AQ6" s="362" t="s">
        <v>318</v>
      </c>
      <c r="AR6" s="365"/>
      <c r="AS6" s="246" t="s">
        <v>317</v>
      </c>
      <c r="AT6" s="323" t="s">
        <v>325</v>
      </c>
      <c r="AU6" s="371" t="s">
        <v>368</v>
      </c>
      <c r="AV6" s="241"/>
      <c r="AW6" s="241"/>
      <c r="AX6" s="241"/>
      <c r="AY6" s="241"/>
      <c r="AZ6" s="242"/>
      <c r="BB6" s="362" t="s">
        <v>318</v>
      </c>
      <c r="BC6" s="237"/>
      <c r="BD6" s="323" t="s">
        <v>317</v>
      </c>
      <c r="BE6" s="323" t="str">
        <f>AT6</f>
        <v>Likely</v>
      </c>
      <c r="BF6" s="243" t="s">
        <v>371</v>
      </c>
      <c r="BG6" s="244"/>
      <c r="BH6" s="244"/>
      <c r="BI6" s="244"/>
      <c r="BJ6" s="244"/>
      <c r="BK6" s="245"/>
      <c r="BM6" s="236"/>
      <c r="BN6" s="237"/>
      <c r="BO6" s="323" t="s">
        <v>317</v>
      </c>
      <c r="BP6" s="323" t="str">
        <f>BE6</f>
        <v>Likely</v>
      </c>
      <c r="BQ6" s="249" t="s">
        <v>372</v>
      </c>
      <c r="BR6" s="250"/>
      <c r="BS6" s="242"/>
      <c r="BT6" s="243" t="s">
        <v>373</v>
      </c>
      <c r="BU6" s="243"/>
      <c r="BV6" s="245"/>
    </row>
    <row r="7" spans="1:74" ht="15" thickTop="1" x14ac:dyDescent="0.35">
      <c r="B7" s="236" t="s">
        <v>233</v>
      </c>
      <c r="C7" s="352" t="s">
        <v>234</v>
      </c>
      <c r="D7" s="246" t="s">
        <v>238</v>
      </c>
      <c r="E7" s="358" t="s">
        <v>239</v>
      </c>
      <c r="F7" s="358" t="s">
        <v>304</v>
      </c>
      <c r="G7" s="358" t="str">
        <f>F7</f>
        <v>Russian new</v>
      </c>
      <c r="H7" s="358" t="s">
        <v>239</v>
      </c>
      <c r="I7" s="358" t="s">
        <v>239</v>
      </c>
      <c r="J7" s="358" t="s">
        <v>239</v>
      </c>
      <c r="K7" s="359" t="s">
        <v>240</v>
      </c>
      <c r="L7" s="247" t="s">
        <v>241</v>
      </c>
      <c r="M7" s="247" t="s">
        <v>241</v>
      </c>
      <c r="N7" s="247" t="s">
        <v>316</v>
      </c>
      <c r="O7" s="247" t="s">
        <v>382</v>
      </c>
      <c r="P7" s="247" t="s">
        <v>242</v>
      </c>
      <c r="Q7" s="248" t="s">
        <v>243</v>
      </c>
      <c r="R7" s="249" t="str">
        <f>$L7</f>
        <v>Russian</v>
      </c>
      <c r="S7" s="250" t="str">
        <f>$M7</f>
        <v>Russian</v>
      </c>
      <c r="T7" s="250" t="str">
        <f>$N7</f>
        <v>Russian avg.</v>
      </c>
      <c r="U7" s="250" t="str">
        <f>$O7</f>
        <v>Months left</v>
      </c>
      <c r="V7" s="250" t="str">
        <f>$P7</f>
        <v>Ukraine</v>
      </c>
      <c r="W7" s="251" t="str">
        <f>$Q7</f>
        <v>Kill ratios</v>
      </c>
      <c r="X7" s="249" t="str">
        <f>$L7</f>
        <v>Russian</v>
      </c>
      <c r="Y7" s="250" t="str">
        <f>$M7</f>
        <v>Russian</v>
      </c>
      <c r="Z7" s="250" t="str">
        <f>$N7</f>
        <v>Russian avg.</v>
      </c>
      <c r="AA7" s="250" t="str">
        <f>$O7</f>
        <v>Months left</v>
      </c>
      <c r="AB7" s="250" t="str">
        <f>$P7</f>
        <v>Ukraine</v>
      </c>
      <c r="AC7" s="251" t="str">
        <f>$Q7</f>
        <v>Kill ratios</v>
      </c>
      <c r="AD7" s="252" t="str">
        <f>$L7</f>
        <v>Russian</v>
      </c>
      <c r="AE7" s="253" t="str">
        <f>$M7</f>
        <v>Russian</v>
      </c>
      <c r="AF7" s="253" t="str">
        <f>$N7</f>
        <v>Russian avg.</v>
      </c>
      <c r="AG7" s="253" t="str">
        <f>$O7</f>
        <v>Months left</v>
      </c>
      <c r="AH7" s="253" t="str">
        <f>$P7</f>
        <v>Ukraine</v>
      </c>
      <c r="AI7" s="254" t="str">
        <f>$Q7</f>
        <v>Kill ratios</v>
      </c>
      <c r="AJ7" s="252" t="str">
        <f>$L7</f>
        <v>Russian</v>
      </c>
      <c r="AK7" s="253" t="str">
        <f>$M7</f>
        <v>Russian</v>
      </c>
      <c r="AL7" s="253" t="str">
        <f>$N7</f>
        <v>Russian avg.</v>
      </c>
      <c r="AM7" s="253" t="str">
        <f>$O7</f>
        <v>Months left</v>
      </c>
      <c r="AN7" s="253" t="str">
        <f>$P7</f>
        <v>Ukraine</v>
      </c>
      <c r="AO7" s="254" t="str">
        <f>$Q7</f>
        <v>Kill ratios</v>
      </c>
      <c r="AQ7" s="363" t="s">
        <v>319</v>
      </c>
      <c r="AR7" s="361">
        <f>AV4</f>
        <v>777</v>
      </c>
      <c r="AS7" s="257" t="s">
        <v>239</v>
      </c>
      <c r="AT7" s="324" t="str">
        <f>G7</f>
        <v>Russian new</v>
      </c>
      <c r="AU7" s="250" t="str">
        <f>$L7</f>
        <v>Russian</v>
      </c>
      <c r="AV7" s="250" t="str">
        <f>$M7</f>
        <v>Russian</v>
      </c>
      <c r="AW7" s="250" t="str">
        <f>$N7</f>
        <v>Russian avg.</v>
      </c>
      <c r="AX7" s="250" t="str">
        <f>$O7</f>
        <v>Months left</v>
      </c>
      <c r="AY7" s="250" t="str">
        <f>$P7</f>
        <v>Ukraine</v>
      </c>
      <c r="AZ7" s="251" t="str">
        <f>$Q7</f>
        <v>Kill ratios</v>
      </c>
      <c r="BB7" s="363" t="s">
        <v>319</v>
      </c>
      <c r="BC7" s="342">
        <f>BG4</f>
        <v>301</v>
      </c>
      <c r="BD7" s="324" t="s">
        <v>239</v>
      </c>
      <c r="BE7" s="324" t="str">
        <f>G7</f>
        <v>Russian new</v>
      </c>
      <c r="BF7" s="253" t="str">
        <f>$L7</f>
        <v>Russian</v>
      </c>
      <c r="BG7" s="253" t="str">
        <f>$M7</f>
        <v>Russian</v>
      </c>
      <c r="BH7" s="253" t="str">
        <f>$N7</f>
        <v>Russian avg.</v>
      </c>
      <c r="BI7" s="253" t="str">
        <f>$O7</f>
        <v>Months left</v>
      </c>
      <c r="BJ7" s="253" t="str">
        <f>$P7</f>
        <v>Ukraine</v>
      </c>
      <c r="BK7" s="254" t="str">
        <f>$Q7</f>
        <v>Kill ratios</v>
      </c>
      <c r="BM7" s="351"/>
      <c r="BN7" s="342"/>
      <c r="BO7" s="324" t="s">
        <v>239</v>
      </c>
      <c r="BP7" s="324" t="str">
        <f>G7</f>
        <v>Russian new</v>
      </c>
      <c r="BQ7" s="250" t="str">
        <f>$N7</f>
        <v>Russian avg.</v>
      </c>
      <c r="BR7" s="250" t="str">
        <f>$O7</f>
        <v>Months left</v>
      </c>
      <c r="BS7" s="251" t="str">
        <f>$Q7</f>
        <v>Kill ratios</v>
      </c>
      <c r="BT7" s="253" t="str">
        <f>$N7</f>
        <v>Russian avg.</v>
      </c>
      <c r="BU7" s="253" t="str">
        <f>$O7</f>
        <v>Months left</v>
      </c>
      <c r="BV7" s="254" t="str">
        <f>$Q7</f>
        <v>Kill ratios</v>
      </c>
    </row>
    <row r="8" spans="1:74" x14ac:dyDescent="0.35">
      <c r="B8" s="255"/>
      <c r="C8" s="353"/>
      <c r="D8" s="257" t="s">
        <v>244</v>
      </c>
      <c r="E8" s="258" t="s">
        <v>245</v>
      </c>
      <c r="F8" s="258" t="s">
        <v>305</v>
      </c>
      <c r="G8" s="258" t="str">
        <f>F8</f>
        <v>production</v>
      </c>
      <c r="H8" s="258" t="s">
        <v>245</v>
      </c>
      <c r="I8" s="258" t="s">
        <v>245</v>
      </c>
      <c r="J8" s="258" t="s">
        <v>245</v>
      </c>
      <c r="K8" s="259" t="s">
        <v>245</v>
      </c>
      <c r="L8" s="260" t="s">
        <v>246</v>
      </c>
      <c r="M8" s="260" t="s">
        <v>247</v>
      </c>
      <c r="N8" s="260" t="s">
        <v>314</v>
      </c>
      <c r="O8" s="260" t="s">
        <v>380</v>
      </c>
      <c r="P8" s="260" t="str">
        <f>L8</f>
        <v xml:space="preserve">losses </v>
      </c>
      <c r="Q8" s="261" t="s">
        <v>248</v>
      </c>
      <c r="R8" s="262" t="str">
        <f>$L8</f>
        <v xml:space="preserve">losses </v>
      </c>
      <c r="S8" s="263" t="str">
        <f>$M8</f>
        <v>losses</v>
      </c>
      <c r="T8" s="263" t="str">
        <f>$N8</f>
        <v>losses unco.</v>
      </c>
      <c r="U8" s="263" t="str">
        <f>$O8</f>
        <v xml:space="preserve">to depletion </v>
      </c>
      <c r="V8" s="263" t="str">
        <f>$P8</f>
        <v xml:space="preserve">losses </v>
      </c>
      <c r="W8" s="264" t="str">
        <f>$Q8</f>
        <v>RUS/UKR</v>
      </c>
      <c r="X8" s="262" t="str">
        <f>$L8</f>
        <v xml:space="preserve">losses </v>
      </c>
      <c r="Y8" s="263" t="str">
        <f>$M8</f>
        <v>losses</v>
      </c>
      <c r="Z8" s="263" t="str">
        <f>$N8</f>
        <v>losses unco.</v>
      </c>
      <c r="AA8" s="263" t="str">
        <f>$O8</f>
        <v xml:space="preserve">to depletion </v>
      </c>
      <c r="AB8" s="263" t="str">
        <f>$P8</f>
        <v xml:space="preserve">losses </v>
      </c>
      <c r="AC8" s="264" t="str">
        <f>$Q8</f>
        <v>RUS/UKR</v>
      </c>
      <c r="AD8" s="265" t="str">
        <f>$L8</f>
        <v xml:space="preserve">losses </v>
      </c>
      <c r="AE8" s="266" t="str">
        <f>$M8</f>
        <v>losses</v>
      </c>
      <c r="AF8" s="266" t="str">
        <f>$N8</f>
        <v>losses unco.</v>
      </c>
      <c r="AG8" s="266" t="str">
        <f>$O8</f>
        <v xml:space="preserve">to depletion </v>
      </c>
      <c r="AH8" s="266" t="str">
        <f>$P8</f>
        <v xml:space="preserve">losses </v>
      </c>
      <c r="AI8" s="267" t="str">
        <f>$Q8</f>
        <v>RUS/UKR</v>
      </c>
      <c r="AJ8" s="265" t="str">
        <f>$L8</f>
        <v xml:space="preserve">losses </v>
      </c>
      <c r="AK8" s="266" t="str">
        <f>$M8</f>
        <v>losses</v>
      </c>
      <c r="AL8" s="266" t="str">
        <f>$N8</f>
        <v>losses unco.</v>
      </c>
      <c r="AM8" s="266" t="str">
        <f>$O8</f>
        <v xml:space="preserve">to depletion </v>
      </c>
      <c r="AN8" s="266" t="str">
        <f>$P8</f>
        <v xml:space="preserve">losses </v>
      </c>
      <c r="AO8" s="267" t="str">
        <f>$Q8</f>
        <v>RUS/UKR</v>
      </c>
      <c r="AQ8" s="363" t="s">
        <v>320</v>
      </c>
      <c r="AR8" s="361">
        <f>DATEDIF($D$9,J9,"M")</f>
        <v>25</v>
      </c>
      <c r="AS8" s="257" t="s">
        <v>245</v>
      </c>
      <c r="AT8" s="324" t="str">
        <f t="shared" ref="AT8:AT9" si="0">G8</f>
        <v>production</v>
      </c>
      <c r="AU8" s="263" t="str">
        <f>$L8</f>
        <v xml:space="preserve">losses </v>
      </c>
      <c r="AV8" s="263" t="str">
        <f>$M8</f>
        <v>losses</v>
      </c>
      <c r="AW8" s="263" t="str">
        <f>$N8</f>
        <v>losses unco.</v>
      </c>
      <c r="AX8" s="263" t="str">
        <f>$O8</f>
        <v xml:space="preserve">to depletion </v>
      </c>
      <c r="AY8" s="263" t="str">
        <f>$P8</f>
        <v xml:space="preserve">losses </v>
      </c>
      <c r="AZ8" s="264" t="str">
        <f>$Q8</f>
        <v>RUS/UKR</v>
      </c>
      <c r="BB8" s="363" t="s">
        <v>320</v>
      </c>
      <c r="BC8" s="364">
        <f>DATEDIF(H9,J9,"m")</f>
        <v>9</v>
      </c>
      <c r="BD8" s="324" t="s">
        <v>245</v>
      </c>
      <c r="BE8" s="324" t="str">
        <f>G8</f>
        <v>production</v>
      </c>
      <c r="BF8" s="266" t="str">
        <f>$L8</f>
        <v xml:space="preserve">losses </v>
      </c>
      <c r="BG8" s="266" t="str">
        <f>$M8</f>
        <v>losses</v>
      </c>
      <c r="BH8" s="266" t="str">
        <f>$N8</f>
        <v>losses unco.</v>
      </c>
      <c r="BI8" s="266" t="str">
        <f>$O8</f>
        <v xml:space="preserve">to depletion </v>
      </c>
      <c r="BJ8" s="266" t="str">
        <f>$P8</f>
        <v xml:space="preserve">losses </v>
      </c>
      <c r="BK8" s="267" t="str">
        <f>$Q8</f>
        <v>RUS/UKR</v>
      </c>
      <c r="BM8" s="255"/>
      <c r="BN8" s="342"/>
      <c r="BO8" s="324" t="s">
        <v>245</v>
      </c>
      <c r="BP8" s="324" t="str">
        <f>G8</f>
        <v>production</v>
      </c>
      <c r="BQ8" s="263" t="str">
        <f>$N8</f>
        <v>losses unco.</v>
      </c>
      <c r="BR8" s="263" t="str">
        <f>$O8</f>
        <v xml:space="preserve">to depletion </v>
      </c>
      <c r="BS8" s="264" t="str">
        <f>$Q8</f>
        <v>RUS/UKR</v>
      </c>
      <c r="BT8" s="266" t="str">
        <f>$N8</f>
        <v>losses unco.</v>
      </c>
      <c r="BU8" s="266" t="str">
        <f>$O8</f>
        <v xml:space="preserve">to depletion </v>
      </c>
      <c r="BV8" s="267" t="str">
        <f>$Q8</f>
        <v>RUS/UKR</v>
      </c>
    </row>
    <row r="9" spans="1:74" ht="15" customHeight="1" thickBot="1" x14ac:dyDescent="0.5">
      <c r="B9" s="356"/>
      <c r="C9" s="357"/>
      <c r="D9" s="337">
        <v>44616</v>
      </c>
      <c r="E9" s="338">
        <f>D9</f>
        <v>44616</v>
      </c>
      <c r="F9" s="270" t="s">
        <v>306</v>
      </c>
      <c r="G9" s="270" t="s">
        <v>323</v>
      </c>
      <c r="H9" s="338">
        <v>45092</v>
      </c>
      <c r="I9" s="338">
        <v>45367</v>
      </c>
      <c r="J9" s="338">
        <v>45393</v>
      </c>
      <c r="K9" s="339">
        <v>44616</v>
      </c>
      <c r="L9" s="271" t="s">
        <v>249</v>
      </c>
      <c r="M9" s="271" t="s">
        <v>324</v>
      </c>
      <c r="N9" s="271" t="s">
        <v>315</v>
      </c>
      <c r="O9" s="271" t="s">
        <v>381</v>
      </c>
      <c r="P9" s="271" t="str">
        <f>L9</f>
        <v>confirmed</v>
      </c>
      <c r="Q9" s="272" t="s">
        <v>249</v>
      </c>
      <c r="R9" s="273" t="str">
        <f>$L9</f>
        <v>confirmed</v>
      </c>
      <c r="S9" s="274" t="str">
        <f>$M9</f>
        <v>unconfi.</v>
      </c>
      <c r="T9" s="274" t="str">
        <f>$N9</f>
        <v>per day</v>
      </c>
      <c r="U9" s="274" t="str">
        <f>$O9</f>
        <v>of all stocks</v>
      </c>
      <c r="V9" s="274" t="str">
        <f>$P9</f>
        <v>confirmed</v>
      </c>
      <c r="W9" s="275" t="str">
        <f>$Q9</f>
        <v>confirmed</v>
      </c>
      <c r="X9" s="273" t="str">
        <f>$L9</f>
        <v>confirmed</v>
      </c>
      <c r="Y9" s="274" t="str">
        <f>$M9</f>
        <v>unconfi.</v>
      </c>
      <c r="Z9" s="274" t="str">
        <f>$N9</f>
        <v>per day</v>
      </c>
      <c r="AA9" s="274" t="str">
        <f>$O9</f>
        <v>of all stocks</v>
      </c>
      <c r="AB9" s="274" t="str">
        <f>$P9</f>
        <v>confirmed</v>
      </c>
      <c r="AC9" s="275" t="str">
        <f>$Q9</f>
        <v>confirmed</v>
      </c>
      <c r="AD9" s="276" t="str">
        <f>$L9</f>
        <v>confirmed</v>
      </c>
      <c r="AE9" s="277" t="str">
        <f>$M9</f>
        <v>unconfi.</v>
      </c>
      <c r="AF9" s="277" t="str">
        <f>$N9</f>
        <v>per day</v>
      </c>
      <c r="AG9" s="277" t="str">
        <f>$O9</f>
        <v>of all stocks</v>
      </c>
      <c r="AH9" s="277" t="str">
        <f>$P9</f>
        <v>confirmed</v>
      </c>
      <c r="AI9" s="278" t="str">
        <f>$Q9</f>
        <v>confirmed</v>
      </c>
      <c r="AJ9" s="276" t="str">
        <f>$L9</f>
        <v>confirmed</v>
      </c>
      <c r="AK9" s="277" t="str">
        <f>$M9</f>
        <v>unconfi.</v>
      </c>
      <c r="AL9" s="277" t="str">
        <f>$N9</f>
        <v>per day</v>
      </c>
      <c r="AM9" s="277" t="str">
        <f>$O9</f>
        <v>of all stocks</v>
      </c>
      <c r="AN9" s="277" t="str">
        <f>$P9</f>
        <v>confirmed</v>
      </c>
      <c r="AO9" s="278" t="str">
        <f>$Q9</f>
        <v>confirmed</v>
      </c>
      <c r="AQ9" s="268"/>
      <c r="AR9" s="360" t="s">
        <v>234</v>
      </c>
      <c r="AS9" s="337">
        <f>J9</f>
        <v>45393</v>
      </c>
      <c r="AT9" s="368" t="str">
        <f t="shared" si="0"/>
        <v>daily in 2023</v>
      </c>
      <c r="AU9" s="274" t="str">
        <f>$L9</f>
        <v>confirmed</v>
      </c>
      <c r="AV9" s="274" t="str">
        <f>$M9</f>
        <v>unconfi.</v>
      </c>
      <c r="AW9" s="274" t="str">
        <f>$N9</f>
        <v>per day</v>
      </c>
      <c r="AX9" s="274" t="str">
        <f>$O9</f>
        <v>of all stocks</v>
      </c>
      <c r="AY9" s="274" t="str">
        <f>$P9</f>
        <v>confirmed</v>
      </c>
      <c r="AZ9" s="275" t="str">
        <f>$Q9</f>
        <v>confirmed</v>
      </c>
      <c r="BB9" s="268"/>
      <c r="BC9" s="360" t="s">
        <v>234</v>
      </c>
      <c r="BD9" s="341">
        <f>J9</f>
        <v>45393</v>
      </c>
      <c r="BE9" s="368" t="str">
        <f>G9</f>
        <v>daily in 2023</v>
      </c>
      <c r="BF9" s="277" t="str">
        <f>$L9</f>
        <v>confirmed</v>
      </c>
      <c r="BG9" s="277" t="str">
        <f>$M9</f>
        <v>unconfi.</v>
      </c>
      <c r="BH9" s="277" t="str">
        <f>$N9</f>
        <v>per day</v>
      </c>
      <c r="BI9" s="277" t="str">
        <f>$O9</f>
        <v>of all stocks</v>
      </c>
      <c r="BJ9" s="277" t="str">
        <f>$P9</f>
        <v>confirmed</v>
      </c>
      <c r="BK9" s="278" t="str">
        <f>$Q9</f>
        <v>confirmed</v>
      </c>
      <c r="BM9" s="268"/>
      <c r="BN9" s="360" t="s">
        <v>234</v>
      </c>
      <c r="BO9" s="341">
        <f>J9</f>
        <v>45393</v>
      </c>
      <c r="BP9" s="368" t="str">
        <f>G9</f>
        <v>daily in 2023</v>
      </c>
      <c r="BQ9" s="274" t="str">
        <f>$N9</f>
        <v>per day</v>
      </c>
      <c r="BR9" s="274" t="str">
        <f>$O9</f>
        <v>of all stocks</v>
      </c>
      <c r="BS9" s="275" t="str">
        <f>$Q9</f>
        <v>confirmed</v>
      </c>
      <c r="BT9" s="277" t="str">
        <f>$N9</f>
        <v>per day</v>
      </c>
      <c r="BU9" s="277" t="str">
        <f>$O9</f>
        <v>of all stocks</v>
      </c>
      <c r="BV9" s="278" t="str">
        <f>$Q9</f>
        <v>confirmed</v>
      </c>
    </row>
    <row r="10" spans="1:74" ht="15" thickTop="1" x14ac:dyDescent="0.35">
      <c r="B10" s="279">
        <v>1</v>
      </c>
      <c r="C10" s="256" t="s">
        <v>250</v>
      </c>
      <c r="D10" s="280">
        <v>3300</v>
      </c>
      <c r="E10" s="281">
        <f>S10/0.5</f>
        <v>13558</v>
      </c>
      <c r="F10" s="281">
        <v>250</v>
      </c>
      <c r="G10" s="344">
        <f>F10/365</f>
        <v>0.68493150684931503</v>
      </c>
      <c r="H10" s="281">
        <f>($E10+(DATEDIF($D$9,H$9,"M")/12)*$F10)-M10</f>
        <v>9915.5</v>
      </c>
      <c r="I10" s="281">
        <f>($E10+(DATEDIF($D$9,I$9,"M")/12)*$F10)-S10</f>
        <v>7279</v>
      </c>
      <c r="J10" s="281">
        <f>($E10+(DATEDIF($D$9,J$9,"M")/12)*$F10)-Y10</f>
        <v>6941.8333333333339</v>
      </c>
      <c r="K10" s="281">
        <v>850</v>
      </c>
      <c r="L10" s="280">
        <v>2043</v>
      </c>
      <c r="M10" s="281">
        <v>3955</v>
      </c>
      <c r="N10" s="317">
        <f>M10/M$4</f>
        <v>8.3088235294117645</v>
      </c>
      <c r="O10" s="281">
        <f>H10/(N10*30)</f>
        <v>39.778997050147495</v>
      </c>
      <c r="P10" s="281">
        <v>533</v>
      </c>
      <c r="Q10" s="282">
        <f t="shared" ref="Q10:Q44" si="1">L10/P10</f>
        <v>3.8330206378986866</v>
      </c>
      <c r="R10" s="281">
        <v>2827</v>
      </c>
      <c r="S10" s="281">
        <v>6779</v>
      </c>
      <c r="T10" s="317">
        <f>S10/S$4</f>
        <v>9.0266311584553929</v>
      </c>
      <c r="U10" s="281">
        <f>I10/(T10*30)</f>
        <v>26.879721689531394</v>
      </c>
      <c r="V10" s="281">
        <v>765</v>
      </c>
      <c r="W10" s="282">
        <f>R10/V10</f>
        <v>3.6954248366013074</v>
      </c>
      <c r="X10" s="281">
        <v>2920</v>
      </c>
      <c r="Y10" s="281">
        <v>7137</v>
      </c>
      <c r="Z10" s="317">
        <f>Y10/Y$4</f>
        <v>9.185328185328185</v>
      </c>
      <c r="AA10" s="281">
        <f>J10/(Z10*30)</f>
        <v>25.191744897482607</v>
      </c>
      <c r="AB10" s="281">
        <v>794</v>
      </c>
      <c r="AC10" s="282">
        <f>X10/AB10</f>
        <v>3.677581863979849</v>
      </c>
      <c r="AD10" s="281">
        <f t="shared" ref="AD10:AD39" si="2">R10-$L10</f>
        <v>784</v>
      </c>
      <c r="AE10" s="281">
        <f>S10-$M10</f>
        <v>2824</v>
      </c>
      <c r="AF10" s="330">
        <f>AE10/AE$4</f>
        <v>10.269090909090909</v>
      </c>
      <c r="AG10" s="281">
        <f>I10/(AF10*30)</f>
        <v>23.62753777148253</v>
      </c>
      <c r="AH10" s="281">
        <f t="shared" ref="AH10:AH39" si="3">V10-$P10</f>
        <v>232</v>
      </c>
      <c r="AI10" s="282">
        <f>AD10/AH10</f>
        <v>3.3793103448275863</v>
      </c>
      <c r="AJ10" s="281">
        <f t="shared" ref="AJ10:AJ39" si="4">X10-$L10</f>
        <v>877</v>
      </c>
      <c r="AK10" s="281">
        <f>Y10-$M10</f>
        <v>3182</v>
      </c>
      <c r="AL10" s="330">
        <f>AK10/AK$4</f>
        <v>10.571428571428571</v>
      </c>
      <c r="AM10" s="281">
        <f>J10/(AL10*30)</f>
        <v>21.888663663663667</v>
      </c>
      <c r="AN10" s="281">
        <f t="shared" ref="AN10:AN39" si="5">AB10-$P10</f>
        <v>261</v>
      </c>
      <c r="AO10" s="282">
        <f>AJ10/AN10</f>
        <v>3.3601532567049808</v>
      </c>
      <c r="AQ10" s="279">
        <v>1</v>
      </c>
      <c r="AR10" s="256" t="s">
        <v>250</v>
      </c>
      <c r="AS10" s="369">
        <f>J10</f>
        <v>6941.8333333333339</v>
      </c>
      <c r="AT10" s="372">
        <f>G10</f>
        <v>0.68493150684931503</v>
      </c>
      <c r="AU10" s="281">
        <f>X10</f>
        <v>2920</v>
      </c>
      <c r="AV10" s="281">
        <f>Y10</f>
        <v>7137</v>
      </c>
      <c r="AW10" s="317">
        <f>AV10/AV$4</f>
        <v>9.185328185328185</v>
      </c>
      <c r="AX10" s="281">
        <f>AS10/(AW10*30)</f>
        <v>25.191744897482607</v>
      </c>
      <c r="AY10" s="281">
        <f t="shared" ref="AY10:AY25" si="6">AB10</f>
        <v>794</v>
      </c>
      <c r="AZ10" s="282">
        <f>AU10/AY10</f>
        <v>3.677581863979849</v>
      </c>
      <c r="BB10" s="279">
        <v>1</v>
      </c>
      <c r="BC10" s="256" t="s">
        <v>250</v>
      </c>
      <c r="BD10" s="326">
        <f>J10</f>
        <v>6941.8333333333339</v>
      </c>
      <c r="BE10" s="372">
        <f>G10</f>
        <v>0.68493150684931503</v>
      </c>
      <c r="BF10" s="281">
        <f>AJ10</f>
        <v>877</v>
      </c>
      <c r="BG10" s="331">
        <f>AK10</f>
        <v>3182</v>
      </c>
      <c r="BH10" s="317">
        <f>BG10/BG$4</f>
        <v>10.571428571428571</v>
      </c>
      <c r="BI10" s="281">
        <f>BD10/(BH10*30)</f>
        <v>21.888663663663667</v>
      </c>
      <c r="BJ10" s="331">
        <f t="shared" ref="BJ10:BJ44" si="7">AN10</f>
        <v>261</v>
      </c>
      <c r="BK10" s="282">
        <f>BF10/BJ10</f>
        <v>3.3601532567049808</v>
      </c>
      <c r="BM10" s="279">
        <v>1</v>
      </c>
      <c r="BN10" s="256" t="s">
        <v>250</v>
      </c>
      <c r="BO10" s="326">
        <f>J10</f>
        <v>6941.8333333333339</v>
      </c>
      <c r="BP10" s="372">
        <f>G10</f>
        <v>0.68493150684931503</v>
      </c>
      <c r="BQ10" s="350">
        <f>AW10</f>
        <v>9.185328185328185</v>
      </c>
      <c r="BR10" s="331">
        <f>$BO10/(BQ10*30)</f>
        <v>25.191744897482607</v>
      </c>
      <c r="BS10" s="332">
        <f t="shared" ref="BS10:BS46" si="8">AZ10</f>
        <v>3.677581863979849</v>
      </c>
      <c r="BT10" s="350">
        <f>BH10</f>
        <v>10.571428571428571</v>
      </c>
      <c r="BU10" s="331">
        <f>$BO10/(BT10*30)</f>
        <v>21.888663663663667</v>
      </c>
      <c r="BV10" s="332">
        <f t="shared" ref="BV10:BV46" si="9">BK10</f>
        <v>3.3601532567049808</v>
      </c>
    </row>
    <row r="11" spans="1:74" x14ac:dyDescent="0.35">
      <c r="B11" s="279">
        <v>1.2</v>
      </c>
      <c r="C11" s="283" t="s">
        <v>251</v>
      </c>
      <c r="D11" s="284"/>
      <c r="E11" s="285"/>
      <c r="F11" s="285"/>
      <c r="G11" s="321"/>
      <c r="H11" s="285"/>
      <c r="I11" s="285"/>
      <c r="J11" s="285"/>
      <c r="K11" s="285"/>
      <c r="L11" s="284">
        <v>544</v>
      </c>
      <c r="M11" s="285"/>
      <c r="N11" s="347"/>
      <c r="O11" s="285"/>
      <c r="P11" s="285">
        <v>139</v>
      </c>
      <c r="Q11" s="286">
        <f t="shared" si="1"/>
        <v>3.9136690647482015</v>
      </c>
      <c r="R11" s="285">
        <v>537</v>
      </c>
      <c r="S11" s="285"/>
      <c r="T11" s="347"/>
      <c r="U11" s="285"/>
      <c r="V11" s="285">
        <v>131</v>
      </c>
      <c r="W11" s="286">
        <f t="shared" ref="W11:W44" si="10">R11/V11</f>
        <v>4.0992366412213741</v>
      </c>
      <c r="X11" s="285">
        <v>534</v>
      </c>
      <c r="Y11" s="285"/>
      <c r="Z11" s="347"/>
      <c r="AA11" s="285"/>
      <c r="AB11" s="285">
        <v>131</v>
      </c>
      <c r="AC11" s="286">
        <f t="shared" ref="AC11:AC37" si="11">X11/AB11</f>
        <v>4.0763358778625953</v>
      </c>
      <c r="AD11" s="285">
        <f t="shared" si="2"/>
        <v>-7</v>
      </c>
      <c r="AE11" s="285"/>
      <c r="AF11" s="376"/>
      <c r="AG11" s="285"/>
      <c r="AH11" s="285">
        <f t="shared" si="3"/>
        <v>-8</v>
      </c>
      <c r="AI11" s="287" t="s">
        <v>34</v>
      </c>
      <c r="AJ11" s="285">
        <f t="shared" si="4"/>
        <v>-10</v>
      </c>
      <c r="AK11" s="285"/>
      <c r="AL11" s="376"/>
      <c r="AM11" s="285"/>
      <c r="AN11" s="285">
        <f t="shared" si="5"/>
        <v>-8</v>
      </c>
      <c r="AO11" s="287" t="s">
        <v>34</v>
      </c>
      <c r="AQ11" s="279">
        <v>1.2</v>
      </c>
      <c r="AR11" s="283" t="s">
        <v>251</v>
      </c>
      <c r="AS11" s="284"/>
      <c r="AT11" s="373"/>
      <c r="AU11" s="285">
        <f t="shared" ref="AU11:AU44" si="12">X11</f>
        <v>534</v>
      </c>
      <c r="AV11" s="285"/>
      <c r="AW11" s="347"/>
      <c r="AX11" s="347"/>
      <c r="AY11" s="285">
        <f t="shared" si="6"/>
        <v>131</v>
      </c>
      <c r="AZ11" s="286">
        <f t="shared" ref="AZ11:AZ37" si="13">AU11/AY11</f>
        <v>4.0763358778625953</v>
      </c>
      <c r="BB11" s="279">
        <v>1.2</v>
      </c>
      <c r="BC11" s="283" t="s">
        <v>251</v>
      </c>
      <c r="BD11" s="325"/>
      <c r="BE11" s="373"/>
      <c r="BF11" s="285">
        <f t="shared" ref="BF11:BF39" si="14">AJ11</f>
        <v>-10</v>
      </c>
      <c r="BG11" s="285"/>
      <c r="BH11" s="347"/>
      <c r="BI11" s="347"/>
      <c r="BJ11" s="285">
        <f t="shared" si="7"/>
        <v>-8</v>
      </c>
      <c r="BK11" s="287" t="s">
        <v>34</v>
      </c>
      <c r="BM11" s="279">
        <v>1.2</v>
      </c>
      <c r="BN11" s="283" t="s">
        <v>251</v>
      </c>
      <c r="BO11" s="325"/>
      <c r="BP11" s="373"/>
      <c r="BQ11" s="376"/>
      <c r="BR11" s="376"/>
      <c r="BS11" s="377">
        <f t="shared" si="8"/>
        <v>4.0763358778625953</v>
      </c>
      <c r="BT11" s="376"/>
      <c r="BU11" s="376"/>
      <c r="BV11" s="377" t="str">
        <f t="shared" si="9"/>
        <v>-</v>
      </c>
    </row>
    <row r="12" spans="1:74" x14ac:dyDescent="0.35">
      <c r="B12" s="279">
        <v>2</v>
      </c>
      <c r="C12" s="256" t="s">
        <v>252</v>
      </c>
      <c r="D12" s="99"/>
      <c r="E12" s="159"/>
      <c r="F12" s="159"/>
      <c r="G12" s="9"/>
      <c r="H12" s="159"/>
      <c r="I12" s="159"/>
      <c r="J12" s="159"/>
      <c r="K12" s="159"/>
      <c r="L12" s="99">
        <v>885</v>
      </c>
      <c r="M12" s="159"/>
      <c r="N12" s="304"/>
      <c r="O12" s="159"/>
      <c r="P12" s="159">
        <v>285</v>
      </c>
      <c r="Q12" s="288">
        <f t="shared" si="1"/>
        <v>3.1052631578947367</v>
      </c>
      <c r="R12" s="159">
        <v>1261</v>
      </c>
      <c r="S12" s="159"/>
      <c r="T12" s="304"/>
      <c r="U12" s="159"/>
      <c r="V12" s="159">
        <v>360</v>
      </c>
      <c r="W12" s="288">
        <f t="shared" si="10"/>
        <v>3.5027777777777778</v>
      </c>
      <c r="X12" s="159">
        <v>1290</v>
      </c>
      <c r="Y12" s="159"/>
      <c r="Z12" s="304"/>
      <c r="AA12" s="159"/>
      <c r="AB12" s="159">
        <v>362</v>
      </c>
      <c r="AC12" s="288">
        <f t="shared" si="11"/>
        <v>3.5635359116022101</v>
      </c>
      <c r="AD12" s="159">
        <f t="shared" si="2"/>
        <v>376</v>
      </c>
      <c r="AE12" s="159"/>
      <c r="AF12" s="173"/>
      <c r="AG12" s="159"/>
      <c r="AH12" s="159">
        <f t="shared" si="3"/>
        <v>75</v>
      </c>
      <c r="AI12" s="288">
        <f t="shared" ref="AI12:AI37" si="15">AD12/AH12</f>
        <v>5.0133333333333336</v>
      </c>
      <c r="AJ12" s="159">
        <f t="shared" si="4"/>
        <v>405</v>
      </c>
      <c r="AK12" s="159"/>
      <c r="AL12" s="173"/>
      <c r="AM12" s="159"/>
      <c r="AN12" s="159">
        <f t="shared" si="5"/>
        <v>77</v>
      </c>
      <c r="AO12" s="288">
        <f t="shared" ref="AO12:AO19" si="16">AJ12/AN12</f>
        <v>5.2597402597402594</v>
      </c>
      <c r="AQ12" s="279">
        <v>2</v>
      </c>
      <c r="AR12" s="256" t="s">
        <v>252</v>
      </c>
      <c r="AS12" s="99"/>
      <c r="AT12" s="374"/>
      <c r="AU12" s="159">
        <f t="shared" si="12"/>
        <v>1290</v>
      </c>
      <c r="AV12" s="159"/>
      <c r="AW12" s="304"/>
      <c r="AX12" s="304"/>
      <c r="AY12" s="159">
        <f t="shared" si="6"/>
        <v>362</v>
      </c>
      <c r="AZ12" s="288">
        <f t="shared" si="13"/>
        <v>3.5635359116022101</v>
      </c>
      <c r="BB12" s="279">
        <v>2</v>
      </c>
      <c r="BC12" s="256" t="s">
        <v>252</v>
      </c>
      <c r="BD12" s="105"/>
      <c r="BE12" s="374"/>
      <c r="BF12" s="159">
        <f t="shared" si="14"/>
        <v>405</v>
      </c>
      <c r="BG12" s="159"/>
      <c r="BH12" s="304"/>
      <c r="BI12" s="304"/>
      <c r="BJ12" s="159">
        <f t="shared" si="7"/>
        <v>77</v>
      </c>
      <c r="BK12" s="288">
        <f>BF12/BJ12</f>
        <v>5.2597402597402594</v>
      </c>
      <c r="BM12" s="279">
        <v>2</v>
      </c>
      <c r="BN12" s="256" t="s">
        <v>252</v>
      </c>
      <c r="BO12" s="105"/>
      <c r="BP12" s="374"/>
      <c r="BQ12" s="173"/>
      <c r="BR12" s="173"/>
      <c r="BS12" s="378">
        <f t="shared" si="8"/>
        <v>3.5635359116022101</v>
      </c>
      <c r="BT12" s="173"/>
      <c r="BU12" s="173"/>
      <c r="BV12" s="378">
        <f t="shared" si="9"/>
        <v>5.2597402597402594</v>
      </c>
    </row>
    <row r="13" spans="1:74" x14ac:dyDescent="0.35">
      <c r="B13" s="279">
        <v>3</v>
      </c>
      <c r="C13" s="256" t="s">
        <v>253</v>
      </c>
      <c r="D13" s="99"/>
      <c r="E13" s="159"/>
      <c r="F13" s="159"/>
      <c r="G13" s="9"/>
      <c r="H13" s="159"/>
      <c r="I13" s="159"/>
      <c r="J13" s="159"/>
      <c r="K13" s="159"/>
      <c r="L13" s="99">
        <v>2402</v>
      </c>
      <c r="M13" s="159"/>
      <c r="N13" s="304"/>
      <c r="O13" s="159"/>
      <c r="P13" s="159">
        <v>571</v>
      </c>
      <c r="Q13" s="288">
        <f t="shared" si="1"/>
        <v>4.2066549912434326</v>
      </c>
      <c r="R13" s="159">
        <v>3620</v>
      </c>
      <c r="S13" s="159"/>
      <c r="T13" s="304"/>
      <c r="U13" s="159"/>
      <c r="V13" s="159">
        <v>875</v>
      </c>
      <c r="W13" s="288">
        <f t="shared" si="10"/>
        <v>4.137142857142857</v>
      </c>
      <c r="X13" s="159">
        <v>3812</v>
      </c>
      <c r="Y13" s="159"/>
      <c r="Z13" s="304"/>
      <c r="AA13" s="159"/>
      <c r="AB13" s="159">
        <v>896</v>
      </c>
      <c r="AC13" s="288">
        <f t="shared" si="11"/>
        <v>4.2544642857142856</v>
      </c>
      <c r="AD13" s="159">
        <f t="shared" si="2"/>
        <v>1218</v>
      </c>
      <c r="AE13" s="159"/>
      <c r="AF13" s="173"/>
      <c r="AG13" s="159"/>
      <c r="AH13" s="159">
        <f t="shared" si="3"/>
        <v>304</v>
      </c>
      <c r="AI13" s="288">
        <f t="shared" si="15"/>
        <v>4.0065789473684212</v>
      </c>
      <c r="AJ13" s="159">
        <f t="shared" si="4"/>
        <v>1410</v>
      </c>
      <c r="AK13" s="159"/>
      <c r="AL13" s="173"/>
      <c r="AM13" s="159"/>
      <c r="AN13" s="159">
        <f t="shared" si="5"/>
        <v>325</v>
      </c>
      <c r="AO13" s="288">
        <f t="shared" si="16"/>
        <v>4.3384615384615381</v>
      </c>
      <c r="AQ13" s="279">
        <v>3</v>
      </c>
      <c r="AR13" s="256" t="s">
        <v>253</v>
      </c>
      <c r="AS13" s="99"/>
      <c r="AT13" s="374"/>
      <c r="AU13" s="159">
        <f t="shared" si="12"/>
        <v>3812</v>
      </c>
      <c r="AV13" s="159"/>
      <c r="AW13" s="304"/>
      <c r="AX13" s="304"/>
      <c r="AY13" s="159">
        <f t="shared" si="6"/>
        <v>896</v>
      </c>
      <c r="AZ13" s="288">
        <f t="shared" si="13"/>
        <v>4.2544642857142856</v>
      </c>
      <c r="BB13" s="279">
        <v>3</v>
      </c>
      <c r="BC13" s="256" t="s">
        <v>253</v>
      </c>
      <c r="BD13" s="105"/>
      <c r="BE13" s="374"/>
      <c r="BF13" s="159">
        <f t="shared" si="14"/>
        <v>1410</v>
      </c>
      <c r="BG13" s="159"/>
      <c r="BH13" s="304"/>
      <c r="BI13" s="304"/>
      <c r="BJ13" s="159">
        <f t="shared" si="7"/>
        <v>325</v>
      </c>
      <c r="BK13" s="288">
        <f t="shared" ref="BK13:BK37" si="17">BF13/BJ13</f>
        <v>4.3384615384615381</v>
      </c>
      <c r="BM13" s="279">
        <v>3</v>
      </c>
      <c r="BN13" s="256" t="s">
        <v>253</v>
      </c>
      <c r="BO13" s="105"/>
      <c r="BP13" s="374"/>
      <c r="BQ13" s="173"/>
      <c r="BR13" s="173"/>
      <c r="BS13" s="378">
        <f t="shared" si="8"/>
        <v>4.2544642857142856</v>
      </c>
      <c r="BT13" s="173"/>
      <c r="BU13" s="173"/>
      <c r="BV13" s="378">
        <f t="shared" si="9"/>
        <v>4.3384615384615381</v>
      </c>
    </row>
    <row r="14" spans="1:74" x14ac:dyDescent="0.35">
      <c r="B14" s="279">
        <v>4</v>
      </c>
      <c r="C14" s="256" t="s">
        <v>254</v>
      </c>
      <c r="D14" s="99"/>
      <c r="E14" s="159"/>
      <c r="F14" s="159"/>
      <c r="G14" s="9"/>
      <c r="H14" s="159"/>
      <c r="I14" s="159"/>
      <c r="J14" s="159"/>
      <c r="K14" s="159"/>
      <c r="L14" s="99">
        <v>316</v>
      </c>
      <c r="M14" s="159"/>
      <c r="N14" s="304"/>
      <c r="O14" s="159"/>
      <c r="P14" s="159">
        <v>274</v>
      </c>
      <c r="Q14" s="288">
        <f t="shared" si="1"/>
        <v>1.1532846715328466</v>
      </c>
      <c r="R14" s="159">
        <v>409</v>
      </c>
      <c r="S14" s="159"/>
      <c r="T14" s="304"/>
      <c r="U14" s="159"/>
      <c r="V14" s="159">
        <v>423</v>
      </c>
      <c r="W14" s="288">
        <f t="shared" si="10"/>
        <v>0.96690307328605196</v>
      </c>
      <c r="X14" s="159">
        <v>421</v>
      </c>
      <c r="Y14" s="159"/>
      <c r="Z14" s="304"/>
      <c r="AA14" s="159"/>
      <c r="AB14" s="159">
        <v>441</v>
      </c>
      <c r="AC14" s="288">
        <f t="shared" si="11"/>
        <v>0.95464852607709749</v>
      </c>
      <c r="AD14" s="159">
        <f t="shared" si="2"/>
        <v>93</v>
      </c>
      <c r="AE14" s="159"/>
      <c r="AF14" s="173"/>
      <c r="AG14" s="159"/>
      <c r="AH14" s="159">
        <f t="shared" si="3"/>
        <v>149</v>
      </c>
      <c r="AI14" s="288">
        <f t="shared" si="15"/>
        <v>0.62416107382550334</v>
      </c>
      <c r="AJ14" s="159">
        <f t="shared" si="4"/>
        <v>105</v>
      </c>
      <c r="AK14" s="159"/>
      <c r="AL14" s="173"/>
      <c r="AM14" s="159"/>
      <c r="AN14" s="159">
        <f t="shared" si="5"/>
        <v>167</v>
      </c>
      <c r="AO14" s="288">
        <f t="shared" si="16"/>
        <v>0.62874251497005984</v>
      </c>
      <c r="AQ14" s="279">
        <v>4</v>
      </c>
      <c r="AR14" s="256" t="s">
        <v>254</v>
      </c>
      <c r="AS14" s="99"/>
      <c r="AT14" s="374"/>
      <c r="AU14" s="159">
        <f t="shared" si="12"/>
        <v>421</v>
      </c>
      <c r="AV14" s="159"/>
      <c r="AW14" s="304"/>
      <c r="AX14" s="304"/>
      <c r="AY14" s="159">
        <f t="shared" si="6"/>
        <v>441</v>
      </c>
      <c r="AZ14" s="288">
        <f t="shared" si="13"/>
        <v>0.95464852607709749</v>
      </c>
      <c r="BB14" s="279">
        <v>4</v>
      </c>
      <c r="BC14" s="256" t="s">
        <v>254</v>
      </c>
      <c r="BD14" s="105"/>
      <c r="BE14" s="374"/>
      <c r="BF14" s="159">
        <f t="shared" si="14"/>
        <v>105</v>
      </c>
      <c r="BG14" s="159"/>
      <c r="BH14" s="304"/>
      <c r="BI14" s="304"/>
      <c r="BJ14" s="159">
        <f t="shared" si="7"/>
        <v>167</v>
      </c>
      <c r="BK14" s="288">
        <f t="shared" si="17"/>
        <v>0.62874251497005984</v>
      </c>
      <c r="BM14" s="279">
        <v>4</v>
      </c>
      <c r="BN14" s="256" t="s">
        <v>254</v>
      </c>
      <c r="BO14" s="105"/>
      <c r="BP14" s="374"/>
      <c r="BQ14" s="173"/>
      <c r="BR14" s="173"/>
      <c r="BS14" s="378">
        <f t="shared" si="8"/>
        <v>0.95464852607709749</v>
      </c>
      <c r="BT14" s="173"/>
      <c r="BU14" s="173"/>
      <c r="BV14" s="378">
        <f t="shared" si="9"/>
        <v>0.62874251497005984</v>
      </c>
    </row>
    <row r="15" spans="1:74" x14ac:dyDescent="0.35">
      <c r="B15" s="279">
        <v>5</v>
      </c>
      <c r="C15" s="256" t="s">
        <v>255</v>
      </c>
      <c r="D15" s="99"/>
      <c r="E15" s="159"/>
      <c r="F15" s="159"/>
      <c r="G15" s="9"/>
      <c r="H15" s="159"/>
      <c r="I15" s="159"/>
      <c r="J15" s="159"/>
      <c r="K15" s="159"/>
      <c r="L15" s="99">
        <v>43</v>
      </c>
      <c r="M15" s="159"/>
      <c r="N15" s="304"/>
      <c r="O15" s="159"/>
      <c r="P15" s="159">
        <v>86</v>
      </c>
      <c r="Q15" s="288">
        <f t="shared" si="1"/>
        <v>0.5</v>
      </c>
      <c r="R15" s="159">
        <v>53</v>
      </c>
      <c r="S15" s="159"/>
      <c r="T15" s="304"/>
      <c r="U15" s="159"/>
      <c r="V15" s="159">
        <v>202</v>
      </c>
      <c r="W15" s="288">
        <f t="shared" si="10"/>
        <v>0.26237623762376239</v>
      </c>
      <c r="X15" s="159">
        <v>54</v>
      </c>
      <c r="Y15" s="159"/>
      <c r="Z15" s="304"/>
      <c r="AA15" s="159"/>
      <c r="AB15" s="159">
        <v>202</v>
      </c>
      <c r="AC15" s="288">
        <f t="shared" si="11"/>
        <v>0.26732673267326734</v>
      </c>
      <c r="AD15" s="159">
        <f t="shared" si="2"/>
        <v>10</v>
      </c>
      <c r="AE15" s="159"/>
      <c r="AF15" s="173"/>
      <c r="AG15" s="159"/>
      <c r="AH15" s="159">
        <f t="shared" si="3"/>
        <v>116</v>
      </c>
      <c r="AI15" s="288">
        <f t="shared" si="15"/>
        <v>8.6206896551724144E-2</v>
      </c>
      <c r="AJ15" s="159">
        <f t="shared" si="4"/>
        <v>11</v>
      </c>
      <c r="AK15" s="159"/>
      <c r="AL15" s="173"/>
      <c r="AM15" s="159"/>
      <c r="AN15" s="159">
        <f t="shared" si="5"/>
        <v>116</v>
      </c>
      <c r="AO15" s="288">
        <f t="shared" si="16"/>
        <v>9.4827586206896547E-2</v>
      </c>
      <c r="AQ15" s="279">
        <v>5</v>
      </c>
      <c r="AR15" s="256" t="s">
        <v>255</v>
      </c>
      <c r="AS15" s="99"/>
      <c r="AT15" s="374"/>
      <c r="AU15" s="159">
        <f t="shared" si="12"/>
        <v>54</v>
      </c>
      <c r="AV15" s="159"/>
      <c r="AW15" s="304"/>
      <c r="AX15" s="304"/>
      <c r="AY15" s="159">
        <f t="shared" si="6"/>
        <v>202</v>
      </c>
      <c r="AZ15" s="288">
        <f t="shared" si="13"/>
        <v>0.26732673267326734</v>
      </c>
      <c r="BB15" s="279">
        <v>5</v>
      </c>
      <c r="BC15" s="256" t="s">
        <v>255</v>
      </c>
      <c r="BD15" s="105"/>
      <c r="BE15" s="374"/>
      <c r="BF15" s="159">
        <f t="shared" si="14"/>
        <v>11</v>
      </c>
      <c r="BG15" s="159"/>
      <c r="BH15" s="304"/>
      <c r="BI15" s="304"/>
      <c r="BJ15" s="159">
        <f t="shared" si="7"/>
        <v>116</v>
      </c>
      <c r="BK15" s="288">
        <f t="shared" si="17"/>
        <v>9.4827586206896547E-2</v>
      </c>
      <c r="BM15" s="279">
        <v>5</v>
      </c>
      <c r="BN15" s="256" t="s">
        <v>255</v>
      </c>
      <c r="BO15" s="105"/>
      <c r="BP15" s="374"/>
      <c r="BQ15" s="173"/>
      <c r="BR15" s="173"/>
      <c r="BS15" s="378">
        <f t="shared" si="8"/>
        <v>0.26732673267326734</v>
      </c>
      <c r="BT15" s="173"/>
      <c r="BU15" s="173"/>
      <c r="BV15" s="378">
        <f t="shared" si="9"/>
        <v>9.4827586206896547E-2</v>
      </c>
    </row>
    <row r="16" spans="1:74" x14ac:dyDescent="0.35">
      <c r="B16" s="279">
        <v>6</v>
      </c>
      <c r="C16" s="256" t="s">
        <v>256</v>
      </c>
      <c r="D16" s="99"/>
      <c r="E16" s="159"/>
      <c r="F16" s="159"/>
      <c r="G16" s="9"/>
      <c r="H16" s="159"/>
      <c r="I16" s="159"/>
      <c r="J16" s="159"/>
      <c r="K16" s="159"/>
      <c r="L16" s="99">
        <v>191</v>
      </c>
      <c r="M16" s="159"/>
      <c r="N16" s="304"/>
      <c r="O16" s="159"/>
      <c r="P16" s="159">
        <v>322</v>
      </c>
      <c r="Q16" s="288">
        <f t="shared" si="1"/>
        <v>0.59316770186335399</v>
      </c>
      <c r="R16" s="159">
        <v>238</v>
      </c>
      <c r="S16" s="159"/>
      <c r="T16" s="304"/>
      <c r="U16" s="159"/>
      <c r="V16" s="159">
        <v>420</v>
      </c>
      <c r="W16" s="288">
        <f t="shared" si="10"/>
        <v>0.56666666666666665</v>
      </c>
      <c r="X16" s="159">
        <v>240</v>
      </c>
      <c r="Y16" s="159"/>
      <c r="Z16" s="304"/>
      <c r="AA16" s="159"/>
      <c r="AB16" s="159">
        <v>432</v>
      </c>
      <c r="AC16" s="288">
        <f t="shared" si="11"/>
        <v>0.55555555555555558</v>
      </c>
      <c r="AD16" s="159">
        <f t="shared" si="2"/>
        <v>47</v>
      </c>
      <c r="AE16" s="159"/>
      <c r="AF16" s="173"/>
      <c r="AG16" s="159"/>
      <c r="AH16" s="159">
        <f t="shared" si="3"/>
        <v>98</v>
      </c>
      <c r="AI16" s="288">
        <f t="shared" si="15"/>
        <v>0.47959183673469385</v>
      </c>
      <c r="AJ16" s="159">
        <f t="shared" si="4"/>
        <v>49</v>
      </c>
      <c r="AK16" s="159"/>
      <c r="AL16" s="173"/>
      <c r="AM16" s="159"/>
      <c r="AN16" s="159">
        <f t="shared" si="5"/>
        <v>110</v>
      </c>
      <c r="AO16" s="288">
        <f t="shared" si="16"/>
        <v>0.44545454545454544</v>
      </c>
      <c r="AQ16" s="279">
        <v>6</v>
      </c>
      <c r="AR16" s="256" t="s">
        <v>256</v>
      </c>
      <c r="AS16" s="99"/>
      <c r="AT16" s="374"/>
      <c r="AU16" s="159">
        <f t="shared" si="12"/>
        <v>240</v>
      </c>
      <c r="AV16" s="159"/>
      <c r="AW16" s="304"/>
      <c r="AX16" s="304"/>
      <c r="AY16" s="159">
        <f t="shared" si="6"/>
        <v>432</v>
      </c>
      <c r="AZ16" s="288">
        <f t="shared" si="13"/>
        <v>0.55555555555555558</v>
      </c>
      <c r="BB16" s="279">
        <v>6</v>
      </c>
      <c r="BC16" s="256" t="s">
        <v>256</v>
      </c>
      <c r="BD16" s="105"/>
      <c r="BE16" s="374"/>
      <c r="BF16" s="159">
        <f t="shared" si="14"/>
        <v>49</v>
      </c>
      <c r="BG16" s="159"/>
      <c r="BH16" s="304"/>
      <c r="BI16" s="304"/>
      <c r="BJ16" s="159">
        <f t="shared" si="7"/>
        <v>110</v>
      </c>
      <c r="BK16" s="288">
        <f t="shared" si="17"/>
        <v>0.44545454545454544</v>
      </c>
      <c r="BM16" s="279">
        <v>6</v>
      </c>
      <c r="BN16" s="256" t="s">
        <v>256</v>
      </c>
      <c r="BO16" s="105"/>
      <c r="BP16" s="374"/>
      <c r="BQ16" s="173"/>
      <c r="BR16" s="173"/>
      <c r="BS16" s="378">
        <f t="shared" si="8"/>
        <v>0.55555555555555558</v>
      </c>
      <c r="BT16" s="173"/>
      <c r="BU16" s="173"/>
      <c r="BV16" s="378">
        <f t="shared" si="9"/>
        <v>0.44545454545454544</v>
      </c>
    </row>
    <row r="17" spans="2:74" x14ac:dyDescent="0.35">
      <c r="B17" s="279">
        <v>7</v>
      </c>
      <c r="C17" s="256" t="s">
        <v>257</v>
      </c>
      <c r="D17" s="99"/>
      <c r="E17" s="159"/>
      <c r="F17" s="159"/>
      <c r="G17" s="9"/>
      <c r="H17" s="159"/>
      <c r="I17" s="159"/>
      <c r="J17" s="159"/>
      <c r="K17" s="159"/>
      <c r="L17" s="99">
        <v>243</v>
      </c>
      <c r="M17" s="159"/>
      <c r="N17" s="304"/>
      <c r="O17" s="159"/>
      <c r="P17" s="159">
        <v>15</v>
      </c>
      <c r="Q17" s="288">
        <f t="shared" si="1"/>
        <v>16.2</v>
      </c>
      <c r="R17" s="159">
        <v>274</v>
      </c>
      <c r="S17" s="159"/>
      <c r="T17" s="304"/>
      <c r="U17" s="159"/>
      <c r="V17" s="159">
        <v>18</v>
      </c>
      <c r="W17" s="288">
        <f t="shared" si="10"/>
        <v>15.222222222222221</v>
      </c>
      <c r="X17" s="159">
        <v>276</v>
      </c>
      <c r="Y17" s="159"/>
      <c r="Z17" s="304"/>
      <c r="AA17" s="159"/>
      <c r="AB17" s="159">
        <v>18</v>
      </c>
      <c r="AC17" s="288">
        <f t="shared" si="11"/>
        <v>15.333333333333334</v>
      </c>
      <c r="AD17" s="159">
        <f t="shared" si="2"/>
        <v>31</v>
      </c>
      <c r="AE17" s="159"/>
      <c r="AF17" s="173"/>
      <c r="AG17" s="159"/>
      <c r="AH17" s="159">
        <f t="shared" si="3"/>
        <v>3</v>
      </c>
      <c r="AI17" s="288">
        <f t="shared" si="15"/>
        <v>10.333333333333334</v>
      </c>
      <c r="AJ17" s="159">
        <f t="shared" si="4"/>
        <v>33</v>
      </c>
      <c r="AK17" s="159"/>
      <c r="AL17" s="173"/>
      <c r="AM17" s="159"/>
      <c r="AN17" s="159">
        <f t="shared" si="5"/>
        <v>3</v>
      </c>
      <c r="AO17" s="288">
        <f t="shared" si="16"/>
        <v>11</v>
      </c>
      <c r="AQ17" s="279">
        <v>7</v>
      </c>
      <c r="AR17" s="256" t="s">
        <v>257</v>
      </c>
      <c r="AS17" s="99"/>
      <c r="AT17" s="374"/>
      <c r="AU17" s="159">
        <f t="shared" si="12"/>
        <v>276</v>
      </c>
      <c r="AV17" s="159"/>
      <c r="AW17" s="304"/>
      <c r="AX17" s="304"/>
      <c r="AY17" s="159">
        <f t="shared" si="6"/>
        <v>18</v>
      </c>
      <c r="AZ17" s="288">
        <f t="shared" si="13"/>
        <v>15.333333333333334</v>
      </c>
      <c r="BB17" s="279">
        <v>7</v>
      </c>
      <c r="BC17" s="256" t="s">
        <v>257</v>
      </c>
      <c r="BD17" s="105"/>
      <c r="BE17" s="374"/>
      <c r="BF17" s="159">
        <f t="shared" si="14"/>
        <v>33</v>
      </c>
      <c r="BG17" s="159"/>
      <c r="BH17" s="304"/>
      <c r="BI17" s="304"/>
      <c r="BJ17" s="159">
        <f t="shared" si="7"/>
        <v>3</v>
      </c>
      <c r="BK17" s="288">
        <f>BF17/BJ17</f>
        <v>11</v>
      </c>
      <c r="BM17" s="279">
        <v>7</v>
      </c>
      <c r="BN17" s="256" t="s">
        <v>257</v>
      </c>
      <c r="BO17" s="105"/>
      <c r="BP17" s="374"/>
      <c r="BQ17" s="173"/>
      <c r="BR17" s="173"/>
      <c r="BS17" s="378">
        <f t="shared" si="8"/>
        <v>15.333333333333334</v>
      </c>
      <c r="BT17" s="173"/>
      <c r="BU17" s="173"/>
      <c r="BV17" s="378">
        <f t="shared" si="9"/>
        <v>11</v>
      </c>
    </row>
    <row r="18" spans="2:74" x14ac:dyDescent="0.35">
      <c r="B18" s="279">
        <v>8</v>
      </c>
      <c r="C18" s="256" t="s">
        <v>258</v>
      </c>
      <c r="D18" s="280">
        <v>13758</v>
      </c>
      <c r="E18" s="281">
        <f>S18/0.46</f>
        <v>28202.173913043476</v>
      </c>
      <c r="F18" s="281">
        <f>400+200</f>
        <v>600</v>
      </c>
      <c r="G18" s="344">
        <f>F18/365</f>
        <v>1.6438356164383561</v>
      </c>
      <c r="H18" s="281">
        <f>($E18+(DATEDIF($D$9,H$9,"M")/12)*$F18)-M18</f>
        <v>21285.173913043476</v>
      </c>
      <c r="I18" s="281">
        <f>($E18+(DATEDIF($D$9,I$9,"M")/12)*$F18)-S18</f>
        <v>16429.173913043476</v>
      </c>
      <c r="J18" s="281">
        <f>($E18+(DATEDIF($D$9,J$9,"M")/12)*$F18)-Y18</f>
        <v>15773.173913043476</v>
      </c>
      <c r="K18" s="285"/>
      <c r="L18" s="280">
        <f>SUM(L12:L17)</f>
        <v>4080</v>
      </c>
      <c r="M18" s="281">
        <v>7667</v>
      </c>
      <c r="N18" s="317">
        <f>M18/M$4</f>
        <v>16.107142857142858</v>
      </c>
      <c r="O18" s="281">
        <f>H18/(N18*30)</f>
        <v>44.049140396542299</v>
      </c>
      <c r="P18" s="281">
        <f>SUM(P12:P17)</f>
        <v>1553</v>
      </c>
      <c r="Q18" s="282">
        <f t="shared" si="1"/>
        <v>2.6271732131358663</v>
      </c>
      <c r="R18" s="281">
        <f>SUM(R12:R17)</f>
        <v>5855</v>
      </c>
      <c r="S18" s="281">
        <v>12973</v>
      </c>
      <c r="T18" s="317">
        <f>S18/S$4</f>
        <v>17.274300932090547</v>
      </c>
      <c r="U18" s="281">
        <f>I18/(T18*30)</f>
        <v>31.702535030950568</v>
      </c>
      <c r="V18" s="281">
        <f>SUM(V12:V17)</f>
        <v>2298</v>
      </c>
      <c r="W18" s="282">
        <f t="shared" si="10"/>
        <v>2.5478677110530898</v>
      </c>
      <c r="X18" s="281">
        <f>SUM(X12:X17)</f>
        <v>6093</v>
      </c>
      <c r="Y18" s="281">
        <v>13679</v>
      </c>
      <c r="Z18" s="317">
        <f>Y18/Y$4</f>
        <v>17.604890604890606</v>
      </c>
      <c r="AA18" s="281">
        <f>J18/(Z18*30)</f>
        <v>29.865136658222532</v>
      </c>
      <c r="AB18" s="281">
        <f>SUM(AB12:AB17)</f>
        <v>2351</v>
      </c>
      <c r="AC18" s="282">
        <f t="shared" si="11"/>
        <v>2.5916631220757123</v>
      </c>
      <c r="AD18" s="281">
        <f t="shared" si="2"/>
        <v>1775</v>
      </c>
      <c r="AE18" s="281">
        <f>S18-$M18</f>
        <v>5306</v>
      </c>
      <c r="AF18" s="330">
        <f>AE18/AE$4</f>
        <v>19.294545454545453</v>
      </c>
      <c r="AG18" s="281">
        <f>I18/(AF18*30)</f>
        <v>28.383106081712253</v>
      </c>
      <c r="AH18" s="281">
        <f t="shared" si="3"/>
        <v>745</v>
      </c>
      <c r="AI18" s="282">
        <f t="shared" si="15"/>
        <v>2.3825503355704698</v>
      </c>
      <c r="AJ18" s="281">
        <f t="shared" si="4"/>
        <v>2013</v>
      </c>
      <c r="AK18" s="281">
        <f>Y18-$M18</f>
        <v>6012</v>
      </c>
      <c r="AL18" s="330">
        <f>AK18/AK$4</f>
        <v>19.973421926910298</v>
      </c>
      <c r="AM18" s="281">
        <f>J18/(AL18*30)</f>
        <v>26.323604722921306</v>
      </c>
      <c r="AN18" s="281">
        <f t="shared" si="5"/>
        <v>798</v>
      </c>
      <c r="AO18" s="282">
        <f t="shared" si="16"/>
        <v>2.5225563909774436</v>
      </c>
      <c r="AQ18" s="279">
        <v>8</v>
      </c>
      <c r="AR18" s="256" t="s">
        <v>258</v>
      </c>
      <c r="AS18" s="280">
        <f>J18</f>
        <v>15773.173913043476</v>
      </c>
      <c r="AT18" s="372">
        <f>G18</f>
        <v>1.6438356164383561</v>
      </c>
      <c r="AU18" s="281">
        <f t="shared" si="12"/>
        <v>6093</v>
      </c>
      <c r="AV18" s="281">
        <f t="shared" ref="AV18:AV19" si="18">Y18</f>
        <v>13679</v>
      </c>
      <c r="AW18" s="317">
        <f>AV18/AV$4</f>
        <v>17.604890604890606</v>
      </c>
      <c r="AX18" s="281">
        <f>AS18/(AW18*30)</f>
        <v>29.865136658222532</v>
      </c>
      <c r="AY18" s="281">
        <f t="shared" si="6"/>
        <v>2351</v>
      </c>
      <c r="AZ18" s="282">
        <f t="shared" si="13"/>
        <v>2.5916631220757123</v>
      </c>
      <c r="BB18" s="279">
        <v>8</v>
      </c>
      <c r="BC18" s="256" t="s">
        <v>258</v>
      </c>
      <c r="BD18" s="326">
        <f>J18</f>
        <v>15773.173913043476</v>
      </c>
      <c r="BE18" s="372">
        <f>G18</f>
        <v>1.6438356164383561</v>
      </c>
      <c r="BF18" s="281">
        <f t="shared" si="14"/>
        <v>2013</v>
      </c>
      <c r="BG18" s="281">
        <f>AK18</f>
        <v>6012</v>
      </c>
      <c r="BH18" s="317">
        <f>BG18/BG$4</f>
        <v>19.973421926910298</v>
      </c>
      <c r="BI18" s="281">
        <f>BD18/(BH18*30)</f>
        <v>26.323604722921306</v>
      </c>
      <c r="BJ18" s="281">
        <f t="shared" si="7"/>
        <v>798</v>
      </c>
      <c r="BK18" s="282">
        <f t="shared" si="17"/>
        <v>2.5225563909774436</v>
      </c>
      <c r="BM18" s="279">
        <v>8</v>
      </c>
      <c r="BN18" s="256" t="s">
        <v>258</v>
      </c>
      <c r="BO18" s="326">
        <f>J18</f>
        <v>15773.173913043476</v>
      </c>
      <c r="BP18" s="372">
        <f>G18</f>
        <v>1.6438356164383561</v>
      </c>
      <c r="BQ18" s="330">
        <f>AW18</f>
        <v>17.604890604890606</v>
      </c>
      <c r="BR18" s="281">
        <f>$BO18/(BQ18*30)</f>
        <v>29.865136658222532</v>
      </c>
      <c r="BS18" s="333">
        <f t="shared" si="8"/>
        <v>2.5916631220757123</v>
      </c>
      <c r="BT18" s="330">
        <f>BH18</f>
        <v>19.973421926910298</v>
      </c>
      <c r="BU18" s="281">
        <f>$BO18/(BT18*30)</f>
        <v>26.323604722921306</v>
      </c>
      <c r="BV18" s="333">
        <f t="shared" si="9"/>
        <v>2.5225563909774436</v>
      </c>
    </row>
    <row r="19" spans="2:74" x14ac:dyDescent="0.35">
      <c r="B19" s="279">
        <v>9</v>
      </c>
      <c r="C19" s="256" t="s">
        <v>259</v>
      </c>
      <c r="D19" s="284"/>
      <c r="E19" s="401" t="s">
        <v>34</v>
      </c>
      <c r="F19" s="281">
        <f>F10*($S19/$S10)</f>
        <v>63.13615577518808</v>
      </c>
      <c r="G19" s="344">
        <f>F19/365</f>
        <v>0.17297576924709063</v>
      </c>
      <c r="H19" s="281">
        <f>H10*($S19/$S10)</f>
        <v>2504.1062103555096</v>
      </c>
      <c r="I19" s="281">
        <f>I10*($S19/$S10)</f>
        <v>1838.2723115503761</v>
      </c>
      <c r="J19" s="281">
        <f>J10*($S19/$S10)</f>
        <v>1753.122682794906</v>
      </c>
      <c r="K19" s="285"/>
      <c r="L19" s="280">
        <v>310</v>
      </c>
      <c r="M19" s="281">
        <v>519</v>
      </c>
      <c r="N19" s="317">
        <f>M19/M$4</f>
        <v>1.0903361344537814</v>
      </c>
      <c r="O19" s="281">
        <f>H19/(N19*30)</f>
        <v>76.554563656340576</v>
      </c>
      <c r="P19" s="281">
        <v>65</v>
      </c>
      <c r="Q19" s="282">
        <f t="shared" si="1"/>
        <v>4.7692307692307692</v>
      </c>
      <c r="R19" s="281">
        <v>445</v>
      </c>
      <c r="S19" s="281">
        <v>1712</v>
      </c>
      <c r="T19" s="317">
        <f>S19/S$4</f>
        <v>2.2796271637816243</v>
      </c>
      <c r="U19" s="281">
        <f>I19/(T19*30)</f>
        <v>26.879721689531397</v>
      </c>
      <c r="V19" s="281">
        <v>148</v>
      </c>
      <c r="W19" s="282">
        <f t="shared" si="10"/>
        <v>3.0067567567567566</v>
      </c>
      <c r="X19" s="281">
        <v>458</v>
      </c>
      <c r="Y19" s="281">
        <v>1882</v>
      </c>
      <c r="Z19" s="317">
        <f>Y19/Y$4</f>
        <v>2.4221364221364223</v>
      </c>
      <c r="AA19" s="281">
        <f>J19/(Z19*30)</f>
        <v>24.126396112852319</v>
      </c>
      <c r="AB19" s="281">
        <v>152</v>
      </c>
      <c r="AC19" s="282">
        <f t="shared" si="11"/>
        <v>3.013157894736842</v>
      </c>
      <c r="AD19" s="281">
        <f t="shared" si="2"/>
        <v>135</v>
      </c>
      <c r="AE19" s="281">
        <f>S19-$M19</f>
        <v>1193</v>
      </c>
      <c r="AF19" s="330">
        <f>AE19/AE$4</f>
        <v>4.3381818181818179</v>
      </c>
      <c r="AG19" s="281">
        <f>I19/(AF19*30)</f>
        <v>14.124752324010995</v>
      </c>
      <c r="AH19" s="281">
        <f t="shared" si="3"/>
        <v>83</v>
      </c>
      <c r="AI19" s="282">
        <f t="shared" si="15"/>
        <v>1.6265060240963856</v>
      </c>
      <c r="AJ19" s="281">
        <f t="shared" si="4"/>
        <v>148</v>
      </c>
      <c r="AK19" s="281">
        <f>Y19-$M19</f>
        <v>1363</v>
      </c>
      <c r="AL19" s="330">
        <f>AK19/AK$4</f>
        <v>4.5282392026578071</v>
      </c>
      <c r="AM19" s="281">
        <f>J19/(AL19*30)</f>
        <v>12.905109501620609</v>
      </c>
      <c r="AN19" s="281">
        <f t="shared" si="5"/>
        <v>87</v>
      </c>
      <c r="AO19" s="282">
        <f t="shared" si="16"/>
        <v>1.7011494252873562</v>
      </c>
      <c r="AQ19" s="279">
        <v>9</v>
      </c>
      <c r="AR19" s="256" t="s">
        <v>259</v>
      </c>
      <c r="AS19" s="280">
        <f>J19</f>
        <v>1753.122682794906</v>
      </c>
      <c r="AT19" s="372">
        <f>G19</f>
        <v>0.17297576924709063</v>
      </c>
      <c r="AU19" s="281">
        <f t="shared" si="12"/>
        <v>458</v>
      </c>
      <c r="AV19" s="281">
        <f t="shared" si="18"/>
        <v>1882</v>
      </c>
      <c r="AW19" s="317">
        <f>AV19/AV$4</f>
        <v>2.4221364221364223</v>
      </c>
      <c r="AX19" s="281">
        <f>AS19/(AW19*30)</f>
        <v>24.126396112852319</v>
      </c>
      <c r="AY19" s="281">
        <f t="shared" si="6"/>
        <v>152</v>
      </c>
      <c r="AZ19" s="282">
        <f t="shared" si="13"/>
        <v>3.013157894736842</v>
      </c>
      <c r="BB19" s="279">
        <v>9</v>
      </c>
      <c r="BC19" s="256" t="s">
        <v>259</v>
      </c>
      <c r="BD19" s="326">
        <f>J19</f>
        <v>1753.122682794906</v>
      </c>
      <c r="BE19" s="372">
        <f>G19</f>
        <v>0.17297576924709063</v>
      </c>
      <c r="BF19" s="281">
        <f t="shared" si="14"/>
        <v>148</v>
      </c>
      <c r="BG19" s="281">
        <f>AK19</f>
        <v>1363</v>
      </c>
      <c r="BH19" s="317">
        <f>BG19/BG$4</f>
        <v>4.5282392026578071</v>
      </c>
      <c r="BI19" s="281">
        <f>BD19/(BH19*30)</f>
        <v>12.905109501620609</v>
      </c>
      <c r="BJ19" s="281">
        <f t="shared" si="7"/>
        <v>87</v>
      </c>
      <c r="BK19" s="282">
        <f t="shared" si="17"/>
        <v>1.7011494252873562</v>
      </c>
      <c r="BM19" s="279">
        <v>9</v>
      </c>
      <c r="BN19" s="256" t="s">
        <v>259</v>
      </c>
      <c r="BO19" s="326">
        <f>J19</f>
        <v>1753.122682794906</v>
      </c>
      <c r="BP19" s="372">
        <f>G19</f>
        <v>0.17297576924709063</v>
      </c>
      <c r="BQ19" s="330">
        <f>AW19</f>
        <v>2.4221364221364223</v>
      </c>
      <c r="BR19" s="281">
        <f>$BO19/(BQ19*30)</f>
        <v>24.126396112852319</v>
      </c>
      <c r="BS19" s="333">
        <f t="shared" si="8"/>
        <v>3.013157894736842</v>
      </c>
      <c r="BT19" s="330">
        <f>BH19</f>
        <v>4.5282392026578071</v>
      </c>
      <c r="BU19" s="281">
        <f>$BO19/(BT19*30)</f>
        <v>12.905109501620609</v>
      </c>
      <c r="BV19" s="333">
        <f t="shared" si="9"/>
        <v>1.7011494252873562</v>
      </c>
    </row>
    <row r="20" spans="2:74" x14ac:dyDescent="0.35">
      <c r="B20" s="279">
        <v>10</v>
      </c>
      <c r="C20" s="256" t="s">
        <v>260</v>
      </c>
      <c r="D20" s="99"/>
      <c r="E20" s="159"/>
      <c r="F20" s="159"/>
      <c r="G20" s="9"/>
      <c r="H20" s="159"/>
      <c r="I20" s="159"/>
      <c r="J20" s="159"/>
      <c r="K20" s="159"/>
      <c r="L20" s="99">
        <v>38</v>
      </c>
      <c r="M20" s="159"/>
      <c r="N20" s="304"/>
      <c r="O20" s="159"/>
      <c r="P20" s="159">
        <v>21</v>
      </c>
      <c r="Q20" s="288">
        <f t="shared" si="1"/>
        <v>1.8095238095238095</v>
      </c>
      <c r="R20" s="159">
        <v>44</v>
      </c>
      <c r="S20" s="159"/>
      <c r="T20" s="304"/>
      <c r="U20" s="159"/>
      <c r="V20" s="159">
        <v>21</v>
      </c>
      <c r="W20" s="288">
        <f t="shared" si="10"/>
        <v>2.0952380952380953</v>
      </c>
      <c r="X20" s="159">
        <v>44</v>
      </c>
      <c r="Y20" s="159"/>
      <c r="Z20" s="304"/>
      <c r="AA20" s="159"/>
      <c r="AB20" s="159">
        <v>20</v>
      </c>
      <c r="AC20" s="288">
        <f t="shared" si="11"/>
        <v>2.2000000000000002</v>
      </c>
      <c r="AD20" s="159">
        <f t="shared" si="2"/>
        <v>6</v>
      </c>
      <c r="AE20" s="159"/>
      <c r="AF20" s="173"/>
      <c r="AG20" s="159"/>
      <c r="AH20" s="159">
        <f t="shared" si="3"/>
        <v>0</v>
      </c>
      <c r="AI20" s="289" t="s">
        <v>34</v>
      </c>
      <c r="AJ20" s="159">
        <f t="shared" si="4"/>
        <v>6</v>
      </c>
      <c r="AK20" s="159"/>
      <c r="AL20" s="173"/>
      <c r="AM20" s="159"/>
      <c r="AN20" s="159">
        <f t="shared" si="5"/>
        <v>-1</v>
      </c>
      <c r="AO20" s="289" t="s">
        <v>34</v>
      </c>
      <c r="AQ20" s="279">
        <v>10</v>
      </c>
      <c r="AR20" s="256" t="s">
        <v>260</v>
      </c>
      <c r="AS20" s="99"/>
      <c r="AT20" s="374"/>
      <c r="AU20" s="159">
        <f t="shared" si="12"/>
        <v>44</v>
      </c>
      <c r="AV20" s="159"/>
      <c r="AW20" s="304"/>
      <c r="AX20" s="304"/>
      <c r="AY20" s="159">
        <f t="shared" si="6"/>
        <v>20</v>
      </c>
      <c r="AZ20" s="288">
        <f t="shared" si="13"/>
        <v>2.2000000000000002</v>
      </c>
      <c r="BB20" s="279">
        <v>10</v>
      </c>
      <c r="BC20" s="256" t="s">
        <v>260</v>
      </c>
      <c r="BD20" s="105"/>
      <c r="BE20" s="374"/>
      <c r="BF20" s="159">
        <f t="shared" si="14"/>
        <v>6</v>
      </c>
      <c r="BG20" s="159"/>
      <c r="BH20" s="304"/>
      <c r="BI20" s="304"/>
      <c r="BJ20" s="159">
        <f t="shared" si="7"/>
        <v>-1</v>
      </c>
      <c r="BK20" s="289" t="s">
        <v>34</v>
      </c>
      <c r="BM20" s="279">
        <v>10</v>
      </c>
      <c r="BN20" s="256" t="s">
        <v>260</v>
      </c>
      <c r="BO20" s="105"/>
      <c r="BP20" s="374"/>
      <c r="BQ20" s="173"/>
      <c r="BR20" s="173"/>
      <c r="BS20" s="379">
        <f t="shared" si="8"/>
        <v>2.2000000000000002</v>
      </c>
      <c r="BT20" s="173"/>
      <c r="BU20" s="173"/>
      <c r="BV20" s="379" t="str">
        <f t="shared" si="9"/>
        <v>-</v>
      </c>
    </row>
    <row r="21" spans="2:74" x14ac:dyDescent="0.35">
      <c r="B21" s="279">
        <v>11</v>
      </c>
      <c r="C21" s="256" t="s">
        <v>261</v>
      </c>
      <c r="D21" s="99"/>
      <c r="E21" s="159"/>
      <c r="F21" s="159"/>
      <c r="G21" s="9"/>
      <c r="H21" s="159"/>
      <c r="I21" s="159"/>
      <c r="J21" s="159"/>
      <c r="K21" s="159"/>
      <c r="L21" s="99">
        <v>103</v>
      </c>
      <c r="M21" s="159"/>
      <c r="N21" s="304"/>
      <c r="O21" s="159"/>
      <c r="P21" s="159">
        <v>23</v>
      </c>
      <c r="Q21" s="288">
        <f t="shared" si="1"/>
        <v>4.4782608695652177</v>
      </c>
      <c r="R21" s="159">
        <v>116</v>
      </c>
      <c r="S21" s="159"/>
      <c r="T21" s="304"/>
      <c r="U21" s="159"/>
      <c r="V21" s="159">
        <v>26</v>
      </c>
      <c r="W21" s="288">
        <f t="shared" si="10"/>
        <v>4.4615384615384617</v>
      </c>
      <c r="X21" s="159">
        <v>116</v>
      </c>
      <c r="Y21" s="159"/>
      <c r="Z21" s="304"/>
      <c r="AA21" s="159"/>
      <c r="AB21" s="159">
        <v>26</v>
      </c>
      <c r="AC21" s="288">
        <f t="shared" si="11"/>
        <v>4.4615384615384617</v>
      </c>
      <c r="AD21" s="159">
        <f t="shared" si="2"/>
        <v>13</v>
      </c>
      <c r="AE21" s="159"/>
      <c r="AF21" s="173"/>
      <c r="AG21" s="159"/>
      <c r="AH21" s="159">
        <f t="shared" si="3"/>
        <v>3</v>
      </c>
      <c r="AI21" s="288">
        <f t="shared" si="15"/>
        <v>4.333333333333333</v>
      </c>
      <c r="AJ21" s="159">
        <f t="shared" si="4"/>
        <v>13</v>
      </c>
      <c r="AK21" s="159"/>
      <c r="AL21" s="173"/>
      <c r="AM21" s="159"/>
      <c r="AN21" s="159">
        <f t="shared" si="5"/>
        <v>3</v>
      </c>
      <c r="AO21" s="288">
        <f t="shared" ref="AO21:AO25" si="19">AJ21/AN21</f>
        <v>4.333333333333333</v>
      </c>
      <c r="AQ21" s="279">
        <v>11</v>
      </c>
      <c r="AR21" s="256" t="s">
        <v>261</v>
      </c>
      <c r="AS21" s="99"/>
      <c r="AT21" s="374"/>
      <c r="AU21" s="159">
        <f t="shared" si="12"/>
        <v>116</v>
      </c>
      <c r="AV21" s="159"/>
      <c r="AW21" s="304"/>
      <c r="AX21" s="304"/>
      <c r="AY21" s="159">
        <f t="shared" si="6"/>
        <v>26</v>
      </c>
      <c r="AZ21" s="288">
        <f t="shared" si="13"/>
        <v>4.4615384615384617</v>
      </c>
      <c r="BB21" s="279">
        <v>11</v>
      </c>
      <c r="BC21" s="256" t="s">
        <v>261</v>
      </c>
      <c r="BD21" s="105"/>
      <c r="BE21" s="374"/>
      <c r="BF21" s="159">
        <f t="shared" si="14"/>
        <v>13</v>
      </c>
      <c r="BG21" s="159"/>
      <c r="BH21" s="304"/>
      <c r="BI21" s="304"/>
      <c r="BJ21" s="159">
        <f t="shared" si="7"/>
        <v>3</v>
      </c>
      <c r="BK21" s="288">
        <f t="shared" si="17"/>
        <v>4.333333333333333</v>
      </c>
      <c r="BM21" s="279">
        <v>11</v>
      </c>
      <c r="BN21" s="256" t="s">
        <v>261</v>
      </c>
      <c r="BO21" s="105"/>
      <c r="BP21" s="374"/>
      <c r="BQ21" s="173"/>
      <c r="BR21" s="173"/>
      <c r="BS21" s="378">
        <f t="shared" si="8"/>
        <v>4.4615384615384617</v>
      </c>
      <c r="BT21" s="173"/>
      <c r="BU21" s="173"/>
      <c r="BV21" s="378">
        <f t="shared" si="9"/>
        <v>4.333333333333333</v>
      </c>
    </row>
    <row r="22" spans="2:74" x14ac:dyDescent="0.35">
      <c r="B22" s="279">
        <v>12</v>
      </c>
      <c r="C22" s="256" t="s">
        <v>262</v>
      </c>
      <c r="D22" s="99"/>
      <c r="E22" s="159"/>
      <c r="F22" s="159"/>
      <c r="G22" s="9"/>
      <c r="H22" s="159"/>
      <c r="I22" s="159"/>
      <c r="J22" s="159"/>
      <c r="K22" s="159"/>
      <c r="L22" s="99">
        <v>232</v>
      </c>
      <c r="M22" s="159"/>
      <c r="N22" s="304"/>
      <c r="O22" s="159"/>
      <c r="P22" s="159">
        <v>127</v>
      </c>
      <c r="Q22" s="288">
        <f t="shared" si="1"/>
        <v>1.8267716535433072</v>
      </c>
      <c r="R22" s="159">
        <v>352</v>
      </c>
      <c r="S22" s="159"/>
      <c r="T22" s="304"/>
      <c r="U22" s="159"/>
      <c r="V22" s="159">
        <v>187</v>
      </c>
      <c r="W22" s="288">
        <f t="shared" si="10"/>
        <v>1.8823529411764706</v>
      </c>
      <c r="X22" s="159">
        <v>361</v>
      </c>
      <c r="Y22" s="159"/>
      <c r="Z22" s="304"/>
      <c r="AA22" s="159"/>
      <c r="AB22" s="159">
        <v>196</v>
      </c>
      <c r="AC22" s="288">
        <f t="shared" si="11"/>
        <v>1.8418367346938775</v>
      </c>
      <c r="AD22" s="159">
        <f t="shared" si="2"/>
        <v>120</v>
      </c>
      <c r="AE22" s="159"/>
      <c r="AF22" s="173"/>
      <c r="AG22" s="159"/>
      <c r="AH22" s="159">
        <f t="shared" si="3"/>
        <v>60</v>
      </c>
      <c r="AI22" s="288">
        <f t="shared" si="15"/>
        <v>2</v>
      </c>
      <c r="AJ22" s="159">
        <f t="shared" si="4"/>
        <v>129</v>
      </c>
      <c r="AK22" s="159"/>
      <c r="AL22" s="173"/>
      <c r="AM22" s="159"/>
      <c r="AN22" s="159">
        <f t="shared" si="5"/>
        <v>69</v>
      </c>
      <c r="AO22" s="288">
        <f t="shared" si="19"/>
        <v>1.8695652173913044</v>
      </c>
      <c r="AQ22" s="279">
        <v>12</v>
      </c>
      <c r="AR22" s="256" t="s">
        <v>262</v>
      </c>
      <c r="AS22" s="99"/>
      <c r="AT22" s="374"/>
      <c r="AU22" s="159">
        <f t="shared" si="12"/>
        <v>361</v>
      </c>
      <c r="AV22" s="159"/>
      <c r="AW22" s="304"/>
      <c r="AX22" s="304"/>
      <c r="AY22" s="159">
        <f t="shared" si="6"/>
        <v>196</v>
      </c>
      <c r="AZ22" s="288">
        <f t="shared" si="13"/>
        <v>1.8418367346938775</v>
      </c>
      <c r="BB22" s="279">
        <v>12</v>
      </c>
      <c r="BC22" s="256" t="s">
        <v>262</v>
      </c>
      <c r="BD22" s="105"/>
      <c r="BE22" s="374"/>
      <c r="BF22" s="159">
        <f t="shared" si="14"/>
        <v>129</v>
      </c>
      <c r="BG22" s="159"/>
      <c r="BH22" s="304"/>
      <c r="BI22" s="304"/>
      <c r="BJ22" s="159">
        <f t="shared" si="7"/>
        <v>69</v>
      </c>
      <c r="BK22" s="288">
        <f t="shared" si="17"/>
        <v>1.8695652173913044</v>
      </c>
      <c r="BM22" s="279">
        <v>12</v>
      </c>
      <c r="BN22" s="256" t="s">
        <v>262</v>
      </c>
      <c r="BO22" s="105"/>
      <c r="BP22" s="374"/>
      <c r="BQ22" s="173"/>
      <c r="BR22" s="173"/>
      <c r="BS22" s="378">
        <f t="shared" si="8"/>
        <v>1.8418367346938775</v>
      </c>
      <c r="BT22" s="173"/>
      <c r="BU22" s="173"/>
      <c r="BV22" s="378">
        <f t="shared" si="9"/>
        <v>1.8695652173913044</v>
      </c>
    </row>
    <row r="23" spans="2:74" x14ac:dyDescent="0.35">
      <c r="B23" s="279">
        <v>13</v>
      </c>
      <c r="C23" s="256" t="s">
        <v>263</v>
      </c>
      <c r="D23" s="99"/>
      <c r="E23" s="159"/>
      <c r="F23" s="159"/>
      <c r="G23" s="9"/>
      <c r="H23" s="159"/>
      <c r="I23" s="159"/>
      <c r="J23" s="159"/>
      <c r="K23" s="159"/>
      <c r="L23" s="99">
        <v>415</v>
      </c>
      <c r="M23" s="159"/>
      <c r="N23" s="304"/>
      <c r="O23" s="159"/>
      <c r="P23" s="159">
        <v>167</v>
      </c>
      <c r="Q23" s="288">
        <f t="shared" si="1"/>
        <v>2.4850299401197606</v>
      </c>
      <c r="R23" s="159">
        <v>694</v>
      </c>
      <c r="S23" s="159"/>
      <c r="T23" s="304"/>
      <c r="U23" s="159"/>
      <c r="V23" s="159">
        <v>307</v>
      </c>
      <c r="W23" s="288">
        <f t="shared" si="10"/>
        <v>2.2605863192182412</v>
      </c>
      <c r="X23" s="159">
        <v>715</v>
      </c>
      <c r="Y23" s="159"/>
      <c r="Z23" s="304"/>
      <c r="AA23" s="159"/>
      <c r="AB23" s="159">
        <v>318</v>
      </c>
      <c r="AC23" s="288">
        <f t="shared" si="11"/>
        <v>2.2484276729559749</v>
      </c>
      <c r="AD23" s="159">
        <f t="shared" si="2"/>
        <v>279</v>
      </c>
      <c r="AE23" s="159"/>
      <c r="AF23" s="173"/>
      <c r="AG23" s="159"/>
      <c r="AH23" s="159">
        <f t="shared" si="3"/>
        <v>140</v>
      </c>
      <c r="AI23" s="288">
        <f t="shared" si="15"/>
        <v>1.9928571428571429</v>
      </c>
      <c r="AJ23" s="159">
        <f t="shared" si="4"/>
        <v>300</v>
      </c>
      <c r="AK23" s="159"/>
      <c r="AL23" s="173"/>
      <c r="AM23" s="159"/>
      <c r="AN23" s="159">
        <f t="shared" si="5"/>
        <v>151</v>
      </c>
      <c r="AO23" s="288">
        <f t="shared" si="19"/>
        <v>1.9867549668874172</v>
      </c>
      <c r="AQ23" s="279">
        <v>13</v>
      </c>
      <c r="AR23" s="256" t="s">
        <v>263</v>
      </c>
      <c r="AS23" s="99"/>
      <c r="AT23" s="374"/>
      <c r="AU23" s="159">
        <f t="shared" si="12"/>
        <v>715</v>
      </c>
      <c r="AV23" s="159"/>
      <c r="AW23" s="304"/>
      <c r="AX23" s="304"/>
      <c r="AY23" s="159">
        <f t="shared" si="6"/>
        <v>318</v>
      </c>
      <c r="AZ23" s="288">
        <f t="shared" si="13"/>
        <v>2.2484276729559749</v>
      </c>
      <c r="BB23" s="279">
        <v>13</v>
      </c>
      <c r="BC23" s="256" t="s">
        <v>263</v>
      </c>
      <c r="BD23" s="105"/>
      <c r="BE23" s="374"/>
      <c r="BF23" s="159">
        <f t="shared" si="14"/>
        <v>300</v>
      </c>
      <c r="BG23" s="159"/>
      <c r="BH23" s="304"/>
      <c r="BI23" s="304"/>
      <c r="BJ23" s="159">
        <f t="shared" si="7"/>
        <v>151</v>
      </c>
      <c r="BK23" s="288">
        <f t="shared" si="17"/>
        <v>1.9867549668874172</v>
      </c>
      <c r="BM23" s="279">
        <v>13</v>
      </c>
      <c r="BN23" s="256" t="s">
        <v>263</v>
      </c>
      <c r="BO23" s="105"/>
      <c r="BP23" s="374"/>
      <c r="BQ23" s="173"/>
      <c r="BR23" s="173"/>
      <c r="BS23" s="378">
        <f t="shared" si="8"/>
        <v>2.2484276729559749</v>
      </c>
      <c r="BT23" s="173"/>
      <c r="BU23" s="173"/>
      <c r="BV23" s="378">
        <f t="shared" si="9"/>
        <v>1.9867549668874172</v>
      </c>
    </row>
    <row r="24" spans="2:74" x14ac:dyDescent="0.35">
      <c r="B24" s="279">
        <v>14</v>
      </c>
      <c r="C24" s="256" t="s">
        <v>264</v>
      </c>
      <c r="D24" s="99"/>
      <c r="E24" s="159"/>
      <c r="F24" s="159"/>
      <c r="G24" s="9"/>
      <c r="H24" s="159"/>
      <c r="I24" s="159"/>
      <c r="J24" s="159"/>
      <c r="K24" s="159"/>
      <c r="L24" s="99">
        <v>208</v>
      </c>
      <c r="M24" s="159"/>
      <c r="N24" s="304"/>
      <c r="O24" s="159"/>
      <c r="P24" s="159">
        <v>45</v>
      </c>
      <c r="Q24" s="288">
        <f t="shared" si="1"/>
        <v>4.6222222222222218</v>
      </c>
      <c r="R24" s="159">
        <v>360</v>
      </c>
      <c r="S24" s="159"/>
      <c r="T24" s="304"/>
      <c r="U24" s="159"/>
      <c r="V24" s="159">
        <v>60</v>
      </c>
      <c r="W24" s="288">
        <f t="shared" si="10"/>
        <v>6</v>
      </c>
      <c r="X24" s="159">
        <v>368</v>
      </c>
      <c r="Y24" s="159"/>
      <c r="Z24" s="304"/>
      <c r="AA24" s="159"/>
      <c r="AB24" s="159">
        <v>64</v>
      </c>
      <c r="AC24" s="288">
        <f t="shared" si="11"/>
        <v>5.75</v>
      </c>
      <c r="AD24" s="159">
        <f t="shared" si="2"/>
        <v>152</v>
      </c>
      <c r="AE24" s="159"/>
      <c r="AF24" s="173"/>
      <c r="AG24" s="159"/>
      <c r="AH24" s="159">
        <f t="shared" si="3"/>
        <v>15</v>
      </c>
      <c r="AI24" s="288">
        <f t="shared" si="15"/>
        <v>10.133333333333333</v>
      </c>
      <c r="AJ24" s="159">
        <f t="shared" si="4"/>
        <v>160</v>
      </c>
      <c r="AK24" s="159"/>
      <c r="AL24" s="173"/>
      <c r="AM24" s="159"/>
      <c r="AN24" s="159">
        <f t="shared" si="5"/>
        <v>19</v>
      </c>
      <c r="AO24" s="288">
        <f t="shared" si="19"/>
        <v>8.4210526315789469</v>
      </c>
      <c r="AQ24" s="279">
        <v>14</v>
      </c>
      <c r="AR24" s="256" t="s">
        <v>264</v>
      </c>
      <c r="AS24" s="99"/>
      <c r="AT24" s="374"/>
      <c r="AU24" s="159">
        <f t="shared" si="12"/>
        <v>368</v>
      </c>
      <c r="AV24" s="159"/>
      <c r="AW24" s="304"/>
      <c r="AX24" s="304"/>
      <c r="AY24" s="159">
        <f t="shared" si="6"/>
        <v>64</v>
      </c>
      <c r="AZ24" s="288">
        <f t="shared" si="13"/>
        <v>5.75</v>
      </c>
      <c r="BB24" s="279">
        <v>14</v>
      </c>
      <c r="BC24" s="256" t="s">
        <v>264</v>
      </c>
      <c r="BD24" s="105"/>
      <c r="BE24" s="374"/>
      <c r="BF24" s="159">
        <f t="shared" si="14"/>
        <v>160</v>
      </c>
      <c r="BG24" s="159"/>
      <c r="BH24" s="304"/>
      <c r="BI24" s="304"/>
      <c r="BJ24" s="159">
        <f t="shared" si="7"/>
        <v>19</v>
      </c>
      <c r="BK24" s="288">
        <f t="shared" si="17"/>
        <v>8.4210526315789469</v>
      </c>
      <c r="BM24" s="279">
        <v>14</v>
      </c>
      <c r="BN24" s="256" t="s">
        <v>264</v>
      </c>
      <c r="BO24" s="105"/>
      <c r="BP24" s="374"/>
      <c r="BQ24" s="173"/>
      <c r="BR24" s="173"/>
      <c r="BS24" s="378">
        <f t="shared" si="8"/>
        <v>5.75</v>
      </c>
      <c r="BT24" s="173"/>
      <c r="BU24" s="173"/>
      <c r="BV24" s="378">
        <f t="shared" si="9"/>
        <v>8.4210526315789469</v>
      </c>
    </row>
    <row r="25" spans="2:74" x14ac:dyDescent="0.35">
      <c r="B25" s="279">
        <v>15</v>
      </c>
      <c r="C25" s="256" t="s">
        <v>265</v>
      </c>
      <c r="D25" s="280">
        <v>5689</v>
      </c>
      <c r="E25" s="281">
        <f>S25/0.53</f>
        <v>20011.32075471698</v>
      </c>
      <c r="F25" s="281">
        <f>F18</f>
        <v>600</v>
      </c>
      <c r="G25" s="344">
        <f>F25/365</f>
        <v>1.6438356164383561</v>
      </c>
      <c r="H25" s="281">
        <f>($E25+(DATEDIF($D$9,H$9,"M")/12)*$F25)-M25</f>
        <v>16968.32075471698</v>
      </c>
      <c r="I25" s="281">
        <f>($E25+(DATEDIF($D$9,I$9,"M")/12)*$F25)-S25</f>
        <v>10605.32075471698</v>
      </c>
      <c r="J25" s="281">
        <f>($E25+(DATEDIF($D$9,J$9,"M")/12)*$F25)-Y25</f>
        <v>9809.3207547169804</v>
      </c>
      <c r="K25" s="285"/>
      <c r="L25" s="280">
        <f>SUM(L20:L24)</f>
        <v>996</v>
      </c>
      <c r="M25" s="281">
        <v>3793</v>
      </c>
      <c r="N25" s="317">
        <f>M25/M$4</f>
        <v>7.9684873949579833</v>
      </c>
      <c r="O25" s="281">
        <f>H25/(N25*30)</f>
        <v>70.980935752221484</v>
      </c>
      <c r="P25" s="281">
        <f>SUM(P20:P24)</f>
        <v>383</v>
      </c>
      <c r="Q25" s="282">
        <f t="shared" si="1"/>
        <v>2.6005221932114884</v>
      </c>
      <c r="R25" s="281">
        <f>SUM(R20:R24)</f>
        <v>1566</v>
      </c>
      <c r="S25" s="281">
        <v>10606</v>
      </c>
      <c r="T25" s="317">
        <f>S25/S$4</f>
        <v>14.122503328894807</v>
      </c>
      <c r="U25" s="281">
        <f>I25/(T25*30)</f>
        <v>25.031730111234058</v>
      </c>
      <c r="V25" s="281">
        <f>SUM(V20:V24)</f>
        <v>601</v>
      </c>
      <c r="W25" s="282">
        <f t="shared" si="10"/>
        <v>2.605657237936772</v>
      </c>
      <c r="X25" s="281">
        <f>SUM(X20:X24)</f>
        <v>1604</v>
      </c>
      <c r="Y25" s="281">
        <v>11452</v>
      </c>
      <c r="Z25" s="317">
        <f>Y25/Y$4</f>
        <v>14.738738738738739</v>
      </c>
      <c r="AA25" s="281">
        <f>J25/(Z25*30)</f>
        <v>22.184894127416154</v>
      </c>
      <c r="AB25" s="281">
        <f>SUM(AB20:AB24)</f>
        <v>624</v>
      </c>
      <c r="AC25" s="282">
        <f t="shared" si="11"/>
        <v>2.5705128205128207</v>
      </c>
      <c r="AD25" s="281">
        <f t="shared" si="2"/>
        <v>570</v>
      </c>
      <c r="AE25" s="281">
        <f>S25-$M25</f>
        <v>6813</v>
      </c>
      <c r="AF25" s="330">
        <f>AE25/AE$4</f>
        <v>24.774545454545454</v>
      </c>
      <c r="AG25" s="281">
        <f>I25/(AF25*30)</f>
        <v>14.269109093141394</v>
      </c>
      <c r="AH25" s="281">
        <f t="shared" si="3"/>
        <v>218</v>
      </c>
      <c r="AI25" s="282">
        <f t="shared" si="15"/>
        <v>2.6146788990825689</v>
      </c>
      <c r="AJ25" s="281">
        <f t="shared" si="4"/>
        <v>608</v>
      </c>
      <c r="AK25" s="281">
        <f>Y25-$M25</f>
        <v>7659</v>
      </c>
      <c r="AL25" s="330">
        <f>AK25/AK$4</f>
        <v>25.44518272425249</v>
      </c>
      <c r="AM25" s="281">
        <f>J25/(AL25*30)</f>
        <v>12.850265688165607</v>
      </c>
      <c r="AN25" s="281">
        <f t="shared" si="5"/>
        <v>241</v>
      </c>
      <c r="AO25" s="282">
        <f t="shared" si="19"/>
        <v>2.5228215767634854</v>
      </c>
      <c r="AQ25" s="279">
        <v>15</v>
      </c>
      <c r="AR25" s="256" t="s">
        <v>265</v>
      </c>
      <c r="AS25" s="280">
        <f>J25</f>
        <v>9809.3207547169804</v>
      </c>
      <c r="AT25" s="372">
        <f>G25</f>
        <v>1.6438356164383561</v>
      </c>
      <c r="AU25" s="281">
        <f t="shared" si="12"/>
        <v>1604</v>
      </c>
      <c r="AV25" s="281">
        <f t="shared" ref="AV25" si="20">Y25</f>
        <v>11452</v>
      </c>
      <c r="AW25" s="317">
        <f>AV25/AV$4</f>
        <v>14.738738738738739</v>
      </c>
      <c r="AX25" s="281">
        <f>AS25/(AW25*30)</f>
        <v>22.184894127416154</v>
      </c>
      <c r="AY25" s="281">
        <f t="shared" si="6"/>
        <v>624</v>
      </c>
      <c r="AZ25" s="282">
        <f t="shared" si="13"/>
        <v>2.5705128205128207</v>
      </c>
      <c r="BB25" s="279">
        <v>15</v>
      </c>
      <c r="BC25" s="256" t="s">
        <v>265</v>
      </c>
      <c r="BD25" s="326">
        <f>J25</f>
        <v>9809.3207547169804</v>
      </c>
      <c r="BE25" s="372">
        <f>G25</f>
        <v>1.6438356164383561</v>
      </c>
      <c r="BF25" s="281">
        <f t="shared" si="14"/>
        <v>608</v>
      </c>
      <c r="BG25" s="281">
        <f>AK25</f>
        <v>7659</v>
      </c>
      <c r="BH25" s="317">
        <f>BG25/BG$4</f>
        <v>25.44518272425249</v>
      </c>
      <c r="BI25" s="281">
        <f>BD25/(BH25*30)</f>
        <v>12.850265688165607</v>
      </c>
      <c r="BJ25" s="281">
        <f t="shared" si="7"/>
        <v>241</v>
      </c>
      <c r="BK25" s="282">
        <f t="shared" si="17"/>
        <v>2.5228215767634854</v>
      </c>
      <c r="BM25" s="279">
        <v>15</v>
      </c>
      <c r="BN25" s="256" t="s">
        <v>265</v>
      </c>
      <c r="BO25" s="326">
        <f>J25</f>
        <v>9809.3207547169804</v>
      </c>
      <c r="BP25" s="372">
        <f>G25</f>
        <v>1.6438356164383561</v>
      </c>
      <c r="BQ25" s="330">
        <f>AW25</f>
        <v>14.738738738738739</v>
      </c>
      <c r="BR25" s="281">
        <f>$BO25/(BQ25*30)</f>
        <v>22.184894127416154</v>
      </c>
      <c r="BS25" s="333">
        <f t="shared" si="8"/>
        <v>2.5705128205128207</v>
      </c>
      <c r="BT25" s="330">
        <f>BH25</f>
        <v>25.44518272425249</v>
      </c>
      <c r="BU25" s="281">
        <f>$BO25/(BT25*30)</f>
        <v>12.850265688165607</v>
      </c>
      <c r="BV25" s="333">
        <f t="shared" si="9"/>
        <v>2.5228215767634854</v>
      </c>
    </row>
    <row r="26" spans="2:74" x14ac:dyDescent="0.35">
      <c r="B26" s="279">
        <v>16</v>
      </c>
      <c r="C26" s="256" t="s">
        <v>266</v>
      </c>
      <c r="D26" s="99"/>
      <c r="E26" s="159"/>
      <c r="F26" s="159"/>
      <c r="G26" s="9"/>
      <c r="H26" s="159"/>
      <c r="I26" s="159"/>
      <c r="J26" s="159"/>
      <c r="K26" s="159"/>
      <c r="L26" s="99">
        <v>17</v>
      </c>
      <c r="M26" s="159"/>
      <c r="N26" s="304"/>
      <c r="O26" s="159"/>
      <c r="P26" s="159">
        <v>4</v>
      </c>
      <c r="Q26" s="288">
        <f t="shared" si="1"/>
        <v>4.25</v>
      </c>
      <c r="R26" s="159">
        <v>50</v>
      </c>
      <c r="S26" s="159"/>
      <c r="T26" s="304"/>
      <c r="U26" s="159"/>
      <c r="V26" s="159">
        <v>4</v>
      </c>
      <c r="W26" s="288">
        <f t="shared" si="10"/>
        <v>12.5</v>
      </c>
      <c r="X26" s="159">
        <v>51</v>
      </c>
      <c r="Y26" s="159"/>
      <c r="Z26" s="304"/>
      <c r="AA26" s="159"/>
      <c r="AB26" s="159">
        <v>4</v>
      </c>
      <c r="AC26" s="288">
        <f t="shared" si="11"/>
        <v>12.75</v>
      </c>
      <c r="AD26" s="159">
        <f t="shared" si="2"/>
        <v>33</v>
      </c>
      <c r="AE26" s="159"/>
      <c r="AF26" s="173"/>
      <c r="AG26" s="159"/>
      <c r="AH26" s="159">
        <f t="shared" si="3"/>
        <v>0</v>
      </c>
      <c r="AI26" s="289" t="s">
        <v>34</v>
      </c>
      <c r="AJ26" s="159">
        <f t="shared" si="4"/>
        <v>34</v>
      </c>
      <c r="AK26" s="159"/>
      <c r="AL26" s="173"/>
      <c r="AM26" s="159"/>
      <c r="AN26" s="159">
        <f t="shared" si="5"/>
        <v>0</v>
      </c>
      <c r="AO26" s="289" t="s">
        <v>34</v>
      </c>
      <c r="AQ26" s="279">
        <v>16</v>
      </c>
      <c r="AR26" s="256" t="s">
        <v>266</v>
      </c>
      <c r="AS26" s="99"/>
      <c r="AT26" s="374"/>
      <c r="AU26" s="159">
        <f t="shared" si="12"/>
        <v>51</v>
      </c>
      <c r="AV26" s="159"/>
      <c r="AW26" s="304"/>
      <c r="AX26" s="304"/>
      <c r="AY26" s="159">
        <f t="shared" ref="AY26:AY41" si="21">AB26</f>
        <v>4</v>
      </c>
      <c r="AZ26" s="288">
        <f t="shared" si="13"/>
        <v>12.75</v>
      </c>
      <c r="BB26" s="279">
        <v>16</v>
      </c>
      <c r="BC26" s="256" t="s">
        <v>266</v>
      </c>
      <c r="BD26" s="105"/>
      <c r="BE26" s="374"/>
      <c r="BF26" s="159">
        <f t="shared" si="14"/>
        <v>34</v>
      </c>
      <c r="BG26" s="159"/>
      <c r="BH26" s="304"/>
      <c r="BI26" s="304"/>
      <c r="BJ26" s="159">
        <f t="shared" si="7"/>
        <v>0</v>
      </c>
      <c r="BK26" s="289" t="s">
        <v>34</v>
      </c>
      <c r="BM26" s="279">
        <v>16</v>
      </c>
      <c r="BN26" s="256" t="s">
        <v>266</v>
      </c>
      <c r="BO26" s="105"/>
      <c r="BP26" s="374"/>
      <c r="BQ26" s="225"/>
      <c r="BR26" s="225"/>
      <c r="BS26" s="379">
        <f t="shared" si="8"/>
        <v>12.75</v>
      </c>
      <c r="BT26" s="173"/>
      <c r="BU26" s="173"/>
      <c r="BV26" s="379" t="str">
        <f t="shared" si="9"/>
        <v>-</v>
      </c>
    </row>
    <row r="27" spans="2:74" x14ac:dyDescent="0.35">
      <c r="B27" s="279">
        <v>17</v>
      </c>
      <c r="C27" s="256" t="s">
        <v>267</v>
      </c>
      <c r="D27" s="99"/>
      <c r="E27" s="159"/>
      <c r="F27" s="159"/>
      <c r="G27" s="9"/>
      <c r="H27" s="159"/>
      <c r="I27" s="159"/>
      <c r="J27" s="159"/>
      <c r="K27" s="159"/>
      <c r="L27" s="99">
        <v>24</v>
      </c>
      <c r="M27" s="159"/>
      <c r="N27" s="304"/>
      <c r="O27" s="159"/>
      <c r="P27" s="159">
        <v>6</v>
      </c>
      <c r="Q27" s="288">
        <f t="shared" si="1"/>
        <v>4</v>
      </c>
      <c r="R27" s="159">
        <v>25</v>
      </c>
      <c r="S27" s="159"/>
      <c r="T27" s="304"/>
      <c r="U27" s="159"/>
      <c r="V27" s="159">
        <v>11</v>
      </c>
      <c r="W27" s="288">
        <f t="shared" si="10"/>
        <v>2.2727272727272729</v>
      </c>
      <c r="X27" s="159">
        <v>25</v>
      </c>
      <c r="Y27" s="159"/>
      <c r="Z27" s="304"/>
      <c r="AA27" s="159"/>
      <c r="AB27" s="159">
        <v>14</v>
      </c>
      <c r="AC27" s="288">
        <f t="shared" si="11"/>
        <v>1.7857142857142858</v>
      </c>
      <c r="AD27" s="159">
        <f t="shared" si="2"/>
        <v>1</v>
      </c>
      <c r="AE27" s="159"/>
      <c r="AF27" s="173"/>
      <c r="AG27" s="159"/>
      <c r="AH27" s="159">
        <f t="shared" si="3"/>
        <v>5</v>
      </c>
      <c r="AI27" s="288">
        <f t="shared" si="15"/>
        <v>0.2</v>
      </c>
      <c r="AJ27" s="159">
        <f t="shared" si="4"/>
        <v>1</v>
      </c>
      <c r="AK27" s="159"/>
      <c r="AL27" s="173"/>
      <c r="AM27" s="159"/>
      <c r="AN27" s="159">
        <f t="shared" si="5"/>
        <v>8</v>
      </c>
      <c r="AO27" s="288">
        <f t="shared" ref="AO27:AO37" si="22">AJ27/AN27</f>
        <v>0.125</v>
      </c>
      <c r="AQ27" s="279">
        <v>17</v>
      </c>
      <c r="AR27" s="256" t="s">
        <v>267</v>
      </c>
      <c r="AS27" s="99"/>
      <c r="AT27" s="374"/>
      <c r="AU27" s="159">
        <f t="shared" si="12"/>
        <v>25</v>
      </c>
      <c r="AV27" s="159"/>
      <c r="AW27" s="304"/>
      <c r="AX27" s="304"/>
      <c r="AY27" s="159">
        <f t="shared" si="21"/>
        <v>14</v>
      </c>
      <c r="AZ27" s="288">
        <f t="shared" si="13"/>
        <v>1.7857142857142858</v>
      </c>
      <c r="BB27" s="279">
        <v>17</v>
      </c>
      <c r="BC27" s="256" t="s">
        <v>267</v>
      </c>
      <c r="BD27" s="105"/>
      <c r="BE27" s="374"/>
      <c r="BF27" s="159">
        <f t="shared" si="14"/>
        <v>1</v>
      </c>
      <c r="BG27" s="159"/>
      <c r="BH27" s="304"/>
      <c r="BI27" s="304"/>
      <c r="BJ27" s="159">
        <f t="shared" si="7"/>
        <v>8</v>
      </c>
      <c r="BK27" s="288">
        <f t="shared" si="17"/>
        <v>0.125</v>
      </c>
      <c r="BM27" s="279">
        <v>17</v>
      </c>
      <c r="BN27" s="256" t="s">
        <v>267</v>
      </c>
      <c r="BO27" s="105"/>
      <c r="BP27" s="374"/>
      <c r="BQ27" s="225"/>
      <c r="BR27" s="225"/>
      <c r="BS27" s="378">
        <f t="shared" si="8"/>
        <v>1.7857142857142858</v>
      </c>
      <c r="BT27" s="173"/>
      <c r="BU27" s="173"/>
      <c r="BV27" s="378">
        <f t="shared" si="9"/>
        <v>0.125</v>
      </c>
    </row>
    <row r="28" spans="2:74" x14ac:dyDescent="0.35">
      <c r="B28" s="279">
        <v>18</v>
      </c>
      <c r="C28" s="256" t="s">
        <v>268</v>
      </c>
      <c r="D28" s="99"/>
      <c r="E28" s="159"/>
      <c r="F28" s="159"/>
      <c r="G28" s="9"/>
      <c r="H28" s="159"/>
      <c r="I28" s="159"/>
      <c r="J28" s="159"/>
      <c r="K28" s="159"/>
      <c r="L28" s="99">
        <v>117</v>
      </c>
      <c r="M28" s="159"/>
      <c r="N28" s="304"/>
      <c r="O28" s="159"/>
      <c r="P28" s="159">
        <v>113</v>
      </c>
      <c r="Q28" s="288">
        <f t="shared" si="1"/>
        <v>1.0353982300884956</v>
      </c>
      <c r="R28" s="159">
        <v>214</v>
      </c>
      <c r="S28" s="159"/>
      <c r="T28" s="304"/>
      <c r="U28" s="159"/>
      <c r="V28" s="159">
        <v>140</v>
      </c>
      <c r="W28" s="288">
        <f t="shared" si="10"/>
        <v>1.5285714285714285</v>
      </c>
      <c r="X28" s="159">
        <v>218</v>
      </c>
      <c r="Y28" s="159"/>
      <c r="Z28" s="304"/>
      <c r="AA28" s="159"/>
      <c r="AB28" s="159">
        <v>144</v>
      </c>
      <c r="AC28" s="288">
        <f t="shared" si="11"/>
        <v>1.5138888888888888</v>
      </c>
      <c r="AD28" s="159">
        <f t="shared" si="2"/>
        <v>97</v>
      </c>
      <c r="AE28" s="159"/>
      <c r="AF28" s="173"/>
      <c r="AG28" s="159"/>
      <c r="AH28" s="159">
        <f t="shared" si="3"/>
        <v>27</v>
      </c>
      <c r="AI28" s="288">
        <f t="shared" si="15"/>
        <v>3.5925925925925926</v>
      </c>
      <c r="AJ28" s="159">
        <f t="shared" si="4"/>
        <v>101</v>
      </c>
      <c r="AK28" s="159"/>
      <c r="AL28" s="173"/>
      <c r="AM28" s="159"/>
      <c r="AN28" s="159">
        <f t="shared" si="5"/>
        <v>31</v>
      </c>
      <c r="AO28" s="288">
        <f t="shared" si="22"/>
        <v>3.2580645161290325</v>
      </c>
      <c r="AQ28" s="279">
        <v>18</v>
      </c>
      <c r="AR28" s="256" t="s">
        <v>268</v>
      </c>
      <c r="AS28" s="99"/>
      <c r="AT28" s="374"/>
      <c r="AU28" s="159">
        <f t="shared" si="12"/>
        <v>218</v>
      </c>
      <c r="AV28" s="159"/>
      <c r="AW28" s="304"/>
      <c r="AX28" s="304"/>
      <c r="AY28" s="159">
        <f t="shared" si="21"/>
        <v>144</v>
      </c>
      <c r="AZ28" s="288">
        <f t="shared" si="13"/>
        <v>1.5138888888888888</v>
      </c>
      <c r="BB28" s="279">
        <v>18</v>
      </c>
      <c r="BC28" s="256" t="s">
        <v>268</v>
      </c>
      <c r="BD28" s="105"/>
      <c r="BE28" s="374"/>
      <c r="BF28" s="159">
        <f t="shared" si="14"/>
        <v>101</v>
      </c>
      <c r="BG28" s="159"/>
      <c r="BH28" s="304"/>
      <c r="BI28" s="304"/>
      <c r="BJ28" s="159">
        <f t="shared" si="7"/>
        <v>31</v>
      </c>
      <c r="BK28" s="288">
        <f t="shared" si="17"/>
        <v>3.2580645161290325</v>
      </c>
      <c r="BM28" s="279">
        <v>18</v>
      </c>
      <c r="BN28" s="256" t="s">
        <v>268</v>
      </c>
      <c r="BO28" s="105"/>
      <c r="BP28" s="374"/>
      <c r="BQ28" s="225"/>
      <c r="BR28" s="225"/>
      <c r="BS28" s="378">
        <f t="shared" si="8"/>
        <v>1.5138888888888888</v>
      </c>
      <c r="BT28" s="173"/>
      <c r="BU28" s="173"/>
      <c r="BV28" s="378">
        <f t="shared" si="9"/>
        <v>3.2580645161290325</v>
      </c>
    </row>
    <row r="29" spans="2:74" x14ac:dyDescent="0.35">
      <c r="B29" s="279">
        <v>19</v>
      </c>
      <c r="C29" s="256" t="s">
        <v>269</v>
      </c>
      <c r="D29" s="99"/>
      <c r="E29" s="159"/>
      <c r="F29" s="159"/>
      <c r="G29" s="9"/>
      <c r="H29" s="159"/>
      <c r="I29" s="159"/>
      <c r="J29" s="159"/>
      <c r="K29" s="159"/>
      <c r="L29" s="99">
        <v>32</v>
      </c>
      <c r="M29" s="159"/>
      <c r="N29" s="304"/>
      <c r="O29" s="159"/>
      <c r="P29" s="159">
        <v>63</v>
      </c>
      <c r="Q29" s="288">
        <f t="shared" si="1"/>
        <v>0.50793650793650791</v>
      </c>
      <c r="R29" s="159">
        <v>62</v>
      </c>
      <c r="S29" s="159"/>
      <c r="T29" s="304"/>
      <c r="U29" s="159"/>
      <c r="V29" s="159">
        <v>98</v>
      </c>
      <c r="W29" s="288">
        <f t="shared" si="10"/>
        <v>0.63265306122448983</v>
      </c>
      <c r="X29" s="159">
        <v>63</v>
      </c>
      <c r="Y29" s="159"/>
      <c r="Z29" s="304"/>
      <c r="AA29" s="159"/>
      <c r="AB29" s="159">
        <v>104</v>
      </c>
      <c r="AC29" s="288">
        <f t="shared" si="11"/>
        <v>0.60576923076923073</v>
      </c>
      <c r="AD29" s="159">
        <f t="shared" si="2"/>
        <v>30</v>
      </c>
      <c r="AE29" s="159"/>
      <c r="AF29" s="173"/>
      <c r="AG29" s="159"/>
      <c r="AH29" s="159">
        <f t="shared" si="3"/>
        <v>35</v>
      </c>
      <c r="AI29" s="288">
        <f t="shared" si="15"/>
        <v>0.8571428571428571</v>
      </c>
      <c r="AJ29" s="159">
        <f t="shared" si="4"/>
        <v>31</v>
      </c>
      <c r="AK29" s="159"/>
      <c r="AL29" s="173"/>
      <c r="AM29" s="159"/>
      <c r="AN29" s="159">
        <f t="shared" si="5"/>
        <v>41</v>
      </c>
      <c r="AO29" s="288">
        <f t="shared" si="22"/>
        <v>0.75609756097560976</v>
      </c>
      <c r="AQ29" s="279">
        <v>19</v>
      </c>
      <c r="AR29" s="256" t="s">
        <v>269</v>
      </c>
      <c r="AS29" s="99"/>
      <c r="AT29" s="374"/>
      <c r="AU29" s="159">
        <f t="shared" si="12"/>
        <v>63</v>
      </c>
      <c r="AV29" s="159"/>
      <c r="AW29" s="304"/>
      <c r="AX29" s="304"/>
      <c r="AY29" s="159">
        <f t="shared" si="21"/>
        <v>104</v>
      </c>
      <c r="AZ29" s="288">
        <f t="shared" si="13"/>
        <v>0.60576923076923073</v>
      </c>
      <c r="BB29" s="279">
        <v>19</v>
      </c>
      <c r="BC29" s="256" t="s">
        <v>269</v>
      </c>
      <c r="BD29" s="105"/>
      <c r="BE29" s="374"/>
      <c r="BF29" s="159">
        <f t="shared" si="14"/>
        <v>31</v>
      </c>
      <c r="BG29" s="159"/>
      <c r="BH29" s="304"/>
      <c r="BI29" s="304"/>
      <c r="BJ29" s="159">
        <f t="shared" si="7"/>
        <v>41</v>
      </c>
      <c r="BK29" s="288">
        <f t="shared" si="17"/>
        <v>0.75609756097560976</v>
      </c>
      <c r="BM29" s="279">
        <v>19</v>
      </c>
      <c r="BN29" s="256" t="s">
        <v>269</v>
      </c>
      <c r="BO29" s="105"/>
      <c r="BP29" s="374"/>
      <c r="BQ29" s="225"/>
      <c r="BR29" s="225"/>
      <c r="BS29" s="378">
        <f t="shared" si="8"/>
        <v>0.60576923076923073</v>
      </c>
      <c r="BT29" s="173"/>
      <c r="BU29" s="173"/>
      <c r="BV29" s="378">
        <f t="shared" si="9"/>
        <v>0.75609756097560976</v>
      </c>
    </row>
    <row r="30" spans="2:74" x14ac:dyDescent="0.35">
      <c r="B30" s="279">
        <v>20</v>
      </c>
      <c r="C30" s="256" t="s">
        <v>270</v>
      </c>
      <c r="D30" s="99"/>
      <c r="E30" s="159"/>
      <c r="F30" s="159"/>
      <c r="G30" s="9"/>
      <c r="H30" s="159"/>
      <c r="I30" s="159"/>
      <c r="J30" s="159"/>
      <c r="K30" s="159"/>
      <c r="L30" s="99">
        <v>41</v>
      </c>
      <c r="M30" s="159"/>
      <c r="N30" s="304"/>
      <c r="O30" s="159"/>
      <c r="P30" s="159">
        <v>3</v>
      </c>
      <c r="Q30" s="288">
        <f t="shared" si="1"/>
        <v>13.666666666666666</v>
      </c>
      <c r="R30" s="159">
        <v>76</v>
      </c>
      <c r="S30" s="159"/>
      <c r="T30" s="304"/>
      <c r="U30" s="159"/>
      <c r="V30" s="159">
        <v>6</v>
      </c>
      <c r="W30" s="288">
        <f t="shared" si="10"/>
        <v>12.666666666666666</v>
      </c>
      <c r="X30" s="159">
        <v>79</v>
      </c>
      <c r="Y30" s="159"/>
      <c r="Z30" s="304"/>
      <c r="AA30" s="159"/>
      <c r="AB30" s="159">
        <v>7</v>
      </c>
      <c r="AC30" s="288">
        <f t="shared" si="11"/>
        <v>11.285714285714286</v>
      </c>
      <c r="AD30" s="159">
        <f t="shared" si="2"/>
        <v>35</v>
      </c>
      <c r="AE30" s="159"/>
      <c r="AF30" s="173"/>
      <c r="AG30" s="159"/>
      <c r="AH30" s="159">
        <f t="shared" si="3"/>
        <v>3</v>
      </c>
      <c r="AI30" s="288">
        <f t="shared" si="15"/>
        <v>11.666666666666666</v>
      </c>
      <c r="AJ30" s="159">
        <f t="shared" si="4"/>
        <v>38</v>
      </c>
      <c r="AK30" s="159"/>
      <c r="AL30" s="173"/>
      <c r="AM30" s="159"/>
      <c r="AN30" s="159">
        <f t="shared" si="5"/>
        <v>4</v>
      </c>
      <c r="AO30" s="288">
        <f t="shared" si="22"/>
        <v>9.5</v>
      </c>
      <c r="AQ30" s="279">
        <v>20</v>
      </c>
      <c r="AR30" s="256" t="s">
        <v>270</v>
      </c>
      <c r="AS30" s="99"/>
      <c r="AT30" s="374"/>
      <c r="AU30" s="159">
        <f t="shared" si="12"/>
        <v>79</v>
      </c>
      <c r="AV30" s="159"/>
      <c r="AW30" s="304"/>
      <c r="AX30" s="304"/>
      <c r="AY30" s="159">
        <f t="shared" si="21"/>
        <v>7</v>
      </c>
      <c r="AZ30" s="288">
        <f t="shared" si="13"/>
        <v>11.285714285714286</v>
      </c>
      <c r="BB30" s="279">
        <v>20</v>
      </c>
      <c r="BC30" s="256" t="s">
        <v>270</v>
      </c>
      <c r="BD30" s="105"/>
      <c r="BE30" s="374"/>
      <c r="BF30" s="159">
        <f t="shared" si="14"/>
        <v>38</v>
      </c>
      <c r="BG30" s="159"/>
      <c r="BH30" s="304"/>
      <c r="BI30" s="304"/>
      <c r="BJ30" s="159">
        <f t="shared" si="7"/>
        <v>4</v>
      </c>
      <c r="BK30" s="288">
        <f t="shared" si="17"/>
        <v>9.5</v>
      </c>
      <c r="BM30" s="279">
        <v>20</v>
      </c>
      <c r="BN30" s="256" t="s">
        <v>270</v>
      </c>
      <c r="BO30" s="105"/>
      <c r="BP30" s="374"/>
      <c r="BQ30" s="225"/>
      <c r="BR30" s="225"/>
      <c r="BS30" s="378">
        <f t="shared" si="8"/>
        <v>11.285714285714286</v>
      </c>
      <c r="BT30" s="173"/>
      <c r="BU30" s="173"/>
      <c r="BV30" s="378">
        <f t="shared" si="9"/>
        <v>9.5</v>
      </c>
    </row>
    <row r="31" spans="2:74" x14ac:dyDescent="0.35">
      <c r="B31" s="279">
        <v>21</v>
      </c>
      <c r="C31" s="256" t="s">
        <v>271</v>
      </c>
      <c r="D31" s="280"/>
      <c r="E31" s="281">
        <f>S31/0.26</f>
        <v>2765.3846153846152</v>
      </c>
      <c r="F31" s="281">
        <f>E31*0.1</f>
        <v>276.53846153846155</v>
      </c>
      <c r="G31" s="344">
        <f>F31/365</f>
        <v>0.75763962065331936</v>
      </c>
      <c r="H31" s="281">
        <f>($E31+(DATEDIF($D$9,H$9,"M")/12)*$F31)-M31</f>
        <v>2747.0576923076924</v>
      </c>
      <c r="I31" s="281">
        <f>($E31+(DATEDIF($D$9,I$9,"M")/12)*$F31)-S31</f>
        <v>2599.4615384615381</v>
      </c>
      <c r="J31" s="281">
        <f>($E31+(DATEDIF($D$9,J$9,"M")/12)*$F31)-Y31</f>
        <v>2587.5064102564102</v>
      </c>
      <c r="K31" s="281"/>
      <c r="L31" s="280">
        <f>SUM(L26:L30)</f>
        <v>231</v>
      </c>
      <c r="M31" s="281">
        <v>364</v>
      </c>
      <c r="N31" s="317">
        <f>M31/M$4</f>
        <v>0.76470588235294112</v>
      </c>
      <c r="O31" s="281">
        <f>H31/(N31*30)</f>
        <v>119.74354043392508</v>
      </c>
      <c r="P31" s="281">
        <f>SUM(P26:P30)</f>
        <v>189</v>
      </c>
      <c r="Q31" s="282">
        <f t="shared" si="1"/>
        <v>1.2222222222222223</v>
      </c>
      <c r="R31" s="281">
        <f>SUM(R26:R30)</f>
        <v>427</v>
      </c>
      <c r="S31" s="281">
        <v>719</v>
      </c>
      <c r="T31" s="317">
        <f>S31/S$4</f>
        <v>0.95739014647137155</v>
      </c>
      <c r="U31" s="281">
        <f>I31/(T31*30)</f>
        <v>90.505128205128187</v>
      </c>
      <c r="V31" s="281">
        <f>SUM(V26:V30)</f>
        <v>259</v>
      </c>
      <c r="W31" s="282">
        <f t="shared" si="10"/>
        <v>1.6486486486486487</v>
      </c>
      <c r="X31" s="281">
        <f>SUM(X26:X30)</f>
        <v>436</v>
      </c>
      <c r="Y31" s="281">
        <v>754</v>
      </c>
      <c r="Z31" s="317">
        <f>Y31/Y$4</f>
        <v>0.97039897039897038</v>
      </c>
      <c r="AA31" s="281">
        <f>J31/(Z31*30)</f>
        <v>88.881188362919133</v>
      </c>
      <c r="AB31" s="281">
        <f>SUM(AB26:AB30)</f>
        <v>273</v>
      </c>
      <c r="AC31" s="282">
        <f t="shared" si="11"/>
        <v>1.5970695970695972</v>
      </c>
      <c r="AD31" s="281">
        <f t="shared" si="2"/>
        <v>196</v>
      </c>
      <c r="AE31" s="281">
        <f>S31-$M31</f>
        <v>355</v>
      </c>
      <c r="AF31" s="330">
        <f>AE31/AE$4</f>
        <v>1.290909090909091</v>
      </c>
      <c r="AG31" s="281">
        <f>I31/(AF31*30)</f>
        <v>67.122246298302613</v>
      </c>
      <c r="AH31" s="281">
        <f t="shared" si="3"/>
        <v>70</v>
      </c>
      <c r="AI31" s="282">
        <f t="shared" si="15"/>
        <v>2.8</v>
      </c>
      <c r="AJ31" s="281">
        <f t="shared" si="4"/>
        <v>205</v>
      </c>
      <c r="AK31" s="281">
        <f>Y31-$M31</f>
        <v>390</v>
      </c>
      <c r="AL31" s="330">
        <f>AK31/AK$4</f>
        <v>1.2956810631229236</v>
      </c>
      <c r="AM31" s="281">
        <f>J31/(AL31*30)</f>
        <v>66.567472605741827</v>
      </c>
      <c r="AN31" s="281">
        <f t="shared" si="5"/>
        <v>84</v>
      </c>
      <c r="AO31" s="282">
        <f t="shared" si="22"/>
        <v>2.4404761904761907</v>
      </c>
      <c r="AQ31" s="279">
        <v>21</v>
      </c>
      <c r="AR31" s="256" t="s">
        <v>271</v>
      </c>
      <c r="AS31" s="280">
        <f>J31</f>
        <v>2587.5064102564102</v>
      </c>
      <c r="AT31" s="372">
        <f>G31</f>
        <v>0.75763962065331936</v>
      </c>
      <c r="AU31" s="281">
        <f t="shared" si="12"/>
        <v>436</v>
      </c>
      <c r="AV31" s="281">
        <f t="shared" ref="AV31:AV33" si="23">Y31</f>
        <v>754</v>
      </c>
      <c r="AW31" s="317">
        <f>AV31/AV$4</f>
        <v>0.97039897039897038</v>
      </c>
      <c r="AX31" s="281">
        <f>AS31/(AW31*30)</f>
        <v>88.881188362919133</v>
      </c>
      <c r="AY31" s="281">
        <f t="shared" si="21"/>
        <v>273</v>
      </c>
      <c r="AZ31" s="282">
        <f t="shared" si="13"/>
        <v>1.5970695970695972</v>
      </c>
      <c r="BB31" s="279">
        <v>21</v>
      </c>
      <c r="BC31" s="256" t="s">
        <v>271</v>
      </c>
      <c r="BD31" s="326">
        <f>J31</f>
        <v>2587.5064102564102</v>
      </c>
      <c r="BE31" s="372">
        <f>G31</f>
        <v>0.75763962065331936</v>
      </c>
      <c r="BF31" s="281">
        <f t="shared" si="14"/>
        <v>205</v>
      </c>
      <c r="BG31" s="281">
        <f>AK31</f>
        <v>390</v>
      </c>
      <c r="BH31" s="317">
        <f>BG31/BG$4</f>
        <v>1.2956810631229236</v>
      </c>
      <c r="BI31" s="281">
        <f>BD31/(BH31*30)</f>
        <v>66.567472605741827</v>
      </c>
      <c r="BJ31" s="281">
        <f t="shared" si="7"/>
        <v>84</v>
      </c>
      <c r="BK31" s="282">
        <f t="shared" si="17"/>
        <v>2.4404761904761907</v>
      </c>
      <c r="BM31" s="279">
        <v>21</v>
      </c>
      <c r="BN31" s="256" t="s">
        <v>271</v>
      </c>
      <c r="BO31" s="326">
        <f>J31</f>
        <v>2587.5064102564102</v>
      </c>
      <c r="BP31" s="372">
        <f>G31</f>
        <v>0.75763962065331936</v>
      </c>
      <c r="BQ31" s="330">
        <f>AW31</f>
        <v>0.97039897039897038</v>
      </c>
      <c r="BR31" s="281">
        <f>$BO31/(BQ31*30)</f>
        <v>88.881188362919133</v>
      </c>
      <c r="BS31" s="333">
        <f t="shared" si="8"/>
        <v>1.5970695970695972</v>
      </c>
      <c r="BT31" s="330">
        <f>BH31</f>
        <v>1.2956810631229236</v>
      </c>
      <c r="BU31" s="281">
        <f>$BO31/(BT31*30)</f>
        <v>66.567472605741827</v>
      </c>
      <c r="BV31" s="333">
        <f t="shared" si="9"/>
        <v>2.4404761904761907</v>
      </c>
    </row>
    <row r="32" spans="2:74" x14ac:dyDescent="0.35">
      <c r="B32" s="279">
        <v>22</v>
      </c>
      <c r="C32" s="256" t="s">
        <v>1359</v>
      </c>
      <c r="D32" s="280">
        <v>1379</v>
      </c>
      <c r="E32" s="281">
        <f>S32/0.24</f>
        <v>1445.8333333333335</v>
      </c>
      <c r="F32" s="281">
        <f>2*27</f>
        <v>54</v>
      </c>
      <c r="G32" s="344">
        <f>F32/365</f>
        <v>0.14794520547945206</v>
      </c>
      <c r="H32" s="281">
        <f>($E32+(DATEDIF($D$9,H$9,"M")/12)*$F32)-M32</f>
        <v>1199.3333333333335</v>
      </c>
      <c r="I32" s="281">
        <f>($E32+(DATEDIF($D$9,I$9,"M")/12)*$F32)-S32</f>
        <v>1206.8333333333335</v>
      </c>
      <c r="J32" s="281">
        <f>($E32+(DATEDIF($D$9,J$9,"M")/12)*$F32)-Y32</f>
        <v>1211.3333333333335</v>
      </c>
      <c r="K32" s="281">
        <v>145</v>
      </c>
      <c r="L32" s="280">
        <v>82</v>
      </c>
      <c r="M32" s="281">
        <v>314</v>
      </c>
      <c r="N32" s="317">
        <f t="shared" ref="N32:N33" si="24">M32/M$4</f>
        <v>0.65966386554621848</v>
      </c>
      <c r="O32" s="281">
        <f>H32/(N32*30)</f>
        <v>60.60325548478415</v>
      </c>
      <c r="P32" s="281">
        <v>68</v>
      </c>
      <c r="Q32" s="282">
        <f t="shared" si="1"/>
        <v>1.2058823529411764</v>
      </c>
      <c r="R32" s="281">
        <v>105</v>
      </c>
      <c r="S32" s="281">
        <v>347</v>
      </c>
      <c r="T32" s="317">
        <f t="shared" ref="T32:T33" si="25">S32/S$4</f>
        <v>0.46205059920106523</v>
      </c>
      <c r="U32" s="281">
        <f>I32/(T32*30)</f>
        <v>87.063576689081032</v>
      </c>
      <c r="V32" s="281">
        <v>81</v>
      </c>
      <c r="W32" s="282">
        <f t="shared" si="10"/>
        <v>1.2962962962962963</v>
      </c>
      <c r="X32" s="281">
        <v>108</v>
      </c>
      <c r="Y32" s="281">
        <v>347</v>
      </c>
      <c r="Z32" s="317">
        <f t="shared" ref="Z32:Z33" si="26">Y32/Y$4</f>
        <v>0.4465894465894466</v>
      </c>
      <c r="AA32" s="281">
        <f>J32/(Z32*30)</f>
        <v>90.413640730067257</v>
      </c>
      <c r="AB32" s="281">
        <v>84</v>
      </c>
      <c r="AC32" s="282">
        <f t="shared" si="11"/>
        <v>1.2857142857142858</v>
      </c>
      <c r="AD32" s="281">
        <f t="shared" si="2"/>
        <v>23</v>
      </c>
      <c r="AE32" s="281">
        <f>S32-$M32</f>
        <v>33</v>
      </c>
      <c r="AF32" s="330">
        <f>AE32/AE$4</f>
        <v>0.12</v>
      </c>
      <c r="AG32" s="281">
        <f>I32/(AF32*30)</f>
        <v>335.23148148148158</v>
      </c>
      <c r="AH32" s="281">
        <f t="shared" si="3"/>
        <v>13</v>
      </c>
      <c r="AI32" s="282">
        <f t="shared" si="15"/>
        <v>1.7692307692307692</v>
      </c>
      <c r="AJ32" s="281">
        <f t="shared" si="4"/>
        <v>26</v>
      </c>
      <c r="AK32" s="281">
        <f>Y32-$M32</f>
        <v>33</v>
      </c>
      <c r="AL32" s="330">
        <f>AK32/AK$4</f>
        <v>0.10963455149501661</v>
      </c>
      <c r="AM32" s="281">
        <f>J32/(AL32*30)</f>
        <v>368.29427609427614</v>
      </c>
      <c r="AN32" s="281">
        <f t="shared" si="5"/>
        <v>16</v>
      </c>
      <c r="AO32" s="282">
        <f t="shared" si="22"/>
        <v>1.625</v>
      </c>
      <c r="AQ32" s="279">
        <v>22</v>
      </c>
      <c r="AR32" s="256" t="s">
        <v>272</v>
      </c>
      <c r="AS32" s="280">
        <f>J32</f>
        <v>1211.3333333333335</v>
      </c>
      <c r="AT32" s="372">
        <f t="shared" ref="AT32:AT33" si="27">G32</f>
        <v>0.14794520547945206</v>
      </c>
      <c r="AU32" s="281">
        <f t="shared" si="12"/>
        <v>108</v>
      </c>
      <c r="AV32" s="281">
        <f t="shared" si="23"/>
        <v>347</v>
      </c>
      <c r="AW32" s="317">
        <f t="shared" ref="AW32:AW33" si="28">AV32/AV$4</f>
        <v>0.4465894465894466</v>
      </c>
      <c r="AX32" s="281">
        <f>AS32/(AW32*30)</f>
        <v>90.413640730067257</v>
      </c>
      <c r="AY32" s="281">
        <f t="shared" si="21"/>
        <v>84</v>
      </c>
      <c r="AZ32" s="282">
        <f t="shared" si="13"/>
        <v>1.2857142857142858</v>
      </c>
      <c r="BB32" s="279">
        <v>22</v>
      </c>
      <c r="BC32" s="256" t="s">
        <v>272</v>
      </c>
      <c r="BD32" s="326">
        <f>J32</f>
        <v>1211.3333333333335</v>
      </c>
      <c r="BE32" s="372">
        <f>G32</f>
        <v>0.14794520547945206</v>
      </c>
      <c r="BF32" s="281">
        <f t="shared" si="14"/>
        <v>26</v>
      </c>
      <c r="BG32" s="281">
        <f>AK32</f>
        <v>33</v>
      </c>
      <c r="BH32" s="317">
        <f t="shared" ref="BH32:BH33" si="29">BG32/BG$4</f>
        <v>0.10963455149501661</v>
      </c>
      <c r="BI32" s="281">
        <f>BD32/(BH32*30)</f>
        <v>368.29427609427614</v>
      </c>
      <c r="BJ32" s="281">
        <f t="shared" si="7"/>
        <v>16</v>
      </c>
      <c r="BK32" s="282">
        <f t="shared" si="17"/>
        <v>1.625</v>
      </c>
      <c r="BM32" s="279">
        <v>22</v>
      </c>
      <c r="BN32" s="256" t="s">
        <v>272</v>
      </c>
      <c r="BO32" s="326">
        <f>J32</f>
        <v>1211.3333333333335</v>
      </c>
      <c r="BP32" s="372">
        <f>G32</f>
        <v>0.14794520547945206</v>
      </c>
      <c r="BQ32" s="330">
        <f>AW32</f>
        <v>0.4465894465894466</v>
      </c>
      <c r="BR32" s="281">
        <f>$BO32/(BQ32*30)</f>
        <v>90.413640730067257</v>
      </c>
      <c r="BS32" s="333">
        <f t="shared" si="8"/>
        <v>1.2857142857142858</v>
      </c>
      <c r="BT32" s="330">
        <f>BH32</f>
        <v>0.10963455149501661</v>
      </c>
      <c r="BU32" s="281">
        <f>$BO32/(BT32*30)</f>
        <v>368.29427609427614</v>
      </c>
      <c r="BV32" s="333">
        <f t="shared" si="9"/>
        <v>1.625</v>
      </c>
    </row>
    <row r="33" spans="2:74" x14ac:dyDescent="0.35">
      <c r="B33" s="279">
        <v>23</v>
      </c>
      <c r="C33" s="256" t="s">
        <v>273</v>
      </c>
      <c r="D33" s="280">
        <v>961</v>
      </c>
      <c r="E33" s="281">
        <f>S33/0.34</f>
        <v>955.88235294117635</v>
      </c>
      <c r="F33" s="281">
        <f>D33*0.1</f>
        <v>96.100000000000009</v>
      </c>
      <c r="G33" s="344">
        <f>F33/365</f>
        <v>0.26328767123287672</v>
      </c>
      <c r="H33" s="281">
        <f>($E33+(DATEDIF($D$9,H$9,"M")/12)*$F33)-M33</f>
        <v>775.00735294117635</v>
      </c>
      <c r="I33" s="281">
        <f>($E33+(DATEDIF($D$9,I$9,"M")/12)*$F33)-S33</f>
        <v>823.0823529411764</v>
      </c>
      <c r="J33" s="281">
        <f>($E33+(DATEDIF($D$9,J$9,"M")/12)*$F33)-Y33</f>
        <v>831.09068627450961</v>
      </c>
      <c r="K33" s="281"/>
      <c r="L33" s="280">
        <v>90</v>
      </c>
      <c r="M33" s="281">
        <v>301</v>
      </c>
      <c r="N33" s="317">
        <f t="shared" si="24"/>
        <v>0.63235294117647056</v>
      </c>
      <c r="O33" s="281">
        <f>H33/(N33*30)</f>
        <v>40.853100775193795</v>
      </c>
      <c r="P33" s="281">
        <v>31</v>
      </c>
      <c r="Q33" s="282">
        <f t="shared" si="1"/>
        <v>2.903225806451613</v>
      </c>
      <c r="R33" s="281">
        <v>135</v>
      </c>
      <c r="S33" s="281">
        <v>325</v>
      </c>
      <c r="T33" s="317">
        <f t="shared" si="25"/>
        <v>0.43275632490013316</v>
      </c>
      <c r="U33" s="281">
        <f>I33/(T33*30)</f>
        <v>63.398445852187017</v>
      </c>
      <c r="V33" s="281">
        <v>40</v>
      </c>
      <c r="W33" s="282">
        <f t="shared" si="10"/>
        <v>3.375</v>
      </c>
      <c r="X33" s="281">
        <v>136</v>
      </c>
      <c r="Y33" s="281">
        <v>325</v>
      </c>
      <c r="Z33" s="317">
        <f t="shared" si="26"/>
        <v>0.41827541827541825</v>
      </c>
      <c r="AA33" s="281">
        <f>J33/(Z33*30)</f>
        <v>66.231534690799378</v>
      </c>
      <c r="AB33" s="281">
        <v>43</v>
      </c>
      <c r="AC33" s="282">
        <f t="shared" si="11"/>
        <v>3.1627906976744184</v>
      </c>
      <c r="AD33" s="281">
        <f t="shared" si="2"/>
        <v>45</v>
      </c>
      <c r="AE33" s="281">
        <f>S33-$M33</f>
        <v>24</v>
      </c>
      <c r="AF33" s="330">
        <f>AE33/AE$4</f>
        <v>8.727272727272728E-2</v>
      </c>
      <c r="AG33" s="281">
        <f>I33/(AF33*30)</f>
        <v>314.37173202614377</v>
      </c>
      <c r="AH33" s="281">
        <f t="shared" si="3"/>
        <v>9</v>
      </c>
      <c r="AI33" s="282">
        <f t="shared" si="15"/>
        <v>5</v>
      </c>
      <c r="AJ33" s="281">
        <f t="shared" si="4"/>
        <v>46</v>
      </c>
      <c r="AK33" s="281">
        <f>Y33-$M33</f>
        <v>24</v>
      </c>
      <c r="AL33" s="330">
        <f>AK33/AK$4</f>
        <v>7.9734219269102985E-2</v>
      </c>
      <c r="AM33" s="281">
        <f>J33/(AL33*30)</f>
        <v>347.44207856753809</v>
      </c>
      <c r="AN33" s="281">
        <f t="shared" si="5"/>
        <v>12</v>
      </c>
      <c r="AO33" s="282">
        <f t="shared" si="22"/>
        <v>3.8333333333333335</v>
      </c>
      <c r="AQ33" s="279">
        <v>23</v>
      </c>
      <c r="AR33" s="256" t="s">
        <v>273</v>
      </c>
      <c r="AS33" s="280">
        <f>J33</f>
        <v>831.09068627450961</v>
      </c>
      <c r="AT33" s="372">
        <f t="shared" si="27"/>
        <v>0.26328767123287672</v>
      </c>
      <c r="AU33" s="281">
        <f t="shared" si="12"/>
        <v>136</v>
      </c>
      <c r="AV33" s="281">
        <f t="shared" si="23"/>
        <v>325</v>
      </c>
      <c r="AW33" s="317">
        <f t="shared" si="28"/>
        <v>0.41827541827541825</v>
      </c>
      <c r="AX33" s="281">
        <f>AS33/(AW33*30)</f>
        <v>66.231534690799378</v>
      </c>
      <c r="AY33" s="281">
        <f t="shared" si="21"/>
        <v>43</v>
      </c>
      <c r="AZ33" s="282">
        <f t="shared" si="13"/>
        <v>3.1627906976744184</v>
      </c>
      <c r="BB33" s="279">
        <v>23</v>
      </c>
      <c r="BC33" s="256" t="s">
        <v>273</v>
      </c>
      <c r="BD33" s="326">
        <f>J33</f>
        <v>831.09068627450961</v>
      </c>
      <c r="BE33" s="372">
        <f>G33</f>
        <v>0.26328767123287672</v>
      </c>
      <c r="BF33" s="281">
        <f t="shared" si="14"/>
        <v>46</v>
      </c>
      <c r="BG33" s="281">
        <f>AK33</f>
        <v>24</v>
      </c>
      <c r="BH33" s="317">
        <f t="shared" si="29"/>
        <v>7.9734219269102985E-2</v>
      </c>
      <c r="BI33" s="281">
        <f>BD33/(BH33*30)</f>
        <v>347.44207856753809</v>
      </c>
      <c r="BJ33" s="281">
        <f t="shared" si="7"/>
        <v>12</v>
      </c>
      <c r="BK33" s="282">
        <f t="shared" si="17"/>
        <v>3.8333333333333335</v>
      </c>
      <c r="BM33" s="279">
        <v>23</v>
      </c>
      <c r="BN33" s="256" t="s">
        <v>273</v>
      </c>
      <c r="BO33" s="326">
        <f>J33</f>
        <v>831.09068627450961</v>
      </c>
      <c r="BP33" s="372">
        <f>G33</f>
        <v>0.26328767123287672</v>
      </c>
      <c r="BQ33" s="330">
        <f>AW33</f>
        <v>0.41827541827541825</v>
      </c>
      <c r="BR33" s="281">
        <f>$BO33/(BQ33*30)</f>
        <v>66.231534690799378</v>
      </c>
      <c r="BS33" s="333">
        <f t="shared" si="8"/>
        <v>3.1627906976744184</v>
      </c>
      <c r="BT33" s="330">
        <f>BH33</f>
        <v>7.9734219269102985E-2</v>
      </c>
      <c r="BU33" s="281">
        <f>$BO33/(BT33*30)</f>
        <v>347.44207856753809</v>
      </c>
      <c r="BV33" s="333">
        <f t="shared" si="9"/>
        <v>3.8333333333333335</v>
      </c>
    </row>
    <row r="34" spans="2:74" x14ac:dyDescent="0.35">
      <c r="B34" s="279">
        <v>24</v>
      </c>
      <c r="C34" s="256" t="s">
        <v>274</v>
      </c>
      <c r="D34" s="99"/>
      <c r="E34" s="159"/>
      <c r="F34" s="159"/>
      <c r="G34" s="9"/>
      <c r="H34" s="159"/>
      <c r="I34" s="159"/>
      <c r="J34" s="159"/>
      <c r="K34" s="159"/>
      <c r="L34" s="99">
        <v>10</v>
      </c>
      <c r="M34" s="159"/>
      <c r="N34" s="304"/>
      <c r="O34" s="159"/>
      <c r="P34" s="159">
        <v>23</v>
      </c>
      <c r="Q34" s="288">
        <f t="shared" si="1"/>
        <v>0.43478260869565216</v>
      </c>
      <c r="R34" s="159">
        <v>14</v>
      </c>
      <c r="S34" s="159"/>
      <c r="T34" s="304"/>
      <c r="U34" s="159"/>
      <c r="V34" s="159">
        <v>27</v>
      </c>
      <c r="W34" s="288">
        <f t="shared" si="10"/>
        <v>0.51851851851851849</v>
      </c>
      <c r="X34" s="159">
        <v>14</v>
      </c>
      <c r="Y34" s="159"/>
      <c r="Z34" s="304"/>
      <c r="AA34" s="159"/>
      <c r="AB34" s="159">
        <v>27</v>
      </c>
      <c r="AC34" s="288">
        <f t="shared" si="11"/>
        <v>0.51851851851851849</v>
      </c>
      <c r="AD34" s="159">
        <f t="shared" si="2"/>
        <v>4</v>
      </c>
      <c r="AE34" s="159"/>
      <c r="AF34" s="173"/>
      <c r="AG34" s="159"/>
      <c r="AH34" s="159">
        <f t="shared" si="3"/>
        <v>4</v>
      </c>
      <c r="AI34" s="288">
        <f t="shared" si="15"/>
        <v>1</v>
      </c>
      <c r="AJ34" s="159">
        <f t="shared" si="4"/>
        <v>4</v>
      </c>
      <c r="AK34" s="159"/>
      <c r="AL34" s="173"/>
      <c r="AM34" s="159"/>
      <c r="AN34" s="159">
        <f t="shared" si="5"/>
        <v>4</v>
      </c>
      <c r="AO34" s="288">
        <f t="shared" si="22"/>
        <v>1</v>
      </c>
      <c r="AQ34" s="279">
        <v>24</v>
      </c>
      <c r="AR34" s="256" t="s">
        <v>274</v>
      </c>
      <c r="AS34" s="99"/>
      <c r="AT34" s="374"/>
      <c r="AU34" s="159">
        <f t="shared" si="12"/>
        <v>14</v>
      </c>
      <c r="AV34" s="159"/>
      <c r="AW34" s="304"/>
      <c r="AX34" s="304"/>
      <c r="AY34" s="159">
        <f t="shared" si="21"/>
        <v>27</v>
      </c>
      <c r="AZ34" s="288">
        <f t="shared" si="13"/>
        <v>0.51851851851851849</v>
      </c>
      <c r="BB34" s="279">
        <v>24</v>
      </c>
      <c r="BC34" s="256" t="s">
        <v>274</v>
      </c>
      <c r="BD34" s="105"/>
      <c r="BE34" s="374"/>
      <c r="BF34" s="159">
        <f t="shared" si="14"/>
        <v>4</v>
      </c>
      <c r="BG34" s="159"/>
      <c r="BH34" s="304"/>
      <c r="BI34" s="304"/>
      <c r="BJ34" s="159">
        <f t="shared" si="7"/>
        <v>4</v>
      </c>
      <c r="BK34" s="288">
        <f t="shared" si="17"/>
        <v>1</v>
      </c>
      <c r="BM34" s="279">
        <v>24</v>
      </c>
      <c r="BN34" s="256" t="s">
        <v>274</v>
      </c>
      <c r="BO34" s="105"/>
      <c r="BP34" s="374"/>
      <c r="BQ34" s="173"/>
      <c r="BR34" s="173"/>
      <c r="BS34" s="378">
        <f t="shared" si="8"/>
        <v>0.51851851851851849</v>
      </c>
      <c r="BT34" s="173"/>
      <c r="BU34" s="173"/>
      <c r="BV34" s="378">
        <f t="shared" si="9"/>
        <v>1</v>
      </c>
    </row>
    <row r="35" spans="2:74" x14ac:dyDescent="0.35">
      <c r="B35" s="279">
        <v>25</v>
      </c>
      <c r="C35" s="256" t="s">
        <v>275</v>
      </c>
      <c r="D35" s="99"/>
      <c r="E35" s="159"/>
      <c r="F35" s="159"/>
      <c r="G35" s="9"/>
      <c r="H35" s="159"/>
      <c r="I35" s="159"/>
      <c r="J35" s="159"/>
      <c r="K35" s="159"/>
      <c r="L35" s="99">
        <v>236</v>
      </c>
      <c r="M35" s="159"/>
      <c r="N35" s="304"/>
      <c r="O35" s="159"/>
      <c r="P35" s="159">
        <v>121</v>
      </c>
      <c r="Q35" s="288">
        <f t="shared" si="1"/>
        <v>1.9504132231404958</v>
      </c>
      <c r="R35" s="159">
        <v>337</v>
      </c>
      <c r="S35" s="159"/>
      <c r="T35" s="304"/>
      <c r="U35" s="159"/>
      <c r="V35" s="159">
        <v>271</v>
      </c>
      <c r="W35" s="288">
        <f t="shared" si="10"/>
        <v>1.2435424354243543</v>
      </c>
      <c r="X35" s="159">
        <v>342</v>
      </c>
      <c r="Y35" s="159"/>
      <c r="Z35" s="304"/>
      <c r="AA35" s="159"/>
      <c r="AB35" s="159">
        <v>290</v>
      </c>
      <c r="AC35" s="288">
        <f t="shared" si="11"/>
        <v>1.1793103448275861</v>
      </c>
      <c r="AD35" s="159">
        <f t="shared" si="2"/>
        <v>101</v>
      </c>
      <c r="AE35" s="159"/>
      <c r="AF35" s="173"/>
      <c r="AG35" s="159"/>
      <c r="AH35" s="159">
        <f t="shared" si="3"/>
        <v>150</v>
      </c>
      <c r="AI35" s="288">
        <f t="shared" si="15"/>
        <v>0.67333333333333334</v>
      </c>
      <c r="AJ35" s="159">
        <f t="shared" si="4"/>
        <v>106</v>
      </c>
      <c r="AK35" s="159"/>
      <c r="AL35" s="173"/>
      <c r="AM35" s="159"/>
      <c r="AN35" s="159">
        <f t="shared" si="5"/>
        <v>169</v>
      </c>
      <c r="AO35" s="288">
        <f t="shared" si="22"/>
        <v>0.62721893491124259</v>
      </c>
      <c r="AQ35" s="279">
        <v>25</v>
      </c>
      <c r="AR35" s="256" t="s">
        <v>275</v>
      </c>
      <c r="AS35" s="99"/>
      <c r="AT35" s="374"/>
      <c r="AU35" s="159">
        <f t="shared" si="12"/>
        <v>342</v>
      </c>
      <c r="AV35" s="159"/>
      <c r="AW35" s="304"/>
      <c r="AX35" s="304"/>
      <c r="AY35" s="159">
        <f t="shared" si="21"/>
        <v>290</v>
      </c>
      <c r="AZ35" s="288">
        <f t="shared" si="13"/>
        <v>1.1793103448275861</v>
      </c>
      <c r="BB35" s="279">
        <v>25</v>
      </c>
      <c r="BC35" s="256" t="s">
        <v>275</v>
      </c>
      <c r="BD35" s="105"/>
      <c r="BE35" s="374"/>
      <c r="BF35" s="159">
        <f t="shared" si="14"/>
        <v>106</v>
      </c>
      <c r="BG35" s="159"/>
      <c r="BH35" s="304"/>
      <c r="BI35" s="304"/>
      <c r="BJ35" s="159">
        <f t="shared" si="7"/>
        <v>169</v>
      </c>
      <c r="BK35" s="288">
        <f t="shared" si="17"/>
        <v>0.62721893491124259</v>
      </c>
      <c r="BM35" s="279">
        <v>25</v>
      </c>
      <c r="BN35" s="256" t="s">
        <v>275</v>
      </c>
      <c r="BO35" s="105"/>
      <c r="BP35" s="374"/>
      <c r="BQ35" s="173"/>
      <c r="BR35" s="173"/>
      <c r="BS35" s="378">
        <f t="shared" si="8"/>
        <v>1.1793103448275861</v>
      </c>
      <c r="BT35" s="173"/>
      <c r="BU35" s="173"/>
      <c r="BV35" s="378">
        <f t="shared" si="9"/>
        <v>0.62721893491124259</v>
      </c>
    </row>
    <row r="36" spans="2:74" x14ac:dyDescent="0.35">
      <c r="B36" s="279">
        <v>26</v>
      </c>
      <c r="C36" s="256" t="s">
        <v>276</v>
      </c>
      <c r="D36" s="280"/>
      <c r="E36" s="290" t="s">
        <v>34</v>
      </c>
      <c r="F36" s="290" t="s">
        <v>34</v>
      </c>
      <c r="G36" s="367"/>
      <c r="H36" s="290" t="s">
        <v>34</v>
      </c>
      <c r="I36" s="290" t="s">
        <v>34</v>
      </c>
      <c r="J36" s="290" t="s">
        <v>34</v>
      </c>
      <c r="K36" s="281"/>
      <c r="L36" s="284">
        <f>SUM(L34:L35)</f>
        <v>246</v>
      </c>
      <c r="M36" s="285">
        <v>3333</v>
      </c>
      <c r="N36" s="347">
        <f t="shared" ref="N36:N39" si="30">M36/M$4</f>
        <v>7.0021008403361344</v>
      </c>
      <c r="O36" s="401" t="s">
        <v>34</v>
      </c>
      <c r="P36" s="285">
        <f>SUM(P34:P35)</f>
        <v>144</v>
      </c>
      <c r="Q36" s="286">
        <f t="shared" si="1"/>
        <v>1.7083333333333333</v>
      </c>
      <c r="R36" s="285">
        <f>SUM(R34:R35)</f>
        <v>351</v>
      </c>
      <c r="S36" s="285">
        <v>8268</v>
      </c>
      <c r="T36" s="347">
        <f t="shared" ref="T36:T39" si="31">S36/S$4</f>
        <v>11.009320905459388</v>
      </c>
      <c r="U36" s="401" t="s">
        <v>34</v>
      </c>
      <c r="V36" s="285">
        <f>SUM(V34:V35)</f>
        <v>298</v>
      </c>
      <c r="W36" s="286">
        <f t="shared" si="10"/>
        <v>1.1778523489932886</v>
      </c>
      <c r="X36" s="285">
        <f>SUM(X34:X35)</f>
        <v>356</v>
      </c>
      <c r="Y36" s="285">
        <v>9104</v>
      </c>
      <c r="Z36" s="347">
        <f t="shared" ref="Z36:Z39" si="32">Y36/Y$4</f>
        <v>11.716859716859718</v>
      </c>
      <c r="AA36" s="401" t="s">
        <v>34</v>
      </c>
      <c r="AB36" s="285">
        <f>SUM(AB34:AB35)</f>
        <v>317</v>
      </c>
      <c r="AC36" s="286">
        <f t="shared" si="11"/>
        <v>1.1230283911671923</v>
      </c>
      <c r="AD36" s="285">
        <f t="shared" si="2"/>
        <v>105</v>
      </c>
      <c r="AE36" s="285">
        <f>S36-$M36</f>
        <v>4935</v>
      </c>
      <c r="AF36" s="376">
        <f>AE36/AE$4</f>
        <v>17.945454545454545</v>
      </c>
      <c r="AG36" s="401" t="s">
        <v>34</v>
      </c>
      <c r="AH36" s="285">
        <f t="shared" si="3"/>
        <v>154</v>
      </c>
      <c r="AI36" s="286">
        <f t="shared" si="15"/>
        <v>0.68181818181818177</v>
      </c>
      <c r="AJ36" s="285">
        <f t="shared" si="4"/>
        <v>110</v>
      </c>
      <c r="AK36" s="285">
        <f>Y36-$M36</f>
        <v>5771</v>
      </c>
      <c r="AL36" s="376">
        <f>AK36/AK$4</f>
        <v>19.172757475083056</v>
      </c>
      <c r="AM36" s="401" t="s">
        <v>34</v>
      </c>
      <c r="AN36" s="285">
        <f t="shared" si="5"/>
        <v>173</v>
      </c>
      <c r="AO36" s="286">
        <f t="shared" si="22"/>
        <v>0.63583815028901736</v>
      </c>
      <c r="AQ36" s="279">
        <v>26</v>
      </c>
      <c r="AR36" s="256" t="s">
        <v>276</v>
      </c>
      <c r="AS36" s="370" t="s">
        <v>34</v>
      </c>
      <c r="AT36" s="375" t="s">
        <v>34</v>
      </c>
      <c r="AU36" s="285">
        <f t="shared" si="12"/>
        <v>356</v>
      </c>
      <c r="AV36" s="285">
        <f t="shared" ref="AV36:AV40" si="33">Y36</f>
        <v>9104</v>
      </c>
      <c r="AW36" s="347">
        <f t="shared" ref="AW36:AW39" si="34">AV36/AV$4</f>
        <v>11.716859716859718</v>
      </c>
      <c r="AX36" s="410" t="s">
        <v>34</v>
      </c>
      <c r="AY36" s="285">
        <f t="shared" si="21"/>
        <v>317</v>
      </c>
      <c r="AZ36" s="286">
        <f t="shared" si="13"/>
        <v>1.1230283911671923</v>
      </c>
      <c r="BB36" s="279">
        <v>26</v>
      </c>
      <c r="BC36" s="256" t="s">
        <v>276</v>
      </c>
      <c r="BD36" s="327" t="s">
        <v>34</v>
      </c>
      <c r="BE36" s="375" t="s">
        <v>34</v>
      </c>
      <c r="BF36" s="285">
        <f t="shared" si="14"/>
        <v>110</v>
      </c>
      <c r="BG36" s="285">
        <f>AK36</f>
        <v>5771</v>
      </c>
      <c r="BH36" s="347">
        <f t="shared" ref="BH36:BH39" si="35">BG36/BG$4</f>
        <v>19.172757475083056</v>
      </c>
      <c r="BI36" s="410" t="s">
        <v>34</v>
      </c>
      <c r="BJ36" s="285">
        <f t="shared" si="7"/>
        <v>173</v>
      </c>
      <c r="BK36" s="286">
        <f t="shared" si="17"/>
        <v>0.63583815028901736</v>
      </c>
      <c r="BM36" s="279">
        <v>26</v>
      </c>
      <c r="BN36" s="256" t="s">
        <v>276</v>
      </c>
      <c r="BO36" s="327" t="s">
        <v>34</v>
      </c>
      <c r="BP36" s="375"/>
      <c r="BQ36" s="376">
        <f>AW36</f>
        <v>11.716859716859718</v>
      </c>
      <c r="BR36" s="376"/>
      <c r="BS36" s="380">
        <f t="shared" si="8"/>
        <v>1.1230283911671923</v>
      </c>
      <c r="BT36" s="376">
        <f>BH36</f>
        <v>19.172757475083056</v>
      </c>
      <c r="BU36" s="376"/>
      <c r="BV36" s="380">
        <f t="shared" si="9"/>
        <v>0.63583815028901736</v>
      </c>
    </row>
    <row r="37" spans="2:74" x14ac:dyDescent="0.35">
      <c r="B37" s="279">
        <v>27</v>
      </c>
      <c r="C37" s="256" t="s">
        <v>277</v>
      </c>
      <c r="D37" s="370" t="s">
        <v>278</v>
      </c>
      <c r="E37" s="281">
        <f>S37/0.35</f>
        <v>74.285714285714292</v>
      </c>
      <c r="F37" s="281">
        <v>0</v>
      </c>
      <c r="G37" s="344">
        <f>F37/365</f>
        <v>0</v>
      </c>
      <c r="H37" s="281">
        <f>($E37+(DATEDIF($D$9,H$9,"M")/12)*$F37)-M37</f>
        <v>56.285714285714292</v>
      </c>
      <c r="I37" s="281">
        <f>($E37+(DATEDIF($D$9,I$9,"M")/12)*$F37)-S37</f>
        <v>48.285714285714292</v>
      </c>
      <c r="J37" s="281">
        <f>($E37+(DATEDIF($D$9,J$9,"M")/12)*$F37)-Y37</f>
        <v>48.285714285714292</v>
      </c>
      <c r="K37" s="281"/>
      <c r="L37" s="280">
        <v>12</v>
      </c>
      <c r="M37" s="281">
        <v>18</v>
      </c>
      <c r="N37" s="412">
        <f t="shared" si="30"/>
        <v>3.7815126050420166E-2</v>
      </c>
      <c r="O37" s="281">
        <f>H37/(N37*30)</f>
        <v>49.614814814814821</v>
      </c>
      <c r="P37" s="281">
        <v>26</v>
      </c>
      <c r="Q37" s="282">
        <f t="shared" si="1"/>
        <v>0.46153846153846156</v>
      </c>
      <c r="R37" s="281">
        <v>21</v>
      </c>
      <c r="S37" s="281">
        <v>26</v>
      </c>
      <c r="T37" s="412">
        <f t="shared" si="31"/>
        <v>3.462050599201065E-2</v>
      </c>
      <c r="U37" s="281">
        <f>I37/(T37*30)</f>
        <v>46.490476190476194</v>
      </c>
      <c r="V37" s="281">
        <v>30</v>
      </c>
      <c r="W37" s="282">
        <f t="shared" si="10"/>
        <v>0.7</v>
      </c>
      <c r="X37" s="281">
        <v>22</v>
      </c>
      <c r="Y37" s="281">
        <v>26</v>
      </c>
      <c r="Z37" s="343">
        <f t="shared" si="32"/>
        <v>3.3462033462033462E-2</v>
      </c>
      <c r="AA37" s="281">
        <f>J37/(Z37*30)</f>
        <v>48.100000000000009</v>
      </c>
      <c r="AB37" s="281">
        <v>35</v>
      </c>
      <c r="AC37" s="282">
        <f t="shared" si="11"/>
        <v>0.62857142857142856</v>
      </c>
      <c r="AD37" s="281">
        <f t="shared" si="2"/>
        <v>9</v>
      </c>
      <c r="AE37" s="281">
        <f>S37-$M37</f>
        <v>8</v>
      </c>
      <c r="AF37" s="413">
        <f t="shared" ref="AF37:AF39" si="36">AE37/AE$4</f>
        <v>2.9090909090909091E-2</v>
      </c>
      <c r="AG37" s="281">
        <f>I37/(AF37*30)</f>
        <v>55.327380952380963</v>
      </c>
      <c r="AH37" s="281">
        <f t="shared" si="3"/>
        <v>4</v>
      </c>
      <c r="AI37" s="282">
        <f t="shared" si="15"/>
        <v>2.25</v>
      </c>
      <c r="AJ37" s="281">
        <f t="shared" si="4"/>
        <v>10</v>
      </c>
      <c r="AK37" s="281">
        <f>Y37-$M37</f>
        <v>8</v>
      </c>
      <c r="AL37" s="413">
        <f t="shared" ref="AL37:AL39" si="37">AK37/AK$4</f>
        <v>2.6578073089700997E-2</v>
      </c>
      <c r="AM37" s="281">
        <f>J37/(AL37*30)</f>
        <v>60.558333333333337</v>
      </c>
      <c r="AN37" s="281">
        <f t="shared" si="5"/>
        <v>9</v>
      </c>
      <c r="AO37" s="282">
        <f t="shared" si="22"/>
        <v>1.1111111111111112</v>
      </c>
      <c r="AQ37" s="279">
        <v>27</v>
      </c>
      <c r="AR37" s="256" t="s">
        <v>277</v>
      </c>
      <c r="AS37" s="280">
        <f>J37</f>
        <v>48.285714285714292</v>
      </c>
      <c r="AT37" s="372">
        <f t="shared" ref="AT37:AT38" si="38">G37</f>
        <v>0</v>
      </c>
      <c r="AU37" s="281">
        <f t="shared" si="12"/>
        <v>22</v>
      </c>
      <c r="AV37" s="281">
        <f t="shared" si="33"/>
        <v>26</v>
      </c>
      <c r="AW37" s="412">
        <f t="shared" si="34"/>
        <v>3.3462033462033462E-2</v>
      </c>
      <c r="AX37" s="281">
        <f>AS37/(AW37*30)</f>
        <v>48.100000000000009</v>
      </c>
      <c r="AY37" s="281">
        <f t="shared" si="21"/>
        <v>35</v>
      </c>
      <c r="AZ37" s="282">
        <f t="shared" si="13"/>
        <v>0.62857142857142856</v>
      </c>
      <c r="BB37" s="279">
        <v>27</v>
      </c>
      <c r="BC37" s="256" t="s">
        <v>277</v>
      </c>
      <c r="BD37" s="326">
        <f>J37</f>
        <v>48.285714285714292</v>
      </c>
      <c r="BE37" s="372">
        <f>G37</f>
        <v>0</v>
      </c>
      <c r="BF37" s="281">
        <f t="shared" si="14"/>
        <v>10</v>
      </c>
      <c r="BG37" s="281">
        <f>AK37</f>
        <v>8</v>
      </c>
      <c r="BH37" s="412">
        <f t="shared" si="35"/>
        <v>2.6578073089700997E-2</v>
      </c>
      <c r="BI37" s="281">
        <f>BD37/(BH37*30)</f>
        <v>60.558333333333337</v>
      </c>
      <c r="BJ37" s="281">
        <f t="shared" si="7"/>
        <v>9</v>
      </c>
      <c r="BK37" s="282">
        <f t="shared" si="17"/>
        <v>1.1111111111111112</v>
      </c>
      <c r="BM37" s="279">
        <v>27</v>
      </c>
      <c r="BN37" s="256" t="s">
        <v>277</v>
      </c>
      <c r="BO37" s="326">
        <f>J37</f>
        <v>48.285714285714292</v>
      </c>
      <c r="BP37" s="372">
        <f>G37</f>
        <v>0</v>
      </c>
      <c r="BQ37" s="413">
        <f>AW37</f>
        <v>3.3462033462033462E-2</v>
      </c>
      <c r="BR37" s="281">
        <f>$BO37/(BQ37*30)</f>
        <v>48.100000000000009</v>
      </c>
      <c r="BS37" s="333">
        <f t="shared" si="8"/>
        <v>0.62857142857142856</v>
      </c>
      <c r="BT37" s="413">
        <f>BH37</f>
        <v>2.6578073089700997E-2</v>
      </c>
      <c r="BU37" s="281">
        <f>$BO37/(BT37*30)</f>
        <v>60.558333333333337</v>
      </c>
      <c r="BV37" s="333">
        <f t="shared" si="9"/>
        <v>1.1111111111111112</v>
      </c>
    </row>
    <row r="38" spans="2:74" x14ac:dyDescent="0.35">
      <c r="B38" s="279">
        <v>28</v>
      </c>
      <c r="C38" s="256" t="s">
        <v>279</v>
      </c>
      <c r="D38" s="370" t="s">
        <v>1360</v>
      </c>
      <c r="E38" s="281">
        <f>S38/0.17</f>
        <v>5.8823529411764701</v>
      </c>
      <c r="F38" s="281">
        <v>0</v>
      </c>
      <c r="G38" s="344">
        <f>F38/365</f>
        <v>0</v>
      </c>
      <c r="H38" s="281">
        <f>($E38+(DATEDIF($D$9,H$9,"M")/12)*$F38)-M38</f>
        <v>5.8823529411764701</v>
      </c>
      <c r="I38" s="281">
        <f>($E38+(DATEDIF($D$9,I$9,"M")/12)*$F38)-S38</f>
        <v>4.8823529411764701</v>
      </c>
      <c r="J38" s="281">
        <f>($E38+(DATEDIF($D$9,J$9,"M")/12)*$F38)-Y38</f>
        <v>4.8823529411764701</v>
      </c>
      <c r="K38" s="281"/>
      <c r="L38" s="280">
        <v>0</v>
      </c>
      <c r="M38" s="281">
        <v>0</v>
      </c>
      <c r="N38" s="412">
        <f t="shared" si="30"/>
        <v>0</v>
      </c>
      <c r="O38" s="281" t="e">
        <f>H38/(N38*30)</f>
        <v>#DIV/0!</v>
      </c>
      <c r="P38" s="281">
        <v>0</v>
      </c>
      <c r="Q38" s="282" t="s">
        <v>34</v>
      </c>
      <c r="R38" s="281">
        <v>1</v>
      </c>
      <c r="S38" s="281">
        <v>1</v>
      </c>
      <c r="T38" s="412">
        <f t="shared" si="31"/>
        <v>1.3315579227696406E-3</v>
      </c>
      <c r="U38" s="281">
        <f>I38/(T38*30)</f>
        <v>122.22156862745095</v>
      </c>
      <c r="V38" s="281">
        <v>0</v>
      </c>
      <c r="W38" s="291" t="s">
        <v>34</v>
      </c>
      <c r="X38" s="281">
        <v>1</v>
      </c>
      <c r="Y38" s="281">
        <v>1</v>
      </c>
      <c r="Z38" s="412">
        <f t="shared" si="32"/>
        <v>1.287001287001287E-3</v>
      </c>
      <c r="AA38" s="281">
        <f>J38/(Z38*30)</f>
        <v>126.45294117647057</v>
      </c>
      <c r="AB38" s="281">
        <v>0</v>
      </c>
      <c r="AC38" s="291" t="s">
        <v>34</v>
      </c>
      <c r="AD38" s="281">
        <f t="shared" si="2"/>
        <v>1</v>
      </c>
      <c r="AE38" s="281">
        <f>S38-$M38</f>
        <v>1</v>
      </c>
      <c r="AF38" s="413">
        <f t="shared" si="36"/>
        <v>3.6363636363636364E-3</v>
      </c>
      <c r="AG38" s="281">
        <f>I38/(AF38*30)</f>
        <v>44.754901960784309</v>
      </c>
      <c r="AH38" s="281">
        <f t="shared" si="3"/>
        <v>0</v>
      </c>
      <c r="AI38" s="291" t="s">
        <v>34</v>
      </c>
      <c r="AJ38" s="281">
        <f t="shared" si="4"/>
        <v>1</v>
      </c>
      <c r="AK38" s="281">
        <f>Y38-$M38</f>
        <v>1</v>
      </c>
      <c r="AL38" s="413">
        <f t="shared" si="37"/>
        <v>3.3222591362126247E-3</v>
      </c>
      <c r="AM38" s="281">
        <f>J38/(AL38*30)</f>
        <v>48.98627450980392</v>
      </c>
      <c r="AN38" s="281">
        <f t="shared" si="5"/>
        <v>0</v>
      </c>
      <c r="AO38" s="291" t="s">
        <v>34</v>
      </c>
      <c r="AQ38" s="279">
        <v>28</v>
      </c>
      <c r="AR38" s="256" t="s">
        <v>279</v>
      </c>
      <c r="AS38" s="280">
        <f>J38</f>
        <v>4.8823529411764701</v>
      </c>
      <c r="AT38" s="372">
        <f t="shared" si="38"/>
        <v>0</v>
      </c>
      <c r="AU38" s="281">
        <f t="shared" si="12"/>
        <v>1</v>
      </c>
      <c r="AV38" s="281">
        <f t="shared" si="33"/>
        <v>1</v>
      </c>
      <c r="AW38" s="412">
        <f t="shared" si="34"/>
        <v>1.287001287001287E-3</v>
      </c>
      <c r="AX38" s="281">
        <f>AS38/(AW38*30)</f>
        <v>126.45294117647057</v>
      </c>
      <c r="AY38" s="281">
        <f t="shared" si="21"/>
        <v>0</v>
      </c>
      <c r="AZ38" s="291" t="s">
        <v>34</v>
      </c>
      <c r="BB38" s="279">
        <v>28</v>
      </c>
      <c r="BC38" s="256" t="s">
        <v>279</v>
      </c>
      <c r="BD38" s="326">
        <f>J38</f>
        <v>4.8823529411764701</v>
      </c>
      <c r="BE38" s="372">
        <f>G38</f>
        <v>0</v>
      </c>
      <c r="BF38" s="281">
        <f t="shared" si="14"/>
        <v>1</v>
      </c>
      <c r="BG38" s="281">
        <f>AK38</f>
        <v>1</v>
      </c>
      <c r="BH38" s="412">
        <f t="shared" si="35"/>
        <v>3.3222591362126247E-3</v>
      </c>
      <c r="BI38" s="281">
        <f>BD38/(BH38*30)</f>
        <v>48.98627450980392</v>
      </c>
      <c r="BJ38" s="281">
        <f t="shared" si="7"/>
        <v>0</v>
      </c>
      <c r="BK38" s="291" t="s">
        <v>34</v>
      </c>
      <c r="BM38" s="279">
        <v>28</v>
      </c>
      <c r="BN38" s="256" t="s">
        <v>279</v>
      </c>
      <c r="BO38" s="326">
        <f>J38</f>
        <v>4.8823529411764701</v>
      </c>
      <c r="BP38" s="372">
        <f>G38</f>
        <v>0</v>
      </c>
      <c r="BQ38" s="413">
        <f>AW38</f>
        <v>1.287001287001287E-3</v>
      </c>
      <c r="BR38" s="281">
        <f>$BO38/(BQ38*30)</f>
        <v>126.45294117647057</v>
      </c>
      <c r="BS38" s="334" t="str">
        <f t="shared" si="8"/>
        <v>-</v>
      </c>
      <c r="BT38" s="413">
        <f>BH38</f>
        <v>3.3222591362126247E-3</v>
      </c>
      <c r="BU38" s="281">
        <f>$BO38/(BT38*30)</f>
        <v>48.98627450980392</v>
      </c>
      <c r="BV38" s="334" t="str">
        <f t="shared" si="9"/>
        <v>-</v>
      </c>
    </row>
    <row r="39" spans="2:74" x14ac:dyDescent="0.35">
      <c r="B39" s="279">
        <v>29</v>
      </c>
      <c r="C39" s="256" t="s">
        <v>280</v>
      </c>
      <c r="D39" s="280"/>
      <c r="E39" s="290" t="s">
        <v>34</v>
      </c>
      <c r="F39" s="290" t="s">
        <v>34</v>
      </c>
      <c r="G39" s="290"/>
      <c r="H39" s="290" t="s">
        <v>34</v>
      </c>
      <c r="I39" s="290" t="s">
        <v>34</v>
      </c>
      <c r="J39" s="290" t="s">
        <v>34</v>
      </c>
      <c r="K39" s="281"/>
      <c r="L39" s="280">
        <v>2570</v>
      </c>
      <c r="M39" s="281">
        <v>6506</v>
      </c>
      <c r="N39" s="317">
        <f t="shared" si="30"/>
        <v>13.668067226890756</v>
      </c>
      <c r="O39" s="290" t="s">
        <v>34</v>
      </c>
      <c r="P39" s="281">
        <v>653</v>
      </c>
      <c r="Q39" s="282">
        <f t="shared" si="1"/>
        <v>3.9356814701378253</v>
      </c>
      <c r="R39" s="281">
        <v>3152</v>
      </c>
      <c r="S39" s="281">
        <v>14024</v>
      </c>
      <c r="T39" s="317">
        <f t="shared" si="31"/>
        <v>18.673768308921439</v>
      </c>
      <c r="U39" s="290" t="s">
        <v>34</v>
      </c>
      <c r="V39" s="281">
        <v>842</v>
      </c>
      <c r="W39" s="282">
        <f t="shared" si="10"/>
        <v>3.7434679334916865</v>
      </c>
      <c r="X39" s="281">
        <v>3203</v>
      </c>
      <c r="Y39" s="281">
        <v>15298</v>
      </c>
      <c r="Z39" s="317">
        <f t="shared" si="32"/>
        <v>19.688545688545688</v>
      </c>
      <c r="AA39" s="290" t="s">
        <v>34</v>
      </c>
      <c r="AB39" s="281">
        <v>861</v>
      </c>
      <c r="AC39" s="282">
        <f t="shared" ref="AC39" si="39">X39/AB39</f>
        <v>3.7200929152148663</v>
      </c>
      <c r="AD39" s="281">
        <f t="shared" si="2"/>
        <v>582</v>
      </c>
      <c r="AE39" s="281">
        <f>S39-$M39</f>
        <v>7518</v>
      </c>
      <c r="AF39" s="330">
        <f t="shared" si="36"/>
        <v>27.33818181818182</v>
      </c>
      <c r="AG39" s="290" t="s">
        <v>34</v>
      </c>
      <c r="AH39" s="281">
        <f t="shared" si="3"/>
        <v>189</v>
      </c>
      <c r="AI39" s="282">
        <f t="shared" ref="AI39:AI43" si="40">AD39/AH39</f>
        <v>3.0793650793650795</v>
      </c>
      <c r="AJ39" s="281">
        <f t="shared" si="4"/>
        <v>633</v>
      </c>
      <c r="AK39" s="281">
        <f>Y39-$M39</f>
        <v>8792</v>
      </c>
      <c r="AL39" s="330">
        <f t="shared" si="37"/>
        <v>29.209302325581394</v>
      </c>
      <c r="AM39" s="290" t="s">
        <v>34</v>
      </c>
      <c r="AN39" s="281">
        <f t="shared" si="5"/>
        <v>208</v>
      </c>
      <c r="AO39" s="282">
        <f t="shared" ref="AO39" si="41">AJ39/AN39</f>
        <v>3.0432692307692308</v>
      </c>
      <c r="AQ39" s="279">
        <v>29</v>
      </c>
      <c r="AR39" s="256" t="s">
        <v>280</v>
      </c>
      <c r="AS39" s="370" t="s">
        <v>34</v>
      </c>
      <c r="AT39" s="375" t="s">
        <v>34</v>
      </c>
      <c r="AU39" s="281">
        <f t="shared" si="12"/>
        <v>3203</v>
      </c>
      <c r="AV39" s="281">
        <f t="shared" si="33"/>
        <v>15298</v>
      </c>
      <c r="AW39" s="317">
        <f t="shared" si="34"/>
        <v>19.688545688545688</v>
      </c>
      <c r="AX39" s="411" t="s">
        <v>34</v>
      </c>
      <c r="AY39" s="281">
        <f t="shared" si="21"/>
        <v>861</v>
      </c>
      <c r="AZ39" s="282">
        <f t="shared" ref="AZ39" si="42">AU39/AY39</f>
        <v>3.7200929152148663</v>
      </c>
      <c r="BB39" s="279">
        <v>29</v>
      </c>
      <c r="BC39" s="256" t="s">
        <v>280</v>
      </c>
      <c r="BD39" s="327" t="s">
        <v>34</v>
      </c>
      <c r="BE39" s="375" t="s">
        <v>34</v>
      </c>
      <c r="BF39" s="281">
        <f t="shared" si="14"/>
        <v>633</v>
      </c>
      <c r="BG39" s="281">
        <f>AK39</f>
        <v>8792</v>
      </c>
      <c r="BH39" s="317">
        <f t="shared" si="35"/>
        <v>29.209302325581394</v>
      </c>
      <c r="BI39" s="411" t="s">
        <v>34</v>
      </c>
      <c r="BJ39" s="281">
        <f t="shared" si="7"/>
        <v>208</v>
      </c>
      <c r="BK39" s="282">
        <f t="shared" ref="BK39:BK44" si="43">BF39/BJ39</f>
        <v>3.0432692307692308</v>
      </c>
      <c r="BM39" s="279">
        <v>29</v>
      </c>
      <c r="BN39" s="256" t="s">
        <v>280</v>
      </c>
      <c r="BO39" s="327" t="s">
        <v>34</v>
      </c>
      <c r="BP39" s="375"/>
      <c r="BQ39" s="330">
        <f>AW39</f>
        <v>19.688545688545688</v>
      </c>
      <c r="BR39" s="330"/>
      <c r="BS39" s="333">
        <f t="shared" si="8"/>
        <v>3.7200929152148663</v>
      </c>
      <c r="BT39" s="330">
        <f>BH39</f>
        <v>29.209302325581394</v>
      </c>
      <c r="BU39" s="330"/>
      <c r="BV39" s="333">
        <f t="shared" si="9"/>
        <v>3.0432692307692308</v>
      </c>
    </row>
    <row r="40" spans="2:74" x14ac:dyDescent="0.35">
      <c r="B40" s="279">
        <v>30</v>
      </c>
      <c r="C40" s="256" t="s">
        <v>375</v>
      </c>
      <c r="D40" s="292"/>
      <c r="E40" s="293"/>
      <c r="F40" s="293"/>
      <c r="G40" s="397">
        <f>SUM(G10:G33,G37:G38)</f>
        <v>5.314451006338766</v>
      </c>
      <c r="H40" s="293">
        <f t="shared" ref="H40:J40" si="44">SUM(H10:H33,H37:H38)</f>
        <v>55456.667323925067</v>
      </c>
      <c r="I40" s="293">
        <f t="shared" si="44"/>
        <v>40834.312271273782</v>
      </c>
      <c r="J40" s="293">
        <f t="shared" si="44"/>
        <v>38960.549180979848</v>
      </c>
      <c r="K40" s="293"/>
      <c r="L40" s="292">
        <f>SUM(L10,L18,L19,L25,L31:L33,L37:L38)</f>
        <v>7844</v>
      </c>
      <c r="M40" s="293">
        <f>SUM(M10,M18,M19,M25,M31:M33,M37:M38)</f>
        <v>16931</v>
      </c>
      <c r="N40" s="348">
        <f>M40/M$4</f>
        <v>35.569327731092436</v>
      </c>
      <c r="O40" s="293">
        <f>H40/(N40*30)</f>
        <v>51.970495237903521</v>
      </c>
      <c r="P40" s="293">
        <f>SUM(P10,P18,P19,P25,P31:P33,P37:P38)</f>
        <v>2848</v>
      </c>
      <c r="Q40" s="294">
        <f>L40/P40</f>
        <v>2.7542134831460676</v>
      </c>
      <c r="R40" s="292">
        <f>SUM(R10,R18,R19,R25,R31:R33,R37:R38)</f>
        <v>11382</v>
      </c>
      <c r="S40" s="293">
        <f>SUM(S10,S18,S19,S25,S31:S33,S37:S38)</f>
        <v>33488</v>
      </c>
      <c r="T40" s="348">
        <f>S40/S$4</f>
        <v>44.591211717709719</v>
      </c>
      <c r="U40" s="293">
        <f>I40/(T40*30)</f>
        <v>30.52493282740744</v>
      </c>
      <c r="V40" s="293">
        <f>SUM(V10,V18,V19,V25,V31:V33,V37:V38)</f>
        <v>4222</v>
      </c>
      <c r="W40" s="294">
        <f>R40/V40</f>
        <v>2.6958787304594978</v>
      </c>
      <c r="X40" s="292">
        <f>SUM(X10,X18,X19,X25,X31:X33,X37:X38)</f>
        <v>11778</v>
      </c>
      <c r="Y40" s="293">
        <f>SUM(Y10,Y18,Y19,Y25,Y31:Y33,Y37:Y38)</f>
        <v>35603</v>
      </c>
      <c r="Z40" s="348">
        <f>Y40/Y$4</f>
        <v>45.821106821106824</v>
      </c>
      <c r="AA40" s="293">
        <f>J40/(Z40*30)</f>
        <v>28.342505513225795</v>
      </c>
      <c r="AB40" s="293">
        <f>SUM(AB10,AB18,AB19,AB25,AB31:AB33,AB37:AB38)</f>
        <v>4356</v>
      </c>
      <c r="AC40" s="294">
        <f>X40/AB40</f>
        <v>2.7038567493112948</v>
      </c>
      <c r="AD40" s="292">
        <f>SUM(AD10,AD18,AD19,AD25,AD31:AD33,AD37:AD38)</f>
        <v>3538</v>
      </c>
      <c r="AE40" s="293">
        <f>SUM(AE10,AE18,AE19,AE25,AE31:AE33,AE37:AE38)</f>
        <v>16557</v>
      </c>
      <c r="AF40" s="348">
        <f>AE40/AE$4</f>
        <v>60.207272727272731</v>
      </c>
      <c r="AG40" s="293">
        <f>I40/(AF40*30)</f>
        <v>22.607629954299874</v>
      </c>
      <c r="AH40" s="293">
        <f>SUM(AH10,AH18,AH19,AH25,AH31:AH33,AH37:AH38)</f>
        <v>1374</v>
      </c>
      <c r="AI40" s="294">
        <f>AD40/AH40</f>
        <v>2.5749636098981079</v>
      </c>
      <c r="AJ40" s="292">
        <f>SUM(AJ10,AJ18,AJ19,AJ25,AJ31:AJ33,AJ37:AJ38)</f>
        <v>3934</v>
      </c>
      <c r="AK40" s="293">
        <f>SUM(AK10,AK18,AK19,AK25,AK31:AK33,AK37:AK38)</f>
        <v>18672</v>
      </c>
      <c r="AL40" s="348">
        <f>AK40/AK$4</f>
        <v>62.033222591362126</v>
      </c>
      <c r="AM40" s="293">
        <f>J40/(AL40*30)</f>
        <v>20.935313666586215</v>
      </c>
      <c r="AN40" s="293">
        <f>SUM(AN10,AN18,AN19,AN25,AN31:AN33,AN37:AN38)</f>
        <v>1508</v>
      </c>
      <c r="AO40" s="294">
        <f>AJ40/AN40</f>
        <v>2.6087533156498672</v>
      </c>
      <c r="AQ40" s="279">
        <v>30</v>
      </c>
      <c r="AR40" s="256" t="str">
        <f>$C40</f>
        <v>Total equipment losses (not 26, 29)</v>
      </c>
      <c r="AS40" s="292">
        <f>J40</f>
        <v>38960.549180979848</v>
      </c>
      <c r="AT40" s="398">
        <f>G40</f>
        <v>5.314451006338766</v>
      </c>
      <c r="AU40" s="293">
        <f t="shared" si="12"/>
        <v>11778</v>
      </c>
      <c r="AV40" s="293">
        <f t="shared" si="33"/>
        <v>35603</v>
      </c>
      <c r="AW40" s="348">
        <f>AV40/AV$4</f>
        <v>45.821106821106824</v>
      </c>
      <c r="AX40" s="293">
        <f>AS40/(AW40*30)</f>
        <v>28.342505513225795</v>
      </c>
      <c r="AY40" s="293">
        <f t="shared" si="21"/>
        <v>4356</v>
      </c>
      <c r="AZ40" s="294">
        <f>AU40/AY40</f>
        <v>2.7038567493112948</v>
      </c>
      <c r="BB40" s="279">
        <v>30</v>
      </c>
      <c r="BC40" s="256" t="str">
        <f>$C40</f>
        <v>Total equipment losses (not 26, 29)</v>
      </c>
      <c r="BD40" s="328">
        <f>J40</f>
        <v>38960.549180979848</v>
      </c>
      <c r="BE40" s="398">
        <f>G40</f>
        <v>5.314451006338766</v>
      </c>
      <c r="BF40" s="293">
        <f t="shared" ref="BF40" si="45">AJ40</f>
        <v>3934</v>
      </c>
      <c r="BG40" s="293">
        <f>AK40</f>
        <v>18672</v>
      </c>
      <c r="BH40" s="348">
        <f t="shared" ref="BH40" si="46">BG40/BG$4</f>
        <v>62.033222591362126</v>
      </c>
      <c r="BI40" s="293">
        <f>BD40/(BH40*30)</f>
        <v>20.935313666586215</v>
      </c>
      <c r="BJ40" s="293">
        <f t="shared" ref="BJ40" si="47">AN40</f>
        <v>1508</v>
      </c>
      <c r="BK40" s="402">
        <f t="shared" ref="BK40" si="48">BF40/BJ40</f>
        <v>2.6087533156498672</v>
      </c>
      <c r="BM40" s="279">
        <v>30</v>
      </c>
      <c r="BN40" s="256" t="str">
        <f>$C40</f>
        <v>Total equipment losses (not 26, 29)</v>
      </c>
      <c r="BO40" s="328">
        <f>J40</f>
        <v>38960.549180979848</v>
      </c>
      <c r="BP40" s="398">
        <f>G40</f>
        <v>5.314451006338766</v>
      </c>
      <c r="BQ40" s="345">
        <f>AW40</f>
        <v>45.821106821106824</v>
      </c>
      <c r="BR40" s="293">
        <f>$BO40/(BQ40*30)</f>
        <v>28.342505513225795</v>
      </c>
      <c r="BS40" s="335">
        <f t="shared" si="8"/>
        <v>2.7038567493112948</v>
      </c>
      <c r="BT40" s="345">
        <f>BH40</f>
        <v>62.033222591362126</v>
      </c>
      <c r="BU40" s="293">
        <f>$BO40/(BT40*30)</f>
        <v>20.935313666586215</v>
      </c>
      <c r="BV40" s="335">
        <f t="shared" si="9"/>
        <v>2.6087533156498672</v>
      </c>
    </row>
    <row r="41" spans="2:74" x14ac:dyDescent="0.35">
      <c r="B41" s="279">
        <v>31</v>
      </c>
      <c r="C41" s="283" t="s">
        <v>281</v>
      </c>
      <c r="D41" s="51"/>
      <c r="L41" s="99">
        <v>7059</v>
      </c>
      <c r="N41" s="304"/>
      <c r="O41" s="159"/>
      <c r="P41">
        <v>2383</v>
      </c>
      <c r="Q41" s="288">
        <f t="shared" si="1"/>
        <v>2.9622324800671422</v>
      </c>
      <c r="R41" s="159">
        <v>10463</v>
      </c>
      <c r="T41" s="304"/>
      <c r="U41" s="159"/>
      <c r="V41">
        <v>3707</v>
      </c>
      <c r="W41" s="288">
        <f t="shared" si="10"/>
        <v>2.8224979768006473</v>
      </c>
      <c r="X41" s="159">
        <v>10851</v>
      </c>
      <c r="Z41" s="304"/>
      <c r="AA41" s="159"/>
      <c r="AB41">
        <v>3830</v>
      </c>
      <c r="AC41" s="288">
        <f t="shared" ref="AC41:AC44" si="49">X41/AB41</f>
        <v>2.8331592689295038</v>
      </c>
      <c r="AD41" s="133">
        <f>R41-$L41</f>
        <v>3404</v>
      </c>
      <c r="AE41" s="133"/>
      <c r="AF41" s="133"/>
      <c r="AG41" s="159"/>
      <c r="AH41" s="133">
        <f>V41-$P41</f>
        <v>1324</v>
      </c>
      <c r="AI41" s="288">
        <f t="shared" si="40"/>
        <v>2.5709969788519635</v>
      </c>
      <c r="AJ41" s="133">
        <f>X41-$L41</f>
        <v>3792</v>
      </c>
      <c r="AK41" s="133"/>
      <c r="AL41" s="133"/>
      <c r="AM41" s="159"/>
      <c r="AN41" s="133">
        <f>AB41-$P41</f>
        <v>1447</v>
      </c>
      <c r="AO41" s="288">
        <f t="shared" ref="AO41:AO43" si="50">AJ41/AN41</f>
        <v>2.6205943331029715</v>
      </c>
      <c r="AQ41" s="279">
        <v>31</v>
      </c>
      <c r="AR41" s="283" t="s">
        <v>281</v>
      </c>
      <c r="AS41" s="51"/>
      <c r="AT41" s="123"/>
      <c r="AU41" s="159">
        <f t="shared" si="12"/>
        <v>10851</v>
      </c>
      <c r="AW41" s="304"/>
      <c r="AX41" s="304"/>
      <c r="AY41" s="159">
        <f t="shared" si="21"/>
        <v>3830</v>
      </c>
      <c r="AZ41" s="288">
        <f t="shared" ref="AZ41:AZ44" si="51">AU41/AY41</f>
        <v>2.8331592689295038</v>
      </c>
      <c r="BB41" s="279">
        <v>31</v>
      </c>
      <c r="BC41" s="283" t="s">
        <v>281</v>
      </c>
      <c r="BD41" s="123"/>
      <c r="BE41" s="123"/>
      <c r="BF41" s="159">
        <f>AJ41</f>
        <v>3792</v>
      </c>
      <c r="BG41" s="159"/>
      <c r="BH41" s="304"/>
      <c r="BI41" s="304"/>
      <c r="BJ41" s="159">
        <f t="shared" si="7"/>
        <v>1447</v>
      </c>
      <c r="BK41" s="288">
        <f t="shared" si="43"/>
        <v>2.6205943331029715</v>
      </c>
      <c r="BM41" s="279">
        <v>31</v>
      </c>
      <c r="BN41" s="283" t="s">
        <v>281</v>
      </c>
      <c r="BO41" s="123"/>
      <c r="BP41" s="123"/>
      <c r="BQ41" s="173"/>
      <c r="BR41" s="173"/>
      <c r="BS41" s="378">
        <f t="shared" si="8"/>
        <v>2.8331592689295038</v>
      </c>
      <c r="BT41" s="173"/>
      <c r="BU41" s="173"/>
      <c r="BV41" s="378">
        <f t="shared" si="9"/>
        <v>2.6205943331029715</v>
      </c>
    </row>
    <row r="42" spans="2:74" x14ac:dyDescent="0.35">
      <c r="B42" s="279">
        <v>32</v>
      </c>
      <c r="C42" s="283" t="s">
        <v>282</v>
      </c>
      <c r="D42" s="51"/>
      <c r="L42" s="99">
        <v>372</v>
      </c>
      <c r="N42" s="304"/>
      <c r="O42" s="159"/>
      <c r="P42">
        <v>232</v>
      </c>
      <c r="Q42" s="288">
        <f t="shared" si="1"/>
        <v>1.603448275862069</v>
      </c>
      <c r="R42" s="159">
        <v>677</v>
      </c>
      <c r="T42" s="304"/>
      <c r="U42" s="159"/>
      <c r="V42">
        <v>452</v>
      </c>
      <c r="W42" s="288">
        <f t="shared" si="10"/>
        <v>1.497787610619469</v>
      </c>
      <c r="X42" s="159">
        <v>698</v>
      </c>
      <c r="Z42" s="304"/>
      <c r="AA42" s="159"/>
      <c r="AB42">
        <v>474</v>
      </c>
      <c r="AC42" s="288">
        <f t="shared" si="49"/>
        <v>1.4725738396624473</v>
      </c>
      <c r="AD42" s="133">
        <f>R42-$L42</f>
        <v>305</v>
      </c>
      <c r="AE42" s="133"/>
      <c r="AF42" s="133"/>
      <c r="AG42" s="159"/>
      <c r="AH42" s="133">
        <f>V42-$P42</f>
        <v>220</v>
      </c>
      <c r="AI42" s="288">
        <f t="shared" si="40"/>
        <v>1.3863636363636365</v>
      </c>
      <c r="AJ42" s="133">
        <f>X42-$L42</f>
        <v>326</v>
      </c>
      <c r="AK42" s="133"/>
      <c r="AL42" s="133"/>
      <c r="AM42" s="159"/>
      <c r="AN42" s="133">
        <f>AB42-$P42</f>
        <v>242</v>
      </c>
      <c r="AO42" s="288">
        <f t="shared" si="50"/>
        <v>1.3471074380165289</v>
      </c>
      <c r="AQ42" s="279">
        <v>32</v>
      </c>
      <c r="AR42" s="283" t="s">
        <v>282</v>
      </c>
      <c r="AS42" s="51"/>
      <c r="AT42" s="123"/>
      <c r="AU42" s="159">
        <f t="shared" si="12"/>
        <v>698</v>
      </c>
      <c r="AW42" s="304"/>
      <c r="AX42" s="304"/>
      <c r="AY42" s="159">
        <f t="shared" ref="AY42:AY44" si="52">AB42</f>
        <v>474</v>
      </c>
      <c r="AZ42" s="288">
        <f t="shared" si="51"/>
        <v>1.4725738396624473</v>
      </c>
      <c r="BB42" s="279">
        <v>32</v>
      </c>
      <c r="BC42" s="283" t="s">
        <v>282</v>
      </c>
      <c r="BD42" s="123"/>
      <c r="BE42" s="123"/>
      <c r="BF42" s="159">
        <f>AJ42</f>
        <v>326</v>
      </c>
      <c r="BG42" s="159"/>
      <c r="BH42" s="304"/>
      <c r="BI42" s="304"/>
      <c r="BJ42" s="159">
        <f t="shared" si="7"/>
        <v>242</v>
      </c>
      <c r="BK42" s="288">
        <f t="shared" si="43"/>
        <v>1.3471074380165289</v>
      </c>
      <c r="BM42" s="279">
        <v>32</v>
      </c>
      <c r="BN42" s="283" t="s">
        <v>282</v>
      </c>
      <c r="BO42" s="123"/>
      <c r="BP42" s="123"/>
      <c r="BQ42" s="173"/>
      <c r="BR42" s="173"/>
      <c r="BS42" s="378">
        <f t="shared" si="8"/>
        <v>1.4725738396624473</v>
      </c>
      <c r="BT42" s="173"/>
      <c r="BU42" s="173"/>
      <c r="BV42" s="378">
        <f t="shared" si="9"/>
        <v>1.3471074380165289</v>
      </c>
    </row>
    <row r="43" spans="2:74" x14ac:dyDescent="0.35">
      <c r="B43" s="279">
        <v>33</v>
      </c>
      <c r="C43" s="283" t="s">
        <v>283</v>
      </c>
      <c r="D43" s="51"/>
      <c r="L43" s="99">
        <v>405</v>
      </c>
      <c r="N43" s="304"/>
      <c r="O43" s="159"/>
      <c r="P43">
        <v>126</v>
      </c>
      <c r="Q43" s="288">
        <f t="shared" si="1"/>
        <v>3.2142857142857144</v>
      </c>
      <c r="R43" s="159">
        <v>806</v>
      </c>
      <c r="T43" s="304"/>
      <c r="U43" s="159"/>
      <c r="V43">
        <v>212</v>
      </c>
      <c r="W43" s="288">
        <f t="shared" si="10"/>
        <v>3.8018867924528301</v>
      </c>
      <c r="X43" s="159">
        <v>853</v>
      </c>
      <c r="Z43" s="304"/>
      <c r="AA43" s="159"/>
      <c r="AB43">
        <v>223</v>
      </c>
      <c r="AC43" s="288">
        <f t="shared" si="49"/>
        <v>3.8251121076233185</v>
      </c>
      <c r="AD43" s="133">
        <f>R43-$L43</f>
        <v>401</v>
      </c>
      <c r="AE43" s="133"/>
      <c r="AF43" s="133"/>
      <c r="AG43" s="159"/>
      <c r="AH43" s="133">
        <f>V43-$P43</f>
        <v>86</v>
      </c>
      <c r="AI43" s="288">
        <f t="shared" si="40"/>
        <v>4.6627906976744189</v>
      </c>
      <c r="AJ43" s="133">
        <f>X43-$L43</f>
        <v>448</v>
      </c>
      <c r="AK43" s="133"/>
      <c r="AL43" s="133"/>
      <c r="AM43" s="159"/>
      <c r="AN43" s="133">
        <f>AB43-$P43</f>
        <v>97</v>
      </c>
      <c r="AO43" s="288">
        <f t="shared" si="50"/>
        <v>4.6185567010309274</v>
      </c>
      <c r="AQ43" s="279">
        <v>33</v>
      </c>
      <c r="AR43" s="283" t="s">
        <v>283</v>
      </c>
      <c r="AS43" s="51"/>
      <c r="AT43" s="123"/>
      <c r="AU43" s="159">
        <f t="shared" si="12"/>
        <v>853</v>
      </c>
      <c r="AW43" s="304"/>
      <c r="AX43" s="304"/>
      <c r="AY43" s="159">
        <f t="shared" si="52"/>
        <v>223</v>
      </c>
      <c r="AZ43" s="288">
        <f t="shared" si="51"/>
        <v>3.8251121076233185</v>
      </c>
      <c r="BB43" s="279">
        <v>33</v>
      </c>
      <c r="BC43" s="283" t="s">
        <v>283</v>
      </c>
      <c r="BD43" s="123"/>
      <c r="BE43" s="123"/>
      <c r="BF43" s="159">
        <f>AJ43</f>
        <v>448</v>
      </c>
      <c r="BG43" s="159"/>
      <c r="BH43" s="304"/>
      <c r="BI43" s="304"/>
      <c r="BJ43" s="159">
        <f t="shared" si="7"/>
        <v>97</v>
      </c>
      <c r="BK43" s="288">
        <f t="shared" si="43"/>
        <v>4.6185567010309274</v>
      </c>
      <c r="BM43" s="279">
        <v>33</v>
      </c>
      <c r="BN43" s="283" t="s">
        <v>283</v>
      </c>
      <c r="BO43" s="123"/>
      <c r="BP43" s="123"/>
      <c r="BQ43" s="173"/>
      <c r="BR43" s="173"/>
      <c r="BS43" s="378">
        <f t="shared" si="8"/>
        <v>3.8251121076233185</v>
      </c>
      <c r="BT43" s="173"/>
      <c r="BU43" s="173"/>
      <c r="BV43" s="378">
        <f t="shared" si="9"/>
        <v>4.6185567010309274</v>
      </c>
    </row>
    <row r="44" spans="2:74" x14ac:dyDescent="0.35">
      <c r="B44" s="279">
        <v>34</v>
      </c>
      <c r="C44" s="283" t="s">
        <v>251</v>
      </c>
      <c r="D44" s="51"/>
      <c r="L44" s="99">
        <v>2822</v>
      </c>
      <c r="N44" s="304"/>
      <c r="O44" s="159"/>
      <c r="P44">
        <v>906</v>
      </c>
      <c r="Q44" s="288">
        <f t="shared" si="1"/>
        <v>3.1147902869757176</v>
      </c>
      <c r="R44" s="159">
        <v>2938</v>
      </c>
      <c r="T44" s="304"/>
      <c r="U44" s="159"/>
      <c r="V44">
        <v>992</v>
      </c>
      <c r="W44" s="288">
        <f t="shared" si="10"/>
        <v>2.961693548387097</v>
      </c>
      <c r="X44" s="159">
        <v>2934</v>
      </c>
      <c r="Z44" s="304"/>
      <c r="AA44" s="159"/>
      <c r="AB44">
        <v>1007</v>
      </c>
      <c r="AC44" s="288">
        <f t="shared" si="49"/>
        <v>2.9136047666335649</v>
      </c>
      <c r="AD44" s="133">
        <f>R44-$L44</f>
        <v>116</v>
      </c>
      <c r="AE44" s="133"/>
      <c r="AF44" s="133"/>
      <c r="AG44" s="159"/>
      <c r="AH44" s="133">
        <f>V44-$P44</f>
        <v>86</v>
      </c>
      <c r="AI44" s="288">
        <f>AD44/AH44</f>
        <v>1.3488372093023255</v>
      </c>
      <c r="AJ44" s="133">
        <f>X44-$L44</f>
        <v>112</v>
      </c>
      <c r="AK44" s="133"/>
      <c r="AL44" s="133"/>
      <c r="AM44" s="159"/>
      <c r="AN44" s="133">
        <f>AB44-$P44</f>
        <v>101</v>
      </c>
      <c r="AO44" s="288">
        <f>AJ44/AN44</f>
        <v>1.108910891089109</v>
      </c>
      <c r="AQ44" s="279">
        <v>34</v>
      </c>
      <c r="AR44" s="283" t="s">
        <v>251</v>
      </c>
      <c r="AS44" s="51"/>
      <c r="AT44" s="123"/>
      <c r="AU44" s="159">
        <f t="shared" si="12"/>
        <v>2934</v>
      </c>
      <c r="AW44" s="304"/>
      <c r="AX44" s="304"/>
      <c r="AY44" s="159">
        <f t="shared" si="52"/>
        <v>1007</v>
      </c>
      <c r="AZ44" s="288">
        <f t="shared" si="51"/>
        <v>2.9136047666335649</v>
      </c>
      <c r="BB44" s="279">
        <v>34</v>
      </c>
      <c r="BC44" s="283" t="s">
        <v>251</v>
      </c>
      <c r="BD44" s="123"/>
      <c r="BE44" s="123"/>
      <c r="BF44" s="159">
        <f>AJ44</f>
        <v>112</v>
      </c>
      <c r="BG44" s="159"/>
      <c r="BH44" s="304"/>
      <c r="BI44" s="304"/>
      <c r="BJ44" s="159">
        <f t="shared" si="7"/>
        <v>101</v>
      </c>
      <c r="BK44" s="288">
        <f t="shared" si="43"/>
        <v>1.108910891089109</v>
      </c>
      <c r="BM44" s="279">
        <v>34</v>
      </c>
      <c r="BN44" s="283" t="s">
        <v>251</v>
      </c>
      <c r="BO44" s="123"/>
      <c r="BP44" s="123"/>
      <c r="BQ44" s="173"/>
      <c r="BR44" s="173"/>
      <c r="BS44" s="378">
        <f t="shared" si="8"/>
        <v>2.9136047666335649</v>
      </c>
      <c r="BT44" s="173"/>
      <c r="BU44" s="173"/>
      <c r="BV44" s="378">
        <f t="shared" si="9"/>
        <v>1.108910891089109</v>
      </c>
    </row>
    <row r="45" spans="2:74" x14ac:dyDescent="0.35">
      <c r="B45" s="279">
        <v>35</v>
      </c>
      <c r="C45" s="256" t="s">
        <v>326</v>
      </c>
      <c r="D45" s="295"/>
      <c r="E45" s="296"/>
      <c r="F45" s="296"/>
      <c r="G45" s="404">
        <f>(30000*12)/365</f>
        <v>986.30136986301375</v>
      </c>
      <c r="H45" s="297">
        <f>J45</f>
        <v>24429000</v>
      </c>
      <c r="I45" s="297">
        <f>J45</f>
        <v>24429000</v>
      </c>
      <c r="J45" s="297">
        <f>PopGDP!D10*1000000*0.17</f>
        <v>24429000</v>
      </c>
      <c r="K45" s="296"/>
      <c r="L45" s="295"/>
      <c r="M45" s="297">
        <v>217910</v>
      </c>
      <c r="N45" s="348">
        <f t="shared" ref="N45:N46" si="53">M45/M$4</f>
        <v>457.79411764705884</v>
      </c>
      <c r="O45" s="293">
        <f>H45/(N45*30)</f>
        <v>1778.747189206553</v>
      </c>
      <c r="P45" s="297">
        <f>M45/Q40</f>
        <v>79118.776134625179</v>
      </c>
      <c r="Q45" s="294">
        <f>M45/P45</f>
        <v>2.7542134831460676</v>
      </c>
      <c r="R45" s="296"/>
      <c r="S45" s="297">
        <v>429580</v>
      </c>
      <c r="T45" s="348">
        <f t="shared" ref="T45:T46" si="54">S45/S$4</f>
        <v>572.01065246338214</v>
      </c>
      <c r="U45" s="293">
        <f>I45/(T45*30)</f>
        <v>1423.5748870990271</v>
      </c>
      <c r="V45" s="297">
        <f>S45/W40</f>
        <v>159346.93024073099</v>
      </c>
      <c r="W45" s="294">
        <f>S45/V45</f>
        <v>2.6958787304594978</v>
      </c>
      <c r="X45" s="296"/>
      <c r="Y45" s="297">
        <v>450890</v>
      </c>
      <c r="Z45" s="348">
        <f>Y45/Y$4</f>
        <v>580.29601029601031</v>
      </c>
      <c r="AA45" s="293">
        <f>J45/(Z45*30)</f>
        <v>1403.2493512830179</v>
      </c>
      <c r="AB45" s="297">
        <f>Y45/AC40</f>
        <v>166758.09475292917</v>
      </c>
      <c r="AC45" s="294">
        <f>Y45/AB45</f>
        <v>2.7038567493112948</v>
      </c>
      <c r="AD45" s="296"/>
      <c r="AE45" s="293">
        <f>S45-$M45</f>
        <v>211670</v>
      </c>
      <c r="AF45" s="345">
        <f t="shared" ref="AF45:AF46" si="55">AE45/AE$4</f>
        <v>769.70909090909095</v>
      </c>
      <c r="AG45" s="293">
        <f>I45/(AF45*30)</f>
        <v>1057.9321585486844</v>
      </c>
      <c r="AH45" s="297">
        <f>AE45/AI40</f>
        <v>82203.103448275855</v>
      </c>
      <c r="AI45" s="294">
        <f>AE45/AH45</f>
        <v>2.5749636098981079</v>
      </c>
      <c r="AJ45" s="296"/>
      <c r="AK45" s="293">
        <f>Y45-$M45</f>
        <v>232980</v>
      </c>
      <c r="AL45" s="345">
        <f t="shared" ref="AL45:AL46" si="56">AK45/AK$4</f>
        <v>774.01993355481727</v>
      </c>
      <c r="AM45" s="293">
        <f>J45/(AL45*30)</f>
        <v>1052.0400892780497</v>
      </c>
      <c r="AN45" s="297">
        <f>AK45/AO40</f>
        <v>89307.025927808849</v>
      </c>
      <c r="AO45" s="294">
        <f>AK45/AN45</f>
        <v>2.6087533156498672</v>
      </c>
      <c r="AQ45" s="279">
        <v>35</v>
      </c>
      <c r="AR45" s="256" t="str">
        <f>$C45</f>
        <v>Killed personnel unconfirmed</v>
      </c>
      <c r="AS45" s="407">
        <f>J45</f>
        <v>24429000</v>
      </c>
      <c r="AT45" s="405">
        <f>G45</f>
        <v>986.30136986301375</v>
      </c>
      <c r="AU45" s="296"/>
      <c r="AV45" s="293">
        <f t="shared" ref="AV45" si="57">Y45</f>
        <v>450890</v>
      </c>
      <c r="AW45" s="348">
        <f>AV45/AV$4</f>
        <v>580.29601029601031</v>
      </c>
      <c r="AX45" s="293">
        <f>AS45/(AW45*30)</f>
        <v>1403.2493512830179</v>
      </c>
      <c r="AY45" s="297">
        <f>AV45/AZ40</f>
        <v>166758.09475292917</v>
      </c>
      <c r="AZ45" s="294">
        <f>AV45/AY45</f>
        <v>2.7038567493112948</v>
      </c>
      <c r="BB45" s="279">
        <v>35</v>
      </c>
      <c r="BC45" s="256" t="str">
        <f>$C45</f>
        <v>Killed personnel unconfirmed</v>
      </c>
      <c r="BD45" s="405">
        <f>J45</f>
        <v>24429000</v>
      </c>
      <c r="BE45" s="408">
        <f>G45</f>
        <v>986.30136986301375</v>
      </c>
      <c r="BF45" s="296"/>
      <c r="BG45" s="293">
        <f>AK45</f>
        <v>232980</v>
      </c>
      <c r="BH45" s="348">
        <f>BG45/BG$4</f>
        <v>774.01993355481727</v>
      </c>
      <c r="BI45" s="293">
        <f>BD45/(BH45*30)</f>
        <v>1052.0400892780497</v>
      </c>
      <c r="BJ45" s="297">
        <f>BG45/BK40</f>
        <v>89307.025927808849</v>
      </c>
      <c r="BK45" s="294">
        <f>BG45/BJ45</f>
        <v>2.6087533156498672</v>
      </c>
      <c r="BM45" s="279">
        <v>35</v>
      </c>
      <c r="BN45" s="256" t="str">
        <f>$C45</f>
        <v>Killed personnel unconfirmed</v>
      </c>
      <c r="BO45" s="405">
        <f>J45</f>
        <v>24429000</v>
      </c>
      <c r="BP45" s="408">
        <f>G45</f>
        <v>986.30136986301375</v>
      </c>
      <c r="BQ45" s="345">
        <f>AW45</f>
        <v>580.29601029601031</v>
      </c>
      <c r="BR45" s="293">
        <f>$BO45/(BQ45*30)</f>
        <v>1403.2493512830179</v>
      </c>
      <c r="BS45" s="335">
        <f t="shared" si="8"/>
        <v>2.7038567493112948</v>
      </c>
      <c r="BT45" s="345">
        <f>BH45</f>
        <v>774.01993355481727</v>
      </c>
      <c r="BU45" s="293">
        <f>$BO45/(BT45*30)</f>
        <v>1052.0400892780497</v>
      </c>
      <c r="BV45" s="335">
        <f t="shared" si="9"/>
        <v>2.6087533156498672</v>
      </c>
    </row>
    <row r="46" spans="2:74" ht="15" thickBot="1" x14ac:dyDescent="0.4">
      <c r="B46" s="279">
        <v>36</v>
      </c>
      <c r="C46" s="269" t="s">
        <v>284</v>
      </c>
      <c r="D46" s="298"/>
      <c r="E46" s="299"/>
      <c r="F46" s="299"/>
      <c r="G46" s="299"/>
      <c r="H46" s="299"/>
      <c r="I46" s="299"/>
      <c r="J46" s="299"/>
      <c r="K46" s="299"/>
      <c r="L46" s="298"/>
      <c r="M46" s="300">
        <f>M45*3</f>
        <v>653730</v>
      </c>
      <c r="N46" s="349">
        <f t="shared" si="53"/>
        <v>1373.3823529411766</v>
      </c>
      <c r="O46" s="302"/>
      <c r="P46" s="300">
        <f>P45*3</f>
        <v>237356.32840387552</v>
      </c>
      <c r="Q46" s="301">
        <f>M46/P46</f>
        <v>2.7542134831460681</v>
      </c>
      <c r="R46" s="299"/>
      <c r="S46" s="300">
        <f>S45*3</f>
        <v>1288740</v>
      </c>
      <c r="T46" s="349">
        <f t="shared" si="54"/>
        <v>1716.0319573901465</v>
      </c>
      <c r="U46" s="302"/>
      <c r="V46" s="300">
        <f>V45*3</f>
        <v>478040.79072219296</v>
      </c>
      <c r="W46" s="301">
        <f>S46/V46</f>
        <v>2.6958787304594978</v>
      </c>
      <c r="X46" s="299"/>
      <c r="Y46" s="300">
        <f>Y45*3</f>
        <v>1352670</v>
      </c>
      <c r="Z46" s="349">
        <f t="shared" ref="Z46" si="58">Y46/Y$4</f>
        <v>1740.8880308880309</v>
      </c>
      <c r="AA46" s="349"/>
      <c r="AB46" s="300">
        <f>AB45*3</f>
        <v>500274.28425878752</v>
      </c>
      <c r="AC46" s="301">
        <f>Y46/AB46</f>
        <v>2.7038567493112948</v>
      </c>
      <c r="AD46" s="299"/>
      <c r="AE46" s="300">
        <f>AE45*3</f>
        <v>635010</v>
      </c>
      <c r="AF46" s="346">
        <f t="shared" si="55"/>
        <v>2309.1272727272726</v>
      </c>
      <c r="AG46" s="346"/>
      <c r="AH46" s="302">
        <f>AH45*3</f>
        <v>246609.31034482757</v>
      </c>
      <c r="AI46" s="301">
        <f>AE46/AH46</f>
        <v>2.5749636098981079</v>
      </c>
      <c r="AJ46" s="299"/>
      <c r="AK46" s="300">
        <f>AK45*3</f>
        <v>698940</v>
      </c>
      <c r="AL46" s="346">
        <f t="shared" si="56"/>
        <v>2322.0598006644518</v>
      </c>
      <c r="AM46" s="346"/>
      <c r="AN46" s="302">
        <f>AN45*3</f>
        <v>267921.07778342656</v>
      </c>
      <c r="AO46" s="301">
        <f>AK46/AN46</f>
        <v>2.6087533156498672</v>
      </c>
      <c r="AQ46" s="279">
        <v>36</v>
      </c>
      <c r="AR46" s="269" t="s">
        <v>284</v>
      </c>
      <c r="AS46" s="406"/>
      <c r="AT46" s="329"/>
      <c r="AU46" s="299"/>
      <c r="AV46" s="300">
        <f>AV45*3</f>
        <v>1352670</v>
      </c>
      <c r="AW46" s="349">
        <f t="shared" ref="AW46" si="59">AV46/AV$4</f>
        <v>1740.8880308880309</v>
      </c>
      <c r="AX46" s="349"/>
      <c r="AY46" s="300">
        <f>AY45*3</f>
        <v>500274.28425878752</v>
      </c>
      <c r="AZ46" s="301">
        <f>AV46/AY46</f>
        <v>2.7038567493112948</v>
      </c>
      <c r="BB46" s="279">
        <v>36</v>
      </c>
      <c r="BC46" s="269" t="s">
        <v>284</v>
      </c>
      <c r="BD46" s="329"/>
      <c r="BE46" s="329"/>
      <c r="BF46" s="299"/>
      <c r="BG46" s="300">
        <f>BG45*3</f>
        <v>698940</v>
      </c>
      <c r="BH46" s="349">
        <f t="shared" ref="BH46" si="60">BG46/BG$4</f>
        <v>2322.0598006644518</v>
      </c>
      <c r="BI46" s="349"/>
      <c r="BJ46" s="302">
        <f>BJ45*3</f>
        <v>267921.07778342656</v>
      </c>
      <c r="BK46" s="301">
        <f>BG46/BJ46</f>
        <v>2.6087533156498672</v>
      </c>
      <c r="BM46" s="279">
        <v>36</v>
      </c>
      <c r="BN46" s="269" t="s">
        <v>284</v>
      </c>
      <c r="BO46" s="329"/>
      <c r="BP46" s="396"/>
      <c r="BQ46" s="346">
        <f>AW46</f>
        <v>1740.8880308880309</v>
      </c>
      <c r="BR46" s="346"/>
      <c r="BS46" s="336">
        <f t="shared" si="8"/>
        <v>2.7038567493112948</v>
      </c>
      <c r="BT46" s="346">
        <f>BH46</f>
        <v>2322.0598006644518</v>
      </c>
      <c r="BU46" s="346"/>
      <c r="BV46" s="336">
        <f t="shared" si="9"/>
        <v>2.6087533156498672</v>
      </c>
    </row>
    <row r="47" spans="2:74" ht="15" thickTop="1" x14ac:dyDescent="0.35">
      <c r="B47" s="6" t="s">
        <v>285</v>
      </c>
      <c r="C47" s="303"/>
      <c r="D47" s="303"/>
      <c r="E47" s="303"/>
      <c r="F47" s="303"/>
      <c r="G47" s="303"/>
      <c r="H47" s="303"/>
      <c r="I47" s="303"/>
      <c r="J47" s="303"/>
      <c r="K47" s="303"/>
      <c r="AQ47" s="320" t="s">
        <v>285</v>
      </c>
      <c r="AR47" s="303"/>
      <c r="AS47" s="303"/>
      <c r="AT47" s="303"/>
      <c r="AU47" s="303"/>
      <c r="AV47" s="303"/>
      <c r="AW47" s="303"/>
      <c r="AX47" s="303"/>
      <c r="AY47" s="303"/>
      <c r="AZ47" s="303"/>
      <c r="BB47" s="320" t="s">
        <v>285</v>
      </c>
      <c r="BC47" s="303"/>
      <c r="BD47" s="303"/>
      <c r="BE47" s="303"/>
      <c r="BF47" s="303"/>
      <c r="BG47" s="303"/>
      <c r="BH47" s="303"/>
      <c r="BI47" s="303"/>
      <c r="BJ47" s="303"/>
      <c r="BK47" s="303"/>
      <c r="BM47" s="320" t="s">
        <v>285</v>
      </c>
      <c r="BN47" s="303"/>
      <c r="BO47" s="303"/>
      <c r="BP47" s="303"/>
      <c r="BQ47" s="303"/>
      <c r="BR47" s="303"/>
      <c r="BS47" s="303"/>
      <c r="BT47" s="303"/>
      <c r="BU47" s="303"/>
      <c r="BV47" s="303"/>
    </row>
    <row r="49" spans="2:66" x14ac:dyDescent="0.35">
      <c r="C49" t="s">
        <v>286</v>
      </c>
      <c r="K49" s="159"/>
      <c r="L49" s="159">
        <f>SUM(L41:L44)-L36</f>
        <v>10412</v>
      </c>
      <c r="P49" s="159">
        <f>SUM(P41:P44)-P36</f>
        <v>3503</v>
      </c>
      <c r="Q49" s="304">
        <f>L49/P49</f>
        <v>2.972309449043677</v>
      </c>
      <c r="R49" s="159">
        <f>SUM(R41:R44)-R36</f>
        <v>14533</v>
      </c>
      <c r="V49" s="159">
        <f>SUM(V41:V44)-V36</f>
        <v>5065</v>
      </c>
      <c r="W49" s="304">
        <f>R49/V49</f>
        <v>2.8692991115498518</v>
      </c>
      <c r="X49" s="159">
        <f>SUM(X41:X44)-X36</f>
        <v>14980</v>
      </c>
      <c r="AB49" s="159">
        <f>SUM(AB41:AB44)-AB36</f>
        <v>5217</v>
      </c>
      <c r="AC49" s="304">
        <f>X49/AB49</f>
        <v>2.8713820203181903</v>
      </c>
      <c r="AD49" s="159">
        <f>SUM(AD41:AD44)-AD36</f>
        <v>4121</v>
      </c>
      <c r="AH49" s="159">
        <f>SUM(AH41:AH44)-AH36</f>
        <v>1562</v>
      </c>
      <c r="AI49" s="304">
        <f>AD49/AH49</f>
        <v>2.6382842509603073</v>
      </c>
      <c r="AJ49" s="159">
        <f>SUM(AJ41:AJ44)-AJ36</f>
        <v>4568</v>
      </c>
      <c r="AN49" s="159">
        <f>SUM(AN41:AN44)-AN36</f>
        <v>1714</v>
      </c>
      <c r="AO49" s="304">
        <f>AJ49/AN49</f>
        <v>2.6651108518086346</v>
      </c>
      <c r="AR49" t="s">
        <v>286</v>
      </c>
      <c r="BC49" t="s">
        <v>286</v>
      </c>
      <c r="BN49" t="s">
        <v>286</v>
      </c>
    </row>
    <row r="50" spans="2:66" x14ac:dyDescent="0.35">
      <c r="C50" t="s">
        <v>287</v>
      </c>
      <c r="F50">
        <f>DATEDIF($D$9,H$9,"M")</f>
        <v>15</v>
      </c>
      <c r="H50">
        <f>DATEDIF($D$9,I$9,"M")</f>
        <v>24</v>
      </c>
      <c r="L50" t="s">
        <v>288</v>
      </c>
      <c r="P50" t="s">
        <v>288</v>
      </c>
      <c r="R50" t="s">
        <v>288</v>
      </c>
      <c r="V50" t="s">
        <v>288</v>
      </c>
      <c r="X50" t="s">
        <v>288</v>
      </c>
      <c r="AB50" t="s">
        <v>288</v>
      </c>
      <c r="AD50" t="s">
        <v>288</v>
      </c>
      <c r="AH50" t="s">
        <v>288</v>
      </c>
      <c r="AJ50" t="s">
        <v>288</v>
      </c>
      <c r="AN50" t="s">
        <v>288</v>
      </c>
      <c r="AR50" t="s">
        <v>287</v>
      </c>
      <c r="BC50" t="s">
        <v>287</v>
      </c>
      <c r="BN50" t="s">
        <v>287</v>
      </c>
    </row>
    <row r="51" spans="2:66" x14ac:dyDescent="0.35">
      <c r="R51" s="96">
        <f>(R49-$L49)/$L49</f>
        <v>0.39579331540530155</v>
      </c>
      <c r="V51" s="96">
        <f>(V49-P49)/P49</f>
        <v>0.4459035112760491</v>
      </c>
      <c r="X51" s="96">
        <f>(X49-$L49)/$L49</f>
        <v>0.43872454859777182</v>
      </c>
      <c r="AB51" s="96">
        <f>(AB49-V49)/V49</f>
        <v>3.0009871668311944E-2</v>
      </c>
    </row>
    <row r="52" spans="2:66" x14ac:dyDescent="0.35">
      <c r="R52" s="159">
        <f>R49-L49</f>
        <v>4121</v>
      </c>
      <c r="V52" s="159">
        <f>V49-P49</f>
        <v>1562</v>
      </c>
      <c r="W52">
        <f>R52/V52</f>
        <v>2.6382842509603073</v>
      </c>
      <c r="X52" s="159">
        <f>X49-R49</f>
        <v>447</v>
      </c>
      <c r="AB52" s="159">
        <f>AB49-V49</f>
        <v>152</v>
      </c>
      <c r="AC52">
        <f>X52/AB52</f>
        <v>2.9407894736842106</v>
      </c>
    </row>
    <row r="54" spans="2:66" ht="19" thickBot="1" x14ac:dyDescent="0.5">
      <c r="B54" s="305" t="s">
        <v>377</v>
      </c>
      <c r="AQ54" s="305"/>
      <c r="BB54" s="305"/>
      <c r="BM54" s="305"/>
    </row>
    <row r="55" spans="2:66" ht="15.5" thickTop="1" thickBot="1" x14ac:dyDescent="0.4">
      <c r="B55" s="5"/>
      <c r="C55" s="19"/>
      <c r="D55" s="19"/>
      <c r="E55" s="19"/>
      <c r="F55" s="19"/>
      <c r="G55" s="19"/>
      <c r="H55" s="19"/>
      <c r="I55" s="19"/>
      <c r="J55" s="19"/>
      <c r="K55" s="19"/>
      <c r="L55" s="6" t="str">
        <f>L6</f>
        <v>Losses from Feb. 24, 2022 to Jun. 15, 2023</v>
      </c>
      <c r="M55" s="19"/>
      <c r="N55" s="19"/>
      <c r="O55" s="19"/>
      <c r="P55" s="19"/>
      <c r="Q55" s="19"/>
      <c r="R55" s="306" t="str">
        <f>R6</f>
        <v>Losses from Feb. 24, 2022 to Mar. 16, 2024</v>
      </c>
      <c r="S55" s="19"/>
      <c r="T55" s="19"/>
      <c r="U55" s="19"/>
      <c r="V55" s="19"/>
      <c r="W55" s="19"/>
      <c r="X55" s="306" t="str">
        <f>X6</f>
        <v>Losses from Feb. 24, 2022 to Apr. 11, 2024</v>
      </c>
      <c r="Y55" s="19"/>
      <c r="Z55" s="19"/>
      <c r="AA55" s="19"/>
      <c r="AB55" s="19"/>
      <c r="AC55" s="19"/>
      <c r="AD55" s="243" t="s">
        <v>237</v>
      </c>
      <c r="AE55" s="244"/>
      <c r="AF55" s="244"/>
      <c r="AG55" s="244"/>
      <c r="AH55" s="244"/>
      <c r="AI55" s="245"/>
      <c r="AJ55" s="243" t="s">
        <v>237</v>
      </c>
      <c r="AK55" s="244"/>
      <c r="AL55" s="244"/>
      <c r="AM55" s="244"/>
      <c r="AN55" s="244"/>
      <c r="AO55" s="245"/>
    </row>
    <row r="56" spans="2:66" ht="15" thickTop="1" x14ac:dyDescent="0.35">
      <c r="B56" s="307" t="s">
        <v>233</v>
      </c>
      <c r="C56" s="247" t="s">
        <v>234</v>
      </c>
      <c r="D56" s="308" t="str">
        <f t="shared" ref="D56:W58" si="61">D7</f>
        <v>Russian active</v>
      </c>
      <c r="E56" s="247" t="str">
        <f t="shared" si="61"/>
        <v>Russian active &amp;</v>
      </c>
      <c r="F56" s="247" t="str">
        <f t="shared" ref="F56:I56" si="62">F7</f>
        <v>Russian new</v>
      </c>
      <c r="G56" s="247" t="str">
        <f t="shared" ref="G56" si="63">G7</f>
        <v>Russian new</v>
      </c>
      <c r="H56" s="247" t="str">
        <f t="shared" si="62"/>
        <v>Russian active &amp;</v>
      </c>
      <c r="I56" s="247" t="str">
        <f t="shared" si="62"/>
        <v>Russian active &amp;</v>
      </c>
      <c r="J56" s="247" t="str">
        <f t="shared" ref="J56" si="64">J7</f>
        <v>Russian active &amp;</v>
      </c>
      <c r="K56" s="247" t="str">
        <f t="shared" si="61"/>
        <v>Ukraine active &amp;</v>
      </c>
      <c r="L56" s="247" t="str">
        <f t="shared" si="61"/>
        <v>Russian</v>
      </c>
      <c r="M56" s="247" t="str">
        <f t="shared" si="61"/>
        <v>Russian</v>
      </c>
      <c r="N56" s="247" t="str">
        <f t="shared" ref="N56:O56" si="65">N7</f>
        <v>Russian avg.</v>
      </c>
      <c r="O56" s="247" t="str">
        <f t="shared" si="65"/>
        <v>Months left</v>
      </c>
      <c r="P56" s="247" t="str">
        <f t="shared" si="61"/>
        <v>Ukraine</v>
      </c>
      <c r="Q56" s="248" t="str">
        <f t="shared" si="61"/>
        <v>Kill ratios</v>
      </c>
      <c r="R56" s="247" t="str">
        <f t="shared" si="61"/>
        <v>Russian</v>
      </c>
      <c r="S56" s="247" t="str">
        <f t="shared" si="61"/>
        <v>Russian</v>
      </c>
      <c r="T56" s="247" t="str">
        <f t="shared" ref="T56:U56" si="66">T7</f>
        <v>Russian avg.</v>
      </c>
      <c r="U56" s="247" t="str">
        <f t="shared" si="66"/>
        <v>Months left</v>
      </c>
      <c r="V56" s="247" t="str">
        <f t="shared" si="61"/>
        <v>Ukraine</v>
      </c>
      <c r="W56" s="248" t="str">
        <f t="shared" si="61"/>
        <v>Kill ratios</v>
      </c>
      <c r="X56" s="247" t="str">
        <f t="shared" ref="X56:Y56" si="67">X7</f>
        <v>Russian</v>
      </c>
      <c r="Y56" s="247" t="str">
        <f t="shared" si="67"/>
        <v>Russian</v>
      </c>
      <c r="Z56" s="247" t="str">
        <f t="shared" ref="Z56:AA56" si="68">Z7</f>
        <v>Russian avg.</v>
      </c>
      <c r="AA56" s="247" t="str">
        <f t="shared" si="68"/>
        <v>Months left</v>
      </c>
      <c r="AB56" s="247" t="str">
        <f t="shared" ref="AB56:AC56" si="69">AB7</f>
        <v>Ukraine</v>
      </c>
      <c r="AC56" s="248" t="str">
        <f t="shared" si="69"/>
        <v>Kill ratios</v>
      </c>
      <c r="AD56" s="252" t="str">
        <f>$L56</f>
        <v>Russian</v>
      </c>
      <c r="AE56" s="253" t="str">
        <f>$M56</f>
        <v>Russian</v>
      </c>
      <c r="AF56" s="253" t="str">
        <f>$N56</f>
        <v>Russian avg.</v>
      </c>
      <c r="AG56" s="253"/>
      <c r="AH56" s="253" t="str">
        <f>$P56</f>
        <v>Ukraine</v>
      </c>
      <c r="AI56" s="254" t="str">
        <f>$Q56</f>
        <v>Kill ratios</v>
      </c>
      <c r="AJ56" s="252" t="str">
        <f>$L56</f>
        <v>Russian</v>
      </c>
      <c r="AK56" s="253" t="str">
        <f>$M56</f>
        <v>Russian</v>
      </c>
      <c r="AL56" s="253" t="str">
        <f>$N56</f>
        <v>Russian avg.</v>
      </c>
      <c r="AM56" s="253"/>
      <c r="AN56" s="253" t="str">
        <f>$P56</f>
        <v>Ukraine</v>
      </c>
      <c r="AO56" s="254" t="str">
        <f>$Q56</f>
        <v>Kill ratios</v>
      </c>
      <c r="AQ56" s="322"/>
      <c r="AR56" s="3"/>
      <c r="BB56" s="322"/>
      <c r="BC56" s="3"/>
      <c r="BM56" s="322"/>
      <c r="BN56" s="3"/>
    </row>
    <row r="57" spans="2:66" x14ac:dyDescent="0.35">
      <c r="B57" s="309"/>
      <c r="C57" s="260"/>
      <c r="D57" s="310" t="str">
        <f t="shared" si="61"/>
        <v xml:space="preserve">stock on </v>
      </c>
      <c r="E57" s="260" t="str">
        <f t="shared" si="61"/>
        <v xml:space="preserve">passive stock on </v>
      </c>
      <c r="F57" s="260" t="str">
        <f t="shared" ref="F57:I57" si="70">F8</f>
        <v>production</v>
      </c>
      <c r="G57" s="260" t="str">
        <f t="shared" ref="G57" si="71">G8</f>
        <v>production</v>
      </c>
      <c r="H57" s="260" t="str">
        <f t="shared" si="70"/>
        <v xml:space="preserve">passive stock on </v>
      </c>
      <c r="I57" s="260" t="str">
        <f t="shared" si="70"/>
        <v xml:space="preserve">passive stock on </v>
      </c>
      <c r="J57" s="260" t="str">
        <f t="shared" ref="J57" si="72">J8</f>
        <v xml:space="preserve">passive stock on </v>
      </c>
      <c r="K57" s="260" t="str">
        <f t="shared" si="61"/>
        <v xml:space="preserve">passive stock on </v>
      </c>
      <c r="L57" s="260" t="str">
        <f t="shared" si="61"/>
        <v xml:space="preserve">losses </v>
      </c>
      <c r="M57" s="260" t="str">
        <f t="shared" si="61"/>
        <v>losses</v>
      </c>
      <c r="N57" s="260" t="str">
        <f t="shared" ref="N57:O57" si="73">N8</f>
        <v>losses unco.</v>
      </c>
      <c r="O57" s="260" t="str">
        <f t="shared" si="73"/>
        <v xml:space="preserve">to depletion </v>
      </c>
      <c r="P57" s="260" t="str">
        <f t="shared" si="61"/>
        <v xml:space="preserve">losses </v>
      </c>
      <c r="Q57" s="261" t="str">
        <f t="shared" si="61"/>
        <v>RUS/UKR</v>
      </c>
      <c r="R57" s="260" t="str">
        <f t="shared" si="61"/>
        <v xml:space="preserve">losses </v>
      </c>
      <c r="S57" s="260" t="str">
        <f t="shared" si="61"/>
        <v>losses</v>
      </c>
      <c r="T57" s="260" t="str">
        <f t="shared" ref="T57:U57" si="74">T8</f>
        <v>losses unco.</v>
      </c>
      <c r="U57" s="260" t="str">
        <f t="shared" si="74"/>
        <v xml:space="preserve">to depletion </v>
      </c>
      <c r="V57" s="260" t="str">
        <f t="shared" si="61"/>
        <v xml:space="preserve">losses </v>
      </c>
      <c r="W57" s="261" t="str">
        <f t="shared" si="61"/>
        <v>RUS/UKR</v>
      </c>
      <c r="X57" s="260" t="str">
        <f t="shared" ref="X57:Y57" si="75">X8</f>
        <v xml:space="preserve">losses </v>
      </c>
      <c r="Y57" s="260" t="str">
        <f t="shared" si="75"/>
        <v>losses</v>
      </c>
      <c r="Z57" s="260" t="str">
        <f t="shared" ref="Z57:AA57" si="76">Z8</f>
        <v>losses unco.</v>
      </c>
      <c r="AA57" s="260" t="str">
        <f t="shared" si="76"/>
        <v xml:space="preserve">to depletion </v>
      </c>
      <c r="AB57" s="260" t="str">
        <f t="shared" ref="AB57:AC57" si="77">AB8</f>
        <v xml:space="preserve">losses </v>
      </c>
      <c r="AC57" s="261" t="str">
        <f t="shared" si="77"/>
        <v>RUS/UKR</v>
      </c>
      <c r="AD57" s="265" t="str">
        <f>$L57</f>
        <v xml:space="preserve">losses </v>
      </c>
      <c r="AE57" s="266" t="str">
        <f>$M57</f>
        <v>losses</v>
      </c>
      <c r="AF57" s="266" t="str">
        <f>$N57</f>
        <v>losses unco.</v>
      </c>
      <c r="AG57" s="266"/>
      <c r="AH57" s="266" t="str">
        <f>$P57</f>
        <v xml:space="preserve">losses </v>
      </c>
      <c r="AI57" s="267" t="str">
        <f>$Q57</f>
        <v>RUS/UKR</v>
      </c>
      <c r="AJ57" s="265" t="str">
        <f>$L57</f>
        <v xml:space="preserve">losses </v>
      </c>
      <c r="AK57" s="266" t="str">
        <f>$M57</f>
        <v>losses</v>
      </c>
      <c r="AL57" s="266" t="str">
        <f>$N57</f>
        <v>losses unco.</v>
      </c>
      <c r="AM57" s="266"/>
      <c r="AN57" s="266" t="str">
        <f>$P57</f>
        <v xml:space="preserve">losses </v>
      </c>
      <c r="AO57" s="267" t="str">
        <f>$Q57</f>
        <v>RUS/UKR</v>
      </c>
      <c r="AQ57" s="322"/>
      <c r="AR57" s="3"/>
      <c r="BB57" s="322"/>
      <c r="BC57" s="3"/>
      <c r="BM57" s="322"/>
      <c r="BN57" s="3"/>
    </row>
    <row r="58" spans="2:66" ht="15" thickBot="1" x14ac:dyDescent="0.4">
      <c r="B58" s="311"/>
      <c r="C58" s="271"/>
      <c r="D58" s="399">
        <f t="shared" si="61"/>
        <v>44616</v>
      </c>
      <c r="E58" s="400">
        <f t="shared" si="61"/>
        <v>44616</v>
      </c>
      <c r="F58" s="271" t="str">
        <f t="shared" ref="F58:I58" si="78">F9</f>
        <v>annually 2023</v>
      </c>
      <c r="G58" s="271" t="str">
        <f t="shared" ref="G58" si="79">G9</f>
        <v>daily in 2023</v>
      </c>
      <c r="H58" s="400">
        <f t="shared" si="78"/>
        <v>45092</v>
      </c>
      <c r="I58" s="400">
        <f t="shared" si="78"/>
        <v>45367</v>
      </c>
      <c r="J58" s="400">
        <f t="shared" ref="J58:K58" si="80">J9</f>
        <v>45393</v>
      </c>
      <c r="K58" s="400">
        <f t="shared" si="80"/>
        <v>44616</v>
      </c>
      <c r="L58" s="271" t="str">
        <f t="shared" si="61"/>
        <v>confirmed</v>
      </c>
      <c r="M58" s="271" t="str">
        <f t="shared" si="61"/>
        <v>unconfi.</v>
      </c>
      <c r="N58" s="271" t="str">
        <f t="shared" ref="N58:O58" si="81">N9</f>
        <v>per day</v>
      </c>
      <c r="O58" s="271" t="str">
        <f t="shared" si="81"/>
        <v>of all stocks</v>
      </c>
      <c r="P58" s="271" t="str">
        <f t="shared" si="61"/>
        <v>confirmed</v>
      </c>
      <c r="Q58" s="272" t="str">
        <f t="shared" si="61"/>
        <v>confirmed</v>
      </c>
      <c r="R58" s="271" t="str">
        <f t="shared" si="61"/>
        <v>confirmed</v>
      </c>
      <c r="S58" s="271" t="str">
        <f t="shared" si="61"/>
        <v>unconfi.</v>
      </c>
      <c r="T58" s="271" t="str">
        <f t="shared" ref="T58:U58" si="82">T9</f>
        <v>per day</v>
      </c>
      <c r="U58" s="271" t="str">
        <f t="shared" si="82"/>
        <v>of all stocks</v>
      </c>
      <c r="V58" s="271" t="str">
        <f t="shared" si="61"/>
        <v>confirmed</v>
      </c>
      <c r="W58" s="272" t="str">
        <f t="shared" si="61"/>
        <v>confirmed</v>
      </c>
      <c r="X58" s="271" t="str">
        <f t="shared" ref="X58:Y58" si="83">X9</f>
        <v>confirmed</v>
      </c>
      <c r="Y58" s="271" t="str">
        <f t="shared" si="83"/>
        <v>unconfi.</v>
      </c>
      <c r="Z58" s="271" t="str">
        <f t="shared" ref="Z58:AA58" si="84">Z9</f>
        <v>per day</v>
      </c>
      <c r="AA58" s="271" t="str">
        <f t="shared" si="84"/>
        <v>of all stocks</v>
      </c>
      <c r="AB58" s="271" t="str">
        <f t="shared" ref="AB58:AC58" si="85">AB9</f>
        <v>confirmed</v>
      </c>
      <c r="AC58" s="272" t="str">
        <f t="shared" si="85"/>
        <v>confirmed</v>
      </c>
      <c r="AD58" s="276" t="str">
        <f>$L58</f>
        <v>confirmed</v>
      </c>
      <c r="AE58" s="277" t="str">
        <f>$M58</f>
        <v>unconfi.</v>
      </c>
      <c r="AF58" s="277" t="str">
        <f>$N58</f>
        <v>per day</v>
      </c>
      <c r="AG58" s="277"/>
      <c r="AH58" s="277" t="str">
        <f>$P58</f>
        <v>confirmed</v>
      </c>
      <c r="AI58" s="278" t="str">
        <f>$Q58</f>
        <v>confirmed</v>
      </c>
      <c r="AJ58" s="276" t="str">
        <f>$L58</f>
        <v>confirmed</v>
      </c>
      <c r="AK58" s="277" t="str">
        <f>$M58</f>
        <v>unconfi.</v>
      </c>
      <c r="AL58" s="277" t="str">
        <f>$N58</f>
        <v>per day</v>
      </c>
      <c r="AM58" s="277"/>
      <c r="AN58" s="277" t="str">
        <f>$P58</f>
        <v>confirmed</v>
      </c>
      <c r="AO58" s="278" t="str">
        <f>$Q58</f>
        <v>confirmed</v>
      </c>
      <c r="AQ58" s="322"/>
      <c r="AR58" s="3"/>
      <c r="BB58" s="322"/>
      <c r="BC58" s="3"/>
      <c r="BM58" s="322"/>
      <c r="BN58" s="3"/>
    </row>
    <row r="59" spans="2:66" ht="15" thickTop="1" x14ac:dyDescent="0.35">
      <c r="B59" s="255">
        <v>1</v>
      </c>
      <c r="C59" s="256" t="str">
        <f>C10</f>
        <v>Tanks</v>
      </c>
      <c r="D59" s="312" t="s">
        <v>289</v>
      </c>
      <c r="E59" s="4" t="s">
        <v>290</v>
      </c>
      <c r="F59" t="s">
        <v>307</v>
      </c>
      <c r="G59" t="s">
        <v>35</v>
      </c>
      <c r="H59" t="s">
        <v>35</v>
      </c>
      <c r="I59" t="s">
        <v>35</v>
      </c>
      <c r="J59" t="s">
        <v>35</v>
      </c>
      <c r="K59" s="313" t="s">
        <v>291</v>
      </c>
      <c r="L59" t="s">
        <v>292</v>
      </c>
      <c r="M59" s="4" t="s">
        <v>293</v>
      </c>
      <c r="O59" t="s">
        <v>35</v>
      </c>
      <c r="P59" t="s">
        <v>294</v>
      </c>
      <c r="Q59" s="282" t="s">
        <v>35</v>
      </c>
      <c r="R59" s="20" t="s">
        <v>292</v>
      </c>
      <c r="S59" t="s">
        <v>290</v>
      </c>
      <c r="T59" t="s">
        <v>35</v>
      </c>
      <c r="U59" t="s">
        <v>35</v>
      </c>
      <c r="V59" s="20" t="s">
        <v>294</v>
      </c>
      <c r="W59" s="282" t="s">
        <v>35</v>
      </c>
      <c r="X59" s="20" t="s">
        <v>292</v>
      </c>
      <c r="Y59" s="4" t="s">
        <v>369</v>
      </c>
      <c r="AB59" s="20" t="s">
        <v>294</v>
      </c>
      <c r="AC59" s="282" t="s">
        <v>35</v>
      </c>
      <c r="AD59" s="285" t="s">
        <v>35</v>
      </c>
      <c r="AE59" s="285" t="s">
        <v>35</v>
      </c>
      <c r="AF59" s="285"/>
      <c r="AG59" s="285"/>
      <c r="AH59" s="285" t="s">
        <v>35</v>
      </c>
      <c r="AI59" s="314" t="s">
        <v>35</v>
      </c>
      <c r="AJ59" s="285" t="s">
        <v>35</v>
      </c>
      <c r="AK59" s="285" t="s">
        <v>35</v>
      </c>
      <c r="AL59" s="285"/>
      <c r="AM59" s="285"/>
      <c r="AN59" s="285" t="s">
        <v>35</v>
      </c>
      <c r="AO59" s="314" t="s">
        <v>35</v>
      </c>
      <c r="AQ59" s="322"/>
      <c r="AR59" s="3"/>
      <c r="BB59" s="322"/>
      <c r="BC59" s="3"/>
      <c r="BM59" s="322"/>
      <c r="BN59" s="3"/>
    </row>
    <row r="60" spans="2:66" x14ac:dyDescent="0.35">
      <c r="B60" s="255">
        <v>1.2</v>
      </c>
      <c r="C60" s="283" t="str">
        <f t="shared" ref="C60:C95" si="86">C11</f>
        <v>of which captured</v>
      </c>
      <c r="D60" s="312"/>
      <c r="E60" s="313"/>
      <c r="F60" s="313"/>
      <c r="G60" s="313"/>
      <c r="H60" s="313"/>
      <c r="I60" s="313"/>
      <c r="J60" s="313"/>
      <c r="K60" s="315" t="s">
        <v>34</v>
      </c>
      <c r="L60" s="312" t="s">
        <v>292</v>
      </c>
      <c r="M60" t="s">
        <v>34</v>
      </c>
      <c r="P60" s="313" t="s">
        <v>294</v>
      </c>
      <c r="Q60" s="282" t="s">
        <v>35</v>
      </c>
      <c r="R60" s="312" t="s">
        <v>292</v>
      </c>
      <c r="S60" t="s">
        <v>34</v>
      </c>
      <c r="V60" s="313" t="s">
        <v>294</v>
      </c>
      <c r="W60" s="282" t="s">
        <v>35</v>
      </c>
      <c r="X60" s="312" t="s">
        <v>292</v>
      </c>
      <c r="Y60" t="s">
        <v>34</v>
      </c>
      <c r="AB60" s="313" t="s">
        <v>294</v>
      </c>
      <c r="AC60" s="282" t="s">
        <v>35</v>
      </c>
      <c r="AD60" s="285" t="s">
        <v>35</v>
      </c>
      <c r="AE60" s="285" t="s">
        <v>35</v>
      </c>
      <c r="AF60" s="285"/>
      <c r="AG60" s="285"/>
      <c r="AH60" s="285" t="s">
        <v>35</v>
      </c>
      <c r="AI60" s="314" t="s">
        <v>35</v>
      </c>
      <c r="AJ60" s="285" t="s">
        <v>35</v>
      </c>
      <c r="AK60" s="285" t="s">
        <v>35</v>
      </c>
      <c r="AL60" s="285"/>
      <c r="AM60" s="285"/>
      <c r="AN60" s="285" t="s">
        <v>35</v>
      </c>
      <c r="AO60" s="314" t="s">
        <v>35</v>
      </c>
      <c r="AQ60" s="322"/>
      <c r="BB60" s="322"/>
      <c r="BM60" s="322"/>
    </row>
    <row r="61" spans="2:66" x14ac:dyDescent="0.35">
      <c r="B61" s="255">
        <v>2</v>
      </c>
      <c r="C61" s="256" t="str">
        <f t="shared" si="86"/>
        <v>Armored fighting vehicles</v>
      </c>
      <c r="D61" s="99"/>
      <c r="E61" s="159"/>
      <c r="F61" s="159"/>
      <c r="G61" s="159"/>
      <c r="H61" s="159"/>
      <c r="I61" s="159"/>
      <c r="J61" s="159"/>
      <c r="K61" s="159" t="s">
        <v>34</v>
      </c>
      <c r="L61" s="312" t="s">
        <v>292</v>
      </c>
      <c r="M61" t="s">
        <v>34</v>
      </c>
      <c r="P61" s="313" t="s">
        <v>294</v>
      </c>
      <c r="Q61" s="282" t="s">
        <v>35</v>
      </c>
      <c r="R61" s="312" t="s">
        <v>292</v>
      </c>
      <c r="S61" t="s">
        <v>34</v>
      </c>
      <c r="V61" s="313" t="s">
        <v>294</v>
      </c>
      <c r="W61" s="282" t="s">
        <v>35</v>
      </c>
      <c r="X61" s="312" t="s">
        <v>292</v>
      </c>
      <c r="Y61" t="s">
        <v>34</v>
      </c>
      <c r="AB61" s="313" t="s">
        <v>294</v>
      </c>
      <c r="AC61" s="282" t="s">
        <v>35</v>
      </c>
      <c r="AD61" s="285" t="s">
        <v>35</v>
      </c>
      <c r="AE61" s="285" t="s">
        <v>35</v>
      </c>
      <c r="AF61" s="285"/>
      <c r="AG61" s="285"/>
      <c r="AH61" s="285" t="s">
        <v>35</v>
      </c>
      <c r="AI61" s="314" t="s">
        <v>35</v>
      </c>
      <c r="AJ61" s="285" t="s">
        <v>35</v>
      </c>
      <c r="AK61" s="285" t="s">
        <v>35</v>
      </c>
      <c r="AL61" s="285"/>
      <c r="AM61" s="285"/>
      <c r="AN61" s="285" t="s">
        <v>35</v>
      </c>
      <c r="AO61" s="314" t="s">
        <v>35</v>
      </c>
      <c r="AQ61" s="322"/>
      <c r="AR61" s="3"/>
      <c r="BB61" s="322"/>
      <c r="BC61" s="3"/>
      <c r="BM61" s="322"/>
      <c r="BN61" s="3"/>
    </row>
    <row r="62" spans="2:66" x14ac:dyDescent="0.35">
      <c r="B62" s="255">
        <v>3</v>
      </c>
      <c r="C62" s="256" t="str">
        <f t="shared" si="86"/>
        <v>Infantry fighting vehicles</v>
      </c>
      <c r="D62" s="99"/>
      <c r="E62" s="159"/>
      <c r="F62" s="159"/>
      <c r="G62" s="159"/>
      <c r="H62" s="159"/>
      <c r="I62" s="159"/>
      <c r="J62" s="159"/>
      <c r="K62" s="159" t="s">
        <v>34</v>
      </c>
      <c r="L62" s="312" t="s">
        <v>292</v>
      </c>
      <c r="M62" t="s">
        <v>34</v>
      </c>
      <c r="P62" s="313" t="s">
        <v>294</v>
      </c>
      <c r="Q62" s="282" t="s">
        <v>35</v>
      </c>
      <c r="R62" s="312" t="s">
        <v>292</v>
      </c>
      <c r="S62" t="s">
        <v>34</v>
      </c>
      <c r="V62" s="313" t="s">
        <v>294</v>
      </c>
      <c r="W62" s="282" t="s">
        <v>35</v>
      </c>
      <c r="X62" s="312" t="s">
        <v>292</v>
      </c>
      <c r="Y62" t="s">
        <v>34</v>
      </c>
      <c r="AB62" s="313" t="s">
        <v>294</v>
      </c>
      <c r="AC62" s="282" t="s">
        <v>35</v>
      </c>
      <c r="AD62" s="285" t="s">
        <v>35</v>
      </c>
      <c r="AE62" s="285" t="s">
        <v>35</v>
      </c>
      <c r="AF62" s="285"/>
      <c r="AG62" s="285"/>
      <c r="AH62" s="285" t="s">
        <v>35</v>
      </c>
      <c r="AI62" s="314" t="s">
        <v>35</v>
      </c>
      <c r="AJ62" s="285" t="s">
        <v>35</v>
      </c>
      <c r="AK62" s="285" t="s">
        <v>35</v>
      </c>
      <c r="AL62" s="285"/>
      <c r="AM62" s="285"/>
      <c r="AN62" s="285" t="s">
        <v>35</v>
      </c>
      <c r="AO62" s="314" t="s">
        <v>35</v>
      </c>
      <c r="AQ62" s="322"/>
      <c r="AR62" s="3"/>
      <c r="BB62" s="322"/>
      <c r="BC62" s="3"/>
      <c r="BM62" s="322"/>
      <c r="BN62" s="3"/>
    </row>
    <row r="63" spans="2:66" x14ac:dyDescent="0.35">
      <c r="B63" s="255">
        <v>4</v>
      </c>
      <c r="C63" s="256" t="str">
        <f t="shared" si="86"/>
        <v>Armored personnel carriers</v>
      </c>
      <c r="D63" s="99"/>
      <c r="E63" s="159"/>
      <c r="F63" s="159"/>
      <c r="G63" s="159"/>
      <c r="H63" s="159"/>
      <c r="I63" s="159"/>
      <c r="J63" s="159"/>
      <c r="K63" s="159" t="s">
        <v>34</v>
      </c>
      <c r="L63" s="312" t="s">
        <v>292</v>
      </c>
      <c r="M63" t="s">
        <v>34</v>
      </c>
      <c r="P63" s="313" t="s">
        <v>294</v>
      </c>
      <c r="Q63" s="282" t="s">
        <v>35</v>
      </c>
      <c r="R63" s="312" t="s">
        <v>292</v>
      </c>
      <c r="S63" t="s">
        <v>34</v>
      </c>
      <c r="V63" s="313" t="s">
        <v>294</v>
      </c>
      <c r="W63" s="282" t="s">
        <v>35</v>
      </c>
      <c r="X63" s="312" t="s">
        <v>292</v>
      </c>
      <c r="Y63" t="s">
        <v>34</v>
      </c>
      <c r="AB63" s="313" t="s">
        <v>294</v>
      </c>
      <c r="AC63" s="282" t="s">
        <v>35</v>
      </c>
      <c r="AD63" s="285" t="s">
        <v>35</v>
      </c>
      <c r="AE63" s="285" t="s">
        <v>35</v>
      </c>
      <c r="AF63" s="285"/>
      <c r="AG63" s="285"/>
      <c r="AH63" s="285" t="s">
        <v>35</v>
      </c>
      <c r="AI63" s="314" t="s">
        <v>35</v>
      </c>
      <c r="AJ63" s="285" t="s">
        <v>35</v>
      </c>
      <c r="AK63" s="285" t="s">
        <v>35</v>
      </c>
      <c r="AL63" s="285"/>
      <c r="AM63" s="285"/>
      <c r="AN63" s="285" t="s">
        <v>35</v>
      </c>
      <c r="AO63" s="314" t="s">
        <v>35</v>
      </c>
      <c r="AQ63" s="322"/>
      <c r="AR63" s="3"/>
      <c r="BB63" s="322"/>
      <c r="BC63" s="3"/>
      <c r="BM63" s="322"/>
      <c r="BN63" s="3"/>
    </row>
    <row r="64" spans="2:66" x14ac:dyDescent="0.35">
      <c r="B64" s="255">
        <v>5</v>
      </c>
      <c r="C64" s="256" t="str">
        <f t="shared" si="86"/>
        <v>Other APCs (MRAPs)</v>
      </c>
      <c r="D64" s="99"/>
      <c r="E64" s="159"/>
      <c r="F64" s="159"/>
      <c r="G64" s="159"/>
      <c r="H64" s="159"/>
      <c r="I64" s="159"/>
      <c r="J64" s="159"/>
      <c r="K64" s="159" t="s">
        <v>34</v>
      </c>
      <c r="L64" s="312" t="s">
        <v>292</v>
      </c>
      <c r="M64" t="s">
        <v>34</v>
      </c>
      <c r="P64" s="313" t="s">
        <v>294</v>
      </c>
      <c r="Q64" s="282" t="s">
        <v>35</v>
      </c>
      <c r="R64" s="312" t="s">
        <v>292</v>
      </c>
      <c r="S64" t="s">
        <v>34</v>
      </c>
      <c r="V64" s="313" t="s">
        <v>294</v>
      </c>
      <c r="W64" s="282" t="s">
        <v>35</v>
      </c>
      <c r="X64" s="312" t="s">
        <v>292</v>
      </c>
      <c r="Y64" t="s">
        <v>34</v>
      </c>
      <c r="AB64" s="313" t="s">
        <v>294</v>
      </c>
      <c r="AC64" s="282" t="s">
        <v>35</v>
      </c>
      <c r="AD64" s="285" t="s">
        <v>35</v>
      </c>
      <c r="AE64" s="285" t="s">
        <v>35</v>
      </c>
      <c r="AF64" s="285"/>
      <c r="AG64" s="285"/>
      <c r="AH64" s="285" t="s">
        <v>35</v>
      </c>
      <c r="AI64" s="314" t="s">
        <v>35</v>
      </c>
      <c r="AJ64" s="285" t="s">
        <v>35</v>
      </c>
      <c r="AK64" s="285" t="s">
        <v>35</v>
      </c>
      <c r="AL64" s="285"/>
      <c r="AM64" s="285"/>
      <c r="AN64" s="285" t="s">
        <v>35</v>
      </c>
      <c r="AO64" s="314" t="s">
        <v>35</v>
      </c>
      <c r="AQ64" s="322"/>
      <c r="AR64" s="3"/>
      <c r="BB64" s="322"/>
      <c r="BC64" s="3"/>
      <c r="BM64" s="322"/>
      <c r="BN64" s="3"/>
    </row>
    <row r="65" spans="2:66" x14ac:dyDescent="0.35">
      <c r="B65" s="255">
        <v>6</v>
      </c>
      <c r="C65" s="256" t="str">
        <f t="shared" si="86"/>
        <v>Infantry mobility vehicles</v>
      </c>
      <c r="D65" s="99"/>
      <c r="E65" s="159"/>
      <c r="F65" s="159"/>
      <c r="G65" s="159"/>
      <c r="H65" s="159"/>
      <c r="I65" s="159"/>
      <c r="J65" s="159"/>
      <c r="K65" s="159" t="s">
        <v>34</v>
      </c>
      <c r="L65" s="312" t="s">
        <v>292</v>
      </c>
      <c r="M65" t="s">
        <v>34</v>
      </c>
      <c r="P65" s="313" t="s">
        <v>294</v>
      </c>
      <c r="Q65" s="282" t="s">
        <v>35</v>
      </c>
      <c r="R65" s="312" t="s">
        <v>292</v>
      </c>
      <c r="S65" t="s">
        <v>34</v>
      </c>
      <c r="V65" s="313" t="s">
        <v>294</v>
      </c>
      <c r="W65" s="282" t="s">
        <v>35</v>
      </c>
      <c r="X65" s="312" t="s">
        <v>292</v>
      </c>
      <c r="Y65" t="s">
        <v>34</v>
      </c>
      <c r="AB65" s="313" t="s">
        <v>294</v>
      </c>
      <c r="AC65" s="282" t="s">
        <v>35</v>
      </c>
      <c r="AD65" s="285" t="s">
        <v>35</v>
      </c>
      <c r="AE65" s="285" t="s">
        <v>35</v>
      </c>
      <c r="AF65" s="285"/>
      <c r="AG65" s="285"/>
      <c r="AH65" s="285" t="s">
        <v>35</v>
      </c>
      <c r="AI65" s="314" t="s">
        <v>35</v>
      </c>
      <c r="AJ65" s="285" t="s">
        <v>35</v>
      </c>
      <c r="AK65" s="285" t="s">
        <v>35</v>
      </c>
      <c r="AL65" s="285"/>
      <c r="AM65" s="285"/>
      <c r="AN65" s="285" t="s">
        <v>35</v>
      </c>
      <c r="AO65" s="314" t="s">
        <v>35</v>
      </c>
      <c r="AQ65" s="322"/>
      <c r="AR65" s="3"/>
      <c r="BB65" s="322"/>
      <c r="BC65" s="3"/>
      <c r="BM65" s="322"/>
      <c r="BN65" s="3"/>
    </row>
    <row r="66" spans="2:66" x14ac:dyDescent="0.35">
      <c r="B66" s="255">
        <v>7</v>
      </c>
      <c r="C66" s="256" t="str">
        <f t="shared" si="86"/>
        <v>Command and com vehicles</v>
      </c>
      <c r="D66" s="99"/>
      <c r="E66" s="159"/>
      <c r="F66" s="159"/>
      <c r="G66" s="159"/>
      <c r="H66" s="159"/>
      <c r="I66" s="159"/>
      <c r="J66" s="159"/>
      <c r="K66" s="159" t="s">
        <v>34</v>
      </c>
      <c r="L66" s="312" t="s">
        <v>292</v>
      </c>
      <c r="M66" t="s">
        <v>34</v>
      </c>
      <c r="P66" s="313" t="s">
        <v>294</v>
      </c>
      <c r="Q66" s="282" t="s">
        <v>35</v>
      </c>
      <c r="R66" s="312" t="s">
        <v>292</v>
      </c>
      <c r="S66" t="s">
        <v>34</v>
      </c>
      <c r="V66" s="313" t="s">
        <v>294</v>
      </c>
      <c r="W66" s="282" t="s">
        <v>35</v>
      </c>
      <c r="X66" s="312" t="s">
        <v>292</v>
      </c>
      <c r="Y66" t="s">
        <v>34</v>
      </c>
      <c r="AB66" s="313" t="s">
        <v>294</v>
      </c>
      <c r="AC66" s="282" t="s">
        <v>35</v>
      </c>
      <c r="AD66" s="285" t="s">
        <v>35</v>
      </c>
      <c r="AE66" s="285" t="s">
        <v>35</v>
      </c>
      <c r="AF66" s="285"/>
      <c r="AG66" s="285"/>
      <c r="AH66" s="285" t="s">
        <v>35</v>
      </c>
      <c r="AI66" s="314" t="s">
        <v>35</v>
      </c>
      <c r="AJ66" s="285" t="s">
        <v>35</v>
      </c>
      <c r="AK66" s="285" t="s">
        <v>35</v>
      </c>
      <c r="AL66" s="285"/>
      <c r="AM66" s="285"/>
      <c r="AN66" s="285" t="s">
        <v>35</v>
      </c>
      <c r="AO66" s="314" t="s">
        <v>35</v>
      </c>
      <c r="AQ66" s="322"/>
      <c r="AR66" s="3"/>
      <c r="BB66" s="322"/>
      <c r="BC66" s="3"/>
      <c r="BM66" s="322"/>
      <c r="BN66" s="3"/>
    </row>
    <row r="67" spans="2:66" x14ac:dyDescent="0.35">
      <c r="B67" s="255">
        <v>8</v>
      </c>
      <c r="C67" s="256" t="str">
        <f t="shared" si="86"/>
        <v>Total armored vehicles (2 to 7)</v>
      </c>
      <c r="D67" s="312" t="s">
        <v>289</v>
      </c>
      <c r="E67" t="s">
        <v>290</v>
      </c>
      <c r="F67" t="s">
        <v>310</v>
      </c>
      <c r="G67" t="s">
        <v>35</v>
      </c>
      <c r="H67" t="s">
        <v>35</v>
      </c>
      <c r="I67" t="s">
        <v>35</v>
      </c>
      <c r="J67" t="s">
        <v>35</v>
      </c>
      <c r="K67" s="285" t="s">
        <v>34</v>
      </c>
      <c r="L67" s="316" t="s">
        <v>35</v>
      </c>
      <c r="M67" t="s">
        <v>293</v>
      </c>
      <c r="P67" s="317" t="s">
        <v>35</v>
      </c>
      <c r="Q67" s="282" t="s">
        <v>35</v>
      </c>
      <c r="R67" s="316" t="s">
        <v>35</v>
      </c>
      <c r="S67" s="97" t="s">
        <v>290</v>
      </c>
      <c r="T67" t="s">
        <v>35</v>
      </c>
      <c r="U67" t="s">
        <v>35</v>
      </c>
      <c r="V67" s="317" t="s">
        <v>35</v>
      </c>
      <c r="W67" s="282" t="s">
        <v>35</v>
      </c>
      <c r="X67" s="316" t="s">
        <v>35</v>
      </c>
      <c r="Y67" t="s">
        <v>369</v>
      </c>
      <c r="Z67" s="97"/>
      <c r="AA67" s="97"/>
      <c r="AB67" s="317" t="s">
        <v>35</v>
      </c>
      <c r="AC67" s="282" t="s">
        <v>35</v>
      </c>
      <c r="AD67" s="285" t="s">
        <v>35</v>
      </c>
      <c r="AE67" s="285" t="s">
        <v>35</v>
      </c>
      <c r="AF67" s="285"/>
      <c r="AG67" s="285"/>
      <c r="AH67" s="285" t="s">
        <v>35</v>
      </c>
      <c r="AI67" s="314" t="s">
        <v>35</v>
      </c>
      <c r="AJ67" s="285" t="s">
        <v>35</v>
      </c>
      <c r="AK67" s="285" t="s">
        <v>35</v>
      </c>
      <c r="AL67" s="285"/>
      <c r="AM67" s="285"/>
      <c r="AN67" s="285" t="s">
        <v>35</v>
      </c>
      <c r="AO67" s="314" t="s">
        <v>35</v>
      </c>
      <c r="AQ67" s="322"/>
      <c r="AR67" s="3"/>
      <c r="BB67" s="322"/>
      <c r="BC67" s="3"/>
      <c r="BM67" s="322"/>
      <c r="BN67" s="3"/>
    </row>
    <row r="68" spans="2:66" x14ac:dyDescent="0.35">
      <c r="B68" s="255">
        <v>9</v>
      </c>
      <c r="C68" s="256" t="str">
        <f t="shared" si="86"/>
        <v>Engineering vehicles special equipm.</v>
      </c>
      <c r="D68" s="284"/>
      <c r="E68" s="285"/>
      <c r="F68" s="285" t="s">
        <v>376</v>
      </c>
      <c r="G68" t="s">
        <v>35</v>
      </c>
      <c r="H68" s="285" t="s">
        <v>376</v>
      </c>
      <c r="I68" s="285" t="s">
        <v>376</v>
      </c>
      <c r="J68" s="285" t="s">
        <v>376</v>
      </c>
      <c r="K68" s="285" t="s">
        <v>34</v>
      </c>
      <c r="L68" s="312" t="s">
        <v>292</v>
      </c>
      <c r="M68" s="97" t="s">
        <v>293</v>
      </c>
      <c r="N68" s="97"/>
      <c r="O68" s="97"/>
      <c r="P68" s="313" t="s">
        <v>294</v>
      </c>
      <c r="Q68" s="282" t="s">
        <v>35</v>
      </c>
      <c r="R68" s="312" t="s">
        <v>292</v>
      </c>
      <c r="S68" s="97" t="s">
        <v>290</v>
      </c>
      <c r="T68" t="s">
        <v>35</v>
      </c>
      <c r="U68" t="s">
        <v>35</v>
      </c>
      <c r="V68" s="313" t="s">
        <v>294</v>
      </c>
      <c r="W68" s="282" t="s">
        <v>35</v>
      </c>
      <c r="X68" s="312" t="s">
        <v>292</v>
      </c>
      <c r="Y68" t="s">
        <v>369</v>
      </c>
      <c r="Z68" s="97"/>
      <c r="AA68" s="97"/>
      <c r="AB68" s="313" t="s">
        <v>294</v>
      </c>
      <c r="AC68" s="282" t="s">
        <v>35</v>
      </c>
      <c r="AD68" s="285" t="s">
        <v>35</v>
      </c>
      <c r="AE68" s="285" t="s">
        <v>35</v>
      </c>
      <c r="AF68" s="285"/>
      <c r="AG68" s="285"/>
      <c r="AH68" s="285" t="s">
        <v>35</v>
      </c>
      <c r="AI68" s="314" t="s">
        <v>35</v>
      </c>
      <c r="AJ68" s="285" t="s">
        <v>35</v>
      </c>
      <c r="AK68" s="285" t="s">
        <v>35</v>
      </c>
      <c r="AL68" s="285"/>
      <c r="AM68" s="285"/>
      <c r="AN68" s="285" t="s">
        <v>35</v>
      </c>
      <c r="AO68" s="314" t="s">
        <v>35</v>
      </c>
      <c r="AQ68" s="322"/>
      <c r="AR68" s="3"/>
      <c r="BB68" s="322"/>
      <c r="BC68" s="3"/>
      <c r="BM68" s="322"/>
      <c r="BN68" s="3"/>
    </row>
    <row r="69" spans="2:66" x14ac:dyDescent="0.35">
      <c r="B69" s="255">
        <v>10</v>
      </c>
      <c r="C69" s="256" t="str">
        <f t="shared" si="86"/>
        <v>Anti-tank vehicles</v>
      </c>
      <c r="D69" s="99"/>
      <c r="E69" s="159"/>
      <c r="F69" s="159"/>
      <c r="G69" s="159"/>
      <c r="H69" s="159"/>
      <c r="I69" s="159"/>
      <c r="J69" s="159"/>
      <c r="K69" s="159" t="s">
        <v>34</v>
      </c>
      <c r="L69" s="312" t="s">
        <v>292</v>
      </c>
      <c r="M69" t="s">
        <v>34</v>
      </c>
      <c r="P69" s="313" t="s">
        <v>294</v>
      </c>
      <c r="Q69" s="282" t="s">
        <v>35</v>
      </c>
      <c r="R69" s="312" t="s">
        <v>292</v>
      </c>
      <c r="S69" t="s">
        <v>34</v>
      </c>
      <c r="V69" s="313" t="s">
        <v>294</v>
      </c>
      <c r="W69" s="282" t="s">
        <v>35</v>
      </c>
      <c r="X69" s="312" t="s">
        <v>292</v>
      </c>
      <c r="Y69" t="s">
        <v>34</v>
      </c>
      <c r="AB69" s="313" t="s">
        <v>294</v>
      </c>
      <c r="AC69" s="282" t="s">
        <v>35</v>
      </c>
      <c r="AD69" s="285" t="s">
        <v>35</v>
      </c>
      <c r="AE69" s="285" t="s">
        <v>35</v>
      </c>
      <c r="AF69" s="285"/>
      <c r="AG69" s="285"/>
      <c r="AH69" s="285" t="s">
        <v>35</v>
      </c>
      <c r="AI69" s="314" t="s">
        <v>35</v>
      </c>
      <c r="AJ69" s="285" t="s">
        <v>35</v>
      </c>
      <c r="AK69" s="285" t="s">
        <v>35</v>
      </c>
      <c r="AL69" s="285"/>
      <c r="AM69" s="285"/>
      <c r="AN69" s="285" t="s">
        <v>35</v>
      </c>
      <c r="AO69" s="314" t="s">
        <v>35</v>
      </c>
      <c r="AQ69" s="322"/>
      <c r="AR69" s="3"/>
      <c r="BB69" s="322"/>
      <c r="BC69" s="3"/>
      <c r="BM69" s="322"/>
      <c r="BN69" s="3"/>
    </row>
    <row r="70" spans="2:66" x14ac:dyDescent="0.35">
      <c r="B70" s="255">
        <v>11</v>
      </c>
      <c r="C70" s="256" t="str">
        <f t="shared" si="86"/>
        <v>Artillery support vehicles</v>
      </c>
      <c r="D70" s="99"/>
      <c r="E70" s="159"/>
      <c r="F70" s="159"/>
      <c r="G70" s="159"/>
      <c r="H70" s="159"/>
      <c r="I70" s="159"/>
      <c r="J70" s="159"/>
      <c r="K70" s="159" t="s">
        <v>34</v>
      </c>
      <c r="L70" s="312" t="s">
        <v>292</v>
      </c>
      <c r="M70" t="s">
        <v>34</v>
      </c>
      <c r="P70" s="313" t="s">
        <v>294</v>
      </c>
      <c r="Q70" s="282" t="s">
        <v>35</v>
      </c>
      <c r="R70" s="312" t="s">
        <v>292</v>
      </c>
      <c r="S70" t="s">
        <v>34</v>
      </c>
      <c r="V70" s="313" t="s">
        <v>294</v>
      </c>
      <c r="W70" s="282" t="s">
        <v>35</v>
      </c>
      <c r="X70" s="312" t="s">
        <v>292</v>
      </c>
      <c r="Y70" t="s">
        <v>34</v>
      </c>
      <c r="AB70" s="313" t="s">
        <v>294</v>
      </c>
      <c r="AC70" s="282" t="s">
        <v>35</v>
      </c>
      <c r="AD70" s="285" t="s">
        <v>35</v>
      </c>
      <c r="AE70" s="285" t="s">
        <v>35</v>
      </c>
      <c r="AF70" s="285"/>
      <c r="AG70" s="285"/>
      <c r="AH70" s="285" t="s">
        <v>35</v>
      </c>
      <c r="AI70" s="314" t="s">
        <v>35</v>
      </c>
      <c r="AJ70" s="285" t="s">
        <v>35</v>
      </c>
      <c r="AK70" s="285" t="s">
        <v>35</v>
      </c>
      <c r="AL70" s="285"/>
      <c r="AM70" s="285"/>
      <c r="AN70" s="285" t="s">
        <v>35</v>
      </c>
      <c r="AO70" s="314" t="s">
        <v>35</v>
      </c>
      <c r="AQ70" s="322"/>
      <c r="AR70" s="3"/>
      <c r="BB70" s="322"/>
      <c r="BC70" s="3"/>
      <c r="BM70" s="322"/>
      <c r="BN70" s="3"/>
    </row>
    <row r="71" spans="2:66" x14ac:dyDescent="0.35">
      <c r="B71" s="255">
        <v>12</v>
      </c>
      <c r="C71" s="256" t="str">
        <f t="shared" si="86"/>
        <v>Towed artillery</v>
      </c>
      <c r="D71" s="99"/>
      <c r="E71" s="159"/>
      <c r="F71" s="159"/>
      <c r="G71" s="159"/>
      <c r="H71" s="159"/>
      <c r="I71" s="159"/>
      <c r="J71" s="159"/>
      <c r="K71" s="159" t="s">
        <v>34</v>
      </c>
      <c r="L71" s="312" t="s">
        <v>292</v>
      </c>
      <c r="M71" t="s">
        <v>34</v>
      </c>
      <c r="P71" s="313" t="s">
        <v>294</v>
      </c>
      <c r="Q71" s="282" t="s">
        <v>35</v>
      </c>
      <c r="R71" s="312" t="s">
        <v>292</v>
      </c>
      <c r="S71" t="s">
        <v>34</v>
      </c>
      <c r="V71" s="313" t="s">
        <v>294</v>
      </c>
      <c r="W71" s="282" t="s">
        <v>35</v>
      </c>
      <c r="X71" s="312" t="s">
        <v>292</v>
      </c>
      <c r="Y71" t="s">
        <v>34</v>
      </c>
      <c r="AB71" s="313" t="s">
        <v>294</v>
      </c>
      <c r="AC71" s="282" t="s">
        <v>35</v>
      </c>
      <c r="AD71" s="285" t="s">
        <v>35</v>
      </c>
      <c r="AE71" s="285" t="s">
        <v>35</v>
      </c>
      <c r="AF71" s="285"/>
      <c r="AG71" s="285"/>
      <c r="AH71" s="285" t="s">
        <v>35</v>
      </c>
      <c r="AI71" s="314" t="s">
        <v>35</v>
      </c>
      <c r="AJ71" s="285" t="s">
        <v>35</v>
      </c>
      <c r="AK71" s="285" t="s">
        <v>35</v>
      </c>
      <c r="AL71" s="285"/>
      <c r="AM71" s="285"/>
      <c r="AN71" s="285" t="s">
        <v>35</v>
      </c>
      <c r="AO71" s="314" t="s">
        <v>35</v>
      </c>
      <c r="AQ71" s="322"/>
      <c r="AR71" s="3"/>
      <c r="BB71" s="322"/>
      <c r="BC71" s="3"/>
      <c r="BM71" s="322"/>
      <c r="BN71" s="3"/>
    </row>
    <row r="72" spans="2:66" x14ac:dyDescent="0.35">
      <c r="B72" s="255">
        <v>13</v>
      </c>
      <c r="C72" s="256" t="str">
        <f t="shared" si="86"/>
        <v>Self propelled artillery</v>
      </c>
      <c r="D72" s="99"/>
      <c r="E72" s="159"/>
      <c r="F72" s="159"/>
      <c r="G72" s="159"/>
      <c r="H72" s="159"/>
      <c r="I72" s="159"/>
      <c r="J72" s="159"/>
      <c r="K72" s="159" t="s">
        <v>34</v>
      </c>
      <c r="L72" s="312" t="s">
        <v>292</v>
      </c>
      <c r="M72" t="s">
        <v>34</v>
      </c>
      <c r="P72" s="313" t="s">
        <v>294</v>
      </c>
      <c r="Q72" s="282" t="s">
        <v>35</v>
      </c>
      <c r="R72" s="312" t="s">
        <v>292</v>
      </c>
      <c r="S72" t="s">
        <v>34</v>
      </c>
      <c r="V72" s="313" t="s">
        <v>294</v>
      </c>
      <c r="W72" s="282" t="s">
        <v>35</v>
      </c>
      <c r="X72" s="312" t="s">
        <v>292</v>
      </c>
      <c r="Y72" t="s">
        <v>34</v>
      </c>
      <c r="AB72" s="313" t="s">
        <v>294</v>
      </c>
      <c r="AC72" s="282" t="s">
        <v>35</v>
      </c>
      <c r="AD72" s="285" t="s">
        <v>35</v>
      </c>
      <c r="AE72" s="285" t="s">
        <v>35</v>
      </c>
      <c r="AF72" s="285"/>
      <c r="AG72" s="285"/>
      <c r="AH72" s="285" t="s">
        <v>35</v>
      </c>
      <c r="AI72" s="314" t="s">
        <v>35</v>
      </c>
      <c r="AJ72" s="285" t="s">
        <v>35</v>
      </c>
      <c r="AK72" s="285" t="s">
        <v>35</v>
      </c>
      <c r="AL72" s="285"/>
      <c r="AM72" s="285"/>
      <c r="AN72" s="285" t="s">
        <v>35</v>
      </c>
      <c r="AO72" s="314" t="s">
        <v>35</v>
      </c>
      <c r="AQ72" s="322"/>
      <c r="AR72" s="3"/>
      <c r="BB72" s="322"/>
      <c r="BC72" s="3"/>
      <c r="BM72" s="322"/>
      <c r="BN72" s="3"/>
    </row>
    <row r="73" spans="2:66" x14ac:dyDescent="0.35">
      <c r="B73" s="255">
        <v>14</v>
      </c>
      <c r="C73" s="256" t="str">
        <f t="shared" si="86"/>
        <v>Multiple rocket launchers</v>
      </c>
      <c r="D73" s="99"/>
      <c r="E73" s="159"/>
      <c r="F73" s="159"/>
      <c r="G73" s="159"/>
      <c r="H73" s="159"/>
      <c r="I73" s="159"/>
      <c r="J73" s="159"/>
      <c r="K73" s="159" t="s">
        <v>34</v>
      </c>
      <c r="L73" s="312" t="s">
        <v>292</v>
      </c>
      <c r="M73" t="s">
        <v>34</v>
      </c>
      <c r="P73" s="313" t="s">
        <v>294</v>
      </c>
      <c r="Q73" s="282" t="s">
        <v>35</v>
      </c>
      <c r="R73" s="312" t="s">
        <v>292</v>
      </c>
      <c r="S73" t="s">
        <v>34</v>
      </c>
      <c r="V73" s="313" t="s">
        <v>294</v>
      </c>
      <c r="W73" s="282" t="s">
        <v>35</v>
      </c>
      <c r="X73" s="312" t="s">
        <v>292</v>
      </c>
      <c r="Y73" t="s">
        <v>34</v>
      </c>
      <c r="AB73" s="313" t="s">
        <v>294</v>
      </c>
      <c r="AC73" s="282" t="s">
        <v>35</v>
      </c>
      <c r="AD73" s="285" t="s">
        <v>35</v>
      </c>
      <c r="AE73" s="285" t="s">
        <v>35</v>
      </c>
      <c r="AF73" s="285"/>
      <c r="AG73" s="285"/>
      <c r="AH73" s="285" t="s">
        <v>35</v>
      </c>
      <c r="AI73" s="314" t="s">
        <v>35</v>
      </c>
      <c r="AJ73" s="285" t="s">
        <v>35</v>
      </c>
      <c r="AK73" s="285" t="s">
        <v>35</v>
      </c>
      <c r="AL73" s="285"/>
      <c r="AM73" s="285"/>
      <c r="AN73" s="285" t="s">
        <v>35</v>
      </c>
      <c r="AO73" s="314" t="s">
        <v>35</v>
      </c>
      <c r="AQ73" s="322"/>
      <c r="AR73" s="3"/>
      <c r="BB73" s="322"/>
      <c r="BC73" s="3"/>
      <c r="BM73" s="322"/>
      <c r="BN73" s="3"/>
    </row>
    <row r="74" spans="2:66" x14ac:dyDescent="0.35">
      <c r="B74" s="255">
        <v>15</v>
      </c>
      <c r="C74" s="256" t="str">
        <f t="shared" si="86"/>
        <v>Total artillery (10 to 14)</v>
      </c>
      <c r="D74" s="312" t="s">
        <v>289</v>
      </c>
      <c r="E74" s="97" t="s">
        <v>290</v>
      </c>
      <c r="F74" s="340" t="s">
        <v>308</v>
      </c>
      <c r="G74" t="s">
        <v>35</v>
      </c>
      <c r="H74" t="s">
        <v>35</v>
      </c>
      <c r="I74" t="s">
        <v>35</v>
      </c>
      <c r="J74" t="s">
        <v>35</v>
      </c>
      <c r="K74" s="285" t="s">
        <v>34</v>
      </c>
      <c r="L74" s="316" t="s">
        <v>35</v>
      </c>
      <c r="M74" t="s">
        <v>293</v>
      </c>
      <c r="P74" s="317" t="s">
        <v>35</v>
      </c>
      <c r="Q74" s="282" t="s">
        <v>35</v>
      </c>
      <c r="R74" s="316" t="s">
        <v>35</v>
      </c>
      <c r="S74" t="s">
        <v>290</v>
      </c>
      <c r="V74" s="317" t="s">
        <v>35</v>
      </c>
      <c r="W74" s="282" t="s">
        <v>35</v>
      </c>
      <c r="X74" s="316" t="s">
        <v>35</v>
      </c>
      <c r="Y74" t="s">
        <v>369</v>
      </c>
      <c r="AB74" s="317" t="s">
        <v>35</v>
      </c>
      <c r="AC74" s="282" t="s">
        <v>35</v>
      </c>
      <c r="AD74" s="285" t="s">
        <v>35</v>
      </c>
      <c r="AE74" s="285" t="s">
        <v>35</v>
      </c>
      <c r="AF74" s="285"/>
      <c r="AG74" s="285"/>
      <c r="AH74" s="285" t="s">
        <v>35</v>
      </c>
      <c r="AI74" s="314" t="s">
        <v>35</v>
      </c>
      <c r="AJ74" s="285" t="s">
        <v>35</v>
      </c>
      <c r="AK74" s="285" t="s">
        <v>35</v>
      </c>
      <c r="AL74" s="285"/>
      <c r="AM74" s="285"/>
      <c r="AN74" s="285" t="s">
        <v>35</v>
      </c>
      <c r="AO74" s="314" t="s">
        <v>35</v>
      </c>
      <c r="AQ74" s="322"/>
      <c r="AR74" s="3"/>
      <c r="BB74" s="322"/>
      <c r="BC74" s="3"/>
      <c r="BM74" s="322"/>
      <c r="BN74" s="3"/>
    </row>
    <row r="75" spans="2:66" x14ac:dyDescent="0.35">
      <c r="B75" s="255">
        <v>16</v>
      </c>
      <c r="C75" s="256" t="str">
        <f t="shared" si="86"/>
        <v>Anti-aircraft guns</v>
      </c>
      <c r="D75" s="99"/>
      <c r="E75" s="159"/>
      <c r="F75" s="159"/>
      <c r="G75" s="159"/>
      <c r="H75" s="159"/>
      <c r="I75" s="159"/>
      <c r="J75" s="159"/>
      <c r="K75" s="159" t="s">
        <v>34</v>
      </c>
      <c r="L75" s="312" t="s">
        <v>292</v>
      </c>
      <c r="M75" t="s">
        <v>34</v>
      </c>
      <c r="P75" s="313" t="s">
        <v>294</v>
      </c>
      <c r="Q75" s="282" t="s">
        <v>35</v>
      </c>
      <c r="R75" s="312" t="s">
        <v>292</v>
      </c>
      <c r="S75" t="s">
        <v>34</v>
      </c>
      <c r="V75" s="313" t="s">
        <v>294</v>
      </c>
      <c r="W75" s="282" t="s">
        <v>35</v>
      </c>
      <c r="X75" s="312" t="s">
        <v>292</v>
      </c>
      <c r="Y75" t="s">
        <v>34</v>
      </c>
      <c r="AB75" s="313" t="s">
        <v>294</v>
      </c>
      <c r="AC75" s="282" t="s">
        <v>35</v>
      </c>
      <c r="AD75" s="285" t="s">
        <v>35</v>
      </c>
      <c r="AE75" s="285" t="s">
        <v>35</v>
      </c>
      <c r="AF75" s="285"/>
      <c r="AG75" s="285"/>
      <c r="AH75" s="285" t="s">
        <v>35</v>
      </c>
      <c r="AI75" s="314" t="s">
        <v>35</v>
      </c>
      <c r="AJ75" s="285" t="s">
        <v>35</v>
      </c>
      <c r="AK75" s="285" t="s">
        <v>35</v>
      </c>
      <c r="AL75" s="285"/>
      <c r="AM75" s="285"/>
      <c r="AN75" s="285" t="s">
        <v>35</v>
      </c>
      <c r="AO75" s="314" t="s">
        <v>35</v>
      </c>
      <c r="AQ75" s="322"/>
      <c r="AR75" s="3"/>
      <c r="BB75" s="322"/>
      <c r="BC75" s="3"/>
      <c r="BM75" s="322"/>
      <c r="BN75" s="3"/>
    </row>
    <row r="76" spans="2:66" x14ac:dyDescent="0.35">
      <c r="B76" s="255">
        <v>17</v>
      </c>
      <c r="C76" s="256" t="str">
        <f t="shared" si="86"/>
        <v>Self propelled anti-aircraft guns</v>
      </c>
      <c r="D76" s="99"/>
      <c r="E76" s="159"/>
      <c r="F76" s="159"/>
      <c r="G76" s="159"/>
      <c r="H76" s="159"/>
      <c r="I76" s="159"/>
      <c r="J76" s="159"/>
      <c r="K76" s="159" t="s">
        <v>34</v>
      </c>
      <c r="L76" s="312" t="s">
        <v>292</v>
      </c>
      <c r="M76" t="s">
        <v>34</v>
      </c>
      <c r="P76" s="313" t="s">
        <v>294</v>
      </c>
      <c r="Q76" s="282" t="s">
        <v>35</v>
      </c>
      <c r="R76" s="312" t="s">
        <v>292</v>
      </c>
      <c r="S76" t="s">
        <v>34</v>
      </c>
      <c r="V76" s="313" t="s">
        <v>294</v>
      </c>
      <c r="W76" s="282" t="s">
        <v>35</v>
      </c>
      <c r="X76" s="312" t="s">
        <v>292</v>
      </c>
      <c r="Y76" t="s">
        <v>34</v>
      </c>
      <c r="AB76" s="313" t="s">
        <v>294</v>
      </c>
      <c r="AC76" s="282" t="s">
        <v>35</v>
      </c>
      <c r="AD76" s="285" t="s">
        <v>35</v>
      </c>
      <c r="AE76" s="285" t="s">
        <v>35</v>
      </c>
      <c r="AF76" s="285"/>
      <c r="AG76" s="285"/>
      <c r="AH76" s="285" t="s">
        <v>35</v>
      </c>
      <c r="AI76" s="314" t="s">
        <v>35</v>
      </c>
      <c r="AJ76" s="285" t="s">
        <v>35</v>
      </c>
      <c r="AK76" s="285" t="s">
        <v>35</v>
      </c>
      <c r="AL76" s="285"/>
      <c r="AM76" s="285"/>
      <c r="AN76" s="285" t="s">
        <v>35</v>
      </c>
      <c r="AO76" s="314" t="s">
        <v>35</v>
      </c>
      <c r="AQ76" s="322"/>
      <c r="AR76" s="3"/>
      <c r="BB76" s="322"/>
      <c r="BC76" s="3"/>
      <c r="BM76" s="322"/>
      <c r="BN76" s="3"/>
    </row>
    <row r="77" spans="2:66" x14ac:dyDescent="0.35">
      <c r="B77" s="255">
        <v>18</v>
      </c>
      <c r="C77" s="256" t="str">
        <f t="shared" si="86"/>
        <v>Surface-To-Air Missile Systems</v>
      </c>
      <c r="D77" s="99"/>
      <c r="E77" s="159"/>
      <c r="F77" s="159"/>
      <c r="G77" s="159"/>
      <c r="H77" s="159"/>
      <c r="I77" s="159"/>
      <c r="J77" s="159"/>
      <c r="K77" s="159" t="s">
        <v>34</v>
      </c>
      <c r="L77" s="312" t="s">
        <v>292</v>
      </c>
      <c r="M77" t="s">
        <v>34</v>
      </c>
      <c r="P77" s="313" t="s">
        <v>294</v>
      </c>
      <c r="Q77" s="282" t="s">
        <v>35</v>
      </c>
      <c r="R77" s="312" t="s">
        <v>292</v>
      </c>
      <c r="S77" t="s">
        <v>34</v>
      </c>
      <c r="V77" s="313" t="s">
        <v>294</v>
      </c>
      <c r="W77" s="282" t="s">
        <v>35</v>
      </c>
      <c r="X77" s="312" t="s">
        <v>292</v>
      </c>
      <c r="Y77" t="s">
        <v>34</v>
      </c>
      <c r="AB77" s="313" t="s">
        <v>294</v>
      </c>
      <c r="AC77" s="282" t="s">
        <v>35</v>
      </c>
      <c r="AD77" s="285" t="s">
        <v>35</v>
      </c>
      <c r="AE77" s="285" t="s">
        <v>35</v>
      </c>
      <c r="AF77" s="285"/>
      <c r="AG77" s="285"/>
      <c r="AH77" s="285" t="s">
        <v>35</v>
      </c>
      <c r="AI77" s="314" t="s">
        <v>35</v>
      </c>
      <c r="AJ77" s="285" t="s">
        <v>35</v>
      </c>
      <c r="AK77" s="285" t="s">
        <v>35</v>
      </c>
      <c r="AL77" s="285"/>
      <c r="AM77" s="285"/>
      <c r="AN77" s="285" t="s">
        <v>35</v>
      </c>
      <c r="AO77" s="314" t="s">
        <v>35</v>
      </c>
      <c r="AQ77" s="322"/>
      <c r="AR77" s="3"/>
      <c r="BB77" s="322"/>
      <c r="BC77" s="3"/>
      <c r="BM77" s="322"/>
      <c r="BN77" s="3"/>
    </row>
    <row r="78" spans="2:66" x14ac:dyDescent="0.35">
      <c r="B78" s="255">
        <v>19</v>
      </c>
      <c r="C78" s="256" t="str">
        <f t="shared" si="86"/>
        <v>Radars</v>
      </c>
      <c r="D78" s="99"/>
      <c r="E78" s="159"/>
      <c r="F78" s="159"/>
      <c r="G78" s="159"/>
      <c r="H78" s="159"/>
      <c r="I78" s="159"/>
      <c r="J78" s="159"/>
      <c r="K78" s="159" t="s">
        <v>34</v>
      </c>
      <c r="L78" s="312" t="s">
        <v>292</v>
      </c>
      <c r="M78" t="s">
        <v>34</v>
      </c>
      <c r="P78" s="313" t="s">
        <v>294</v>
      </c>
      <c r="Q78" s="282" t="s">
        <v>35</v>
      </c>
      <c r="R78" s="312" t="s">
        <v>292</v>
      </c>
      <c r="S78" t="s">
        <v>34</v>
      </c>
      <c r="V78" s="313" t="s">
        <v>294</v>
      </c>
      <c r="W78" s="282" t="s">
        <v>35</v>
      </c>
      <c r="X78" s="312" t="s">
        <v>292</v>
      </c>
      <c r="Y78" t="s">
        <v>34</v>
      </c>
      <c r="AB78" s="313" t="s">
        <v>294</v>
      </c>
      <c r="AC78" s="282" t="s">
        <v>35</v>
      </c>
      <c r="AD78" s="285" t="s">
        <v>35</v>
      </c>
      <c r="AE78" s="285" t="s">
        <v>35</v>
      </c>
      <c r="AF78" s="285"/>
      <c r="AG78" s="285"/>
      <c r="AH78" s="285" t="s">
        <v>35</v>
      </c>
      <c r="AI78" s="314" t="s">
        <v>35</v>
      </c>
      <c r="AJ78" s="285" t="s">
        <v>35</v>
      </c>
      <c r="AK78" s="285" t="s">
        <v>35</v>
      </c>
      <c r="AL78" s="285"/>
      <c r="AM78" s="285"/>
      <c r="AN78" s="285" t="s">
        <v>35</v>
      </c>
      <c r="AO78" s="314" t="s">
        <v>35</v>
      </c>
      <c r="AQ78" s="322"/>
      <c r="AR78" s="3"/>
      <c r="BB78" s="322"/>
      <c r="BC78" s="3"/>
      <c r="BM78" s="322"/>
      <c r="BN78" s="3"/>
    </row>
    <row r="79" spans="2:66" x14ac:dyDescent="0.35">
      <c r="B79" s="255">
        <v>20</v>
      </c>
      <c r="C79" s="256" t="str">
        <f t="shared" si="86"/>
        <v>Jammers and deception systems</v>
      </c>
      <c r="D79" s="99"/>
      <c r="E79" s="159"/>
      <c r="F79" s="159"/>
      <c r="G79" s="159"/>
      <c r="H79" s="159"/>
      <c r="I79" s="159"/>
      <c r="J79" s="159"/>
      <c r="K79" s="159" t="s">
        <v>34</v>
      </c>
      <c r="L79" s="312" t="s">
        <v>292</v>
      </c>
      <c r="M79" t="s">
        <v>34</v>
      </c>
      <c r="P79" s="313" t="s">
        <v>294</v>
      </c>
      <c r="Q79" s="282" t="s">
        <v>35</v>
      </c>
      <c r="R79" s="312" t="s">
        <v>292</v>
      </c>
      <c r="S79" t="s">
        <v>34</v>
      </c>
      <c r="V79" s="313" t="s">
        <v>294</v>
      </c>
      <c r="W79" s="282" t="s">
        <v>35</v>
      </c>
      <c r="X79" s="312" t="s">
        <v>292</v>
      </c>
      <c r="Y79" t="s">
        <v>34</v>
      </c>
      <c r="AB79" s="313" t="s">
        <v>294</v>
      </c>
      <c r="AC79" s="282" t="s">
        <v>35</v>
      </c>
      <c r="AD79" s="285" t="s">
        <v>35</v>
      </c>
      <c r="AE79" s="285" t="s">
        <v>35</v>
      </c>
      <c r="AF79" s="285"/>
      <c r="AG79" s="285"/>
      <c r="AH79" s="285" t="s">
        <v>35</v>
      </c>
      <c r="AI79" s="314" t="s">
        <v>35</v>
      </c>
      <c r="AJ79" s="285" t="s">
        <v>35</v>
      </c>
      <c r="AK79" s="285" t="s">
        <v>35</v>
      </c>
      <c r="AL79" s="285"/>
      <c r="AM79" s="285"/>
      <c r="AN79" s="285" t="s">
        <v>35</v>
      </c>
      <c r="AO79" s="314" t="s">
        <v>35</v>
      </c>
      <c r="AQ79" s="322"/>
      <c r="AR79" s="3"/>
      <c r="BB79" s="322"/>
      <c r="BC79" s="3"/>
      <c r="BM79" s="322"/>
      <c r="BN79" s="3"/>
    </row>
    <row r="80" spans="2:66" x14ac:dyDescent="0.35">
      <c r="B80" s="255">
        <v>21</v>
      </c>
      <c r="C80" s="256" t="str">
        <f t="shared" si="86"/>
        <v>Total anti-aircraft (16 to 20)</v>
      </c>
      <c r="D80" s="280"/>
      <c r="E80" s="97" t="s">
        <v>290</v>
      </c>
      <c r="F80" s="340" t="s">
        <v>313</v>
      </c>
      <c r="G80" t="s">
        <v>35</v>
      </c>
      <c r="H80" t="s">
        <v>35</v>
      </c>
      <c r="I80" t="s">
        <v>35</v>
      </c>
      <c r="J80" t="s">
        <v>35</v>
      </c>
      <c r="K80" s="159" t="s">
        <v>34</v>
      </c>
      <c r="L80" s="316" t="s">
        <v>35</v>
      </c>
      <c r="M80" s="97" t="s">
        <v>293</v>
      </c>
      <c r="N80" s="97"/>
      <c r="O80" s="97"/>
      <c r="P80" s="317" t="s">
        <v>35</v>
      </c>
      <c r="Q80" s="282" t="s">
        <v>35</v>
      </c>
      <c r="R80" s="316" t="s">
        <v>35</v>
      </c>
      <c r="S80" t="s">
        <v>290</v>
      </c>
      <c r="V80" s="317" t="s">
        <v>35</v>
      </c>
      <c r="W80" s="282" t="s">
        <v>35</v>
      </c>
      <c r="X80" s="316" t="s">
        <v>35</v>
      </c>
      <c r="Y80" t="s">
        <v>369</v>
      </c>
      <c r="AB80" s="317" t="s">
        <v>35</v>
      </c>
      <c r="AC80" s="282" t="s">
        <v>35</v>
      </c>
      <c r="AD80" s="285" t="s">
        <v>35</v>
      </c>
      <c r="AE80" s="285" t="s">
        <v>35</v>
      </c>
      <c r="AF80" s="285"/>
      <c r="AG80" s="285"/>
      <c r="AH80" s="285" t="s">
        <v>35</v>
      </c>
      <c r="AI80" s="314" t="s">
        <v>35</v>
      </c>
      <c r="AJ80" s="285" t="s">
        <v>35</v>
      </c>
      <c r="AK80" s="285" t="s">
        <v>35</v>
      </c>
      <c r="AL80" s="285"/>
      <c r="AM80" s="285"/>
      <c r="AN80" s="285" t="s">
        <v>35</v>
      </c>
      <c r="AO80" s="314" t="s">
        <v>35</v>
      </c>
      <c r="AQ80" s="322"/>
      <c r="AR80" s="3"/>
      <c r="BB80" s="322"/>
      <c r="BC80" s="3"/>
      <c r="BM80" s="322"/>
      <c r="BN80" s="3"/>
    </row>
    <row r="81" spans="2:66" x14ac:dyDescent="0.35">
      <c r="B81" s="255">
        <v>22</v>
      </c>
      <c r="C81" s="256" t="str">
        <f t="shared" si="86"/>
        <v>Aircraft, fixed wing</v>
      </c>
      <c r="D81" s="312" t="s">
        <v>289</v>
      </c>
      <c r="E81" s="97" t="s">
        <v>290</v>
      </c>
      <c r="F81" s="340" t="s">
        <v>309</v>
      </c>
      <c r="G81" t="s">
        <v>35</v>
      </c>
      <c r="H81" t="s">
        <v>35</v>
      </c>
      <c r="I81" t="s">
        <v>35</v>
      </c>
      <c r="J81" t="s">
        <v>35</v>
      </c>
      <c r="K81" s="551" t="s">
        <v>311</v>
      </c>
      <c r="L81" s="312" t="s">
        <v>292</v>
      </c>
      <c r="M81" s="97" t="s">
        <v>293</v>
      </c>
      <c r="N81" s="97"/>
      <c r="O81" s="97"/>
      <c r="P81" s="313" t="s">
        <v>294</v>
      </c>
      <c r="Q81" s="282" t="s">
        <v>35</v>
      </c>
      <c r="R81" s="312" t="s">
        <v>292</v>
      </c>
      <c r="S81" t="s">
        <v>290</v>
      </c>
      <c r="V81" s="313" t="s">
        <v>294</v>
      </c>
      <c r="W81" s="282" t="s">
        <v>35</v>
      </c>
      <c r="X81" s="312" t="s">
        <v>292</v>
      </c>
      <c r="Y81" t="s">
        <v>369</v>
      </c>
      <c r="AB81" s="313" t="s">
        <v>294</v>
      </c>
      <c r="AC81" s="282" t="s">
        <v>35</v>
      </c>
      <c r="AD81" s="285" t="s">
        <v>35</v>
      </c>
      <c r="AE81" s="285" t="s">
        <v>35</v>
      </c>
      <c r="AF81" s="285"/>
      <c r="AG81" s="285"/>
      <c r="AH81" s="285" t="s">
        <v>35</v>
      </c>
      <c r="AI81" s="314" t="s">
        <v>35</v>
      </c>
      <c r="AJ81" s="285" t="s">
        <v>35</v>
      </c>
      <c r="AK81" s="285" t="s">
        <v>35</v>
      </c>
      <c r="AL81" s="285"/>
      <c r="AM81" s="285"/>
      <c r="AN81" s="285" t="s">
        <v>35</v>
      </c>
      <c r="AO81" s="314" t="s">
        <v>35</v>
      </c>
      <c r="AQ81" s="322"/>
      <c r="AR81" s="3"/>
      <c r="BB81" s="322"/>
      <c r="BC81" s="3"/>
      <c r="BM81" s="322"/>
      <c r="BN81" s="3"/>
    </row>
    <row r="82" spans="2:66" x14ac:dyDescent="0.35">
      <c r="B82" s="255">
        <v>23</v>
      </c>
      <c r="C82" s="256" t="str">
        <f t="shared" si="86"/>
        <v>Helicopters</v>
      </c>
      <c r="D82" s="312" t="s">
        <v>289</v>
      </c>
      <c r="E82" s="97" t="s">
        <v>290</v>
      </c>
      <c r="F82" s="340" t="s">
        <v>312</v>
      </c>
      <c r="G82" t="s">
        <v>35</v>
      </c>
      <c r="H82" t="s">
        <v>35</v>
      </c>
      <c r="I82" t="s">
        <v>35</v>
      </c>
      <c r="J82" t="s">
        <v>35</v>
      </c>
      <c r="K82" s="159" t="s">
        <v>34</v>
      </c>
      <c r="L82" s="312" t="s">
        <v>292</v>
      </c>
      <c r="M82" s="97" t="s">
        <v>293</v>
      </c>
      <c r="N82" s="97"/>
      <c r="O82" s="97"/>
      <c r="P82" s="313" t="s">
        <v>294</v>
      </c>
      <c r="Q82" s="282" t="s">
        <v>35</v>
      </c>
      <c r="R82" s="312" t="s">
        <v>292</v>
      </c>
      <c r="S82" t="s">
        <v>290</v>
      </c>
      <c r="V82" s="313" t="s">
        <v>294</v>
      </c>
      <c r="W82" s="282" t="s">
        <v>35</v>
      </c>
      <c r="X82" s="312" t="s">
        <v>292</v>
      </c>
      <c r="Y82" t="s">
        <v>369</v>
      </c>
      <c r="AB82" s="313" t="s">
        <v>294</v>
      </c>
      <c r="AC82" s="282" t="s">
        <v>35</v>
      </c>
      <c r="AD82" s="285" t="s">
        <v>35</v>
      </c>
      <c r="AE82" s="285" t="s">
        <v>35</v>
      </c>
      <c r="AF82" s="285"/>
      <c r="AG82" s="285"/>
      <c r="AH82" s="285" t="s">
        <v>35</v>
      </c>
      <c r="AI82" s="314" t="s">
        <v>35</v>
      </c>
      <c r="AJ82" s="285" t="s">
        <v>35</v>
      </c>
      <c r="AK82" s="285" t="s">
        <v>35</v>
      </c>
      <c r="AL82" s="285"/>
      <c r="AM82" s="285"/>
      <c r="AN82" s="285" t="s">
        <v>35</v>
      </c>
      <c r="AO82" s="314" t="s">
        <v>35</v>
      </c>
      <c r="AQ82" s="322"/>
      <c r="AR82" s="3"/>
      <c r="BB82" s="322"/>
      <c r="BC82" s="3"/>
      <c r="BM82" s="322"/>
      <c r="BN82" s="3"/>
    </row>
    <row r="83" spans="2:66" x14ac:dyDescent="0.35">
      <c r="B83" s="255">
        <v>24</v>
      </c>
      <c r="C83" s="256" t="str">
        <f t="shared" si="86"/>
        <v>Combat Unmanned Aerial Vehicles</v>
      </c>
      <c r="D83" s="99"/>
      <c r="E83" s="159"/>
      <c r="F83" s="159"/>
      <c r="G83" s="159"/>
      <c r="H83" s="159"/>
      <c r="I83" s="159"/>
      <c r="J83" s="159"/>
      <c r="K83" s="159" t="s">
        <v>34</v>
      </c>
      <c r="L83" s="312" t="s">
        <v>292</v>
      </c>
      <c r="M83" t="s">
        <v>34</v>
      </c>
      <c r="P83" s="313" t="s">
        <v>294</v>
      </c>
      <c r="Q83" s="282" t="s">
        <v>35</v>
      </c>
      <c r="R83" s="312" t="s">
        <v>292</v>
      </c>
      <c r="S83" t="s">
        <v>34</v>
      </c>
      <c r="V83" s="313" t="s">
        <v>294</v>
      </c>
      <c r="W83" s="282" t="s">
        <v>35</v>
      </c>
      <c r="X83" s="312" t="s">
        <v>292</v>
      </c>
      <c r="Y83" t="s">
        <v>34</v>
      </c>
      <c r="AB83" s="313" t="s">
        <v>294</v>
      </c>
      <c r="AC83" s="282" t="s">
        <v>35</v>
      </c>
      <c r="AD83" s="285" t="s">
        <v>35</v>
      </c>
      <c r="AE83" s="285" t="s">
        <v>35</v>
      </c>
      <c r="AF83" s="285"/>
      <c r="AG83" s="285"/>
      <c r="AH83" s="285" t="s">
        <v>35</v>
      </c>
      <c r="AI83" s="314" t="s">
        <v>35</v>
      </c>
      <c r="AJ83" s="285" t="s">
        <v>35</v>
      </c>
      <c r="AK83" s="285" t="s">
        <v>35</v>
      </c>
      <c r="AL83" s="285"/>
      <c r="AM83" s="285"/>
      <c r="AN83" s="285" t="s">
        <v>35</v>
      </c>
      <c r="AO83" s="314" t="s">
        <v>35</v>
      </c>
      <c r="AQ83" s="322"/>
      <c r="AR83" s="3"/>
      <c r="BB83" s="322"/>
      <c r="BC83" s="3"/>
      <c r="BM83" s="322"/>
      <c r="BN83" s="3"/>
    </row>
    <row r="84" spans="2:66" x14ac:dyDescent="0.35">
      <c r="B84" s="255">
        <v>25</v>
      </c>
      <c r="C84" s="256" t="str">
        <f t="shared" si="86"/>
        <v>Reconnaissance UAVs</v>
      </c>
      <c r="D84" s="99"/>
      <c r="E84" s="159"/>
      <c r="F84" s="159"/>
      <c r="G84" s="159"/>
      <c r="H84" s="159"/>
      <c r="I84" s="159"/>
      <c r="J84" s="159"/>
      <c r="K84" s="159" t="s">
        <v>34</v>
      </c>
      <c r="L84" s="312" t="s">
        <v>292</v>
      </c>
      <c r="M84" t="s">
        <v>34</v>
      </c>
      <c r="P84" s="313" t="s">
        <v>294</v>
      </c>
      <c r="Q84" s="282" t="s">
        <v>35</v>
      </c>
      <c r="R84" s="312" t="s">
        <v>292</v>
      </c>
      <c r="S84" t="s">
        <v>34</v>
      </c>
      <c r="V84" s="313" t="s">
        <v>294</v>
      </c>
      <c r="W84" s="282" t="s">
        <v>35</v>
      </c>
      <c r="X84" s="312" t="s">
        <v>292</v>
      </c>
      <c r="Y84" t="s">
        <v>34</v>
      </c>
      <c r="AB84" s="313" t="s">
        <v>294</v>
      </c>
      <c r="AC84" s="282" t="s">
        <v>35</v>
      </c>
      <c r="AD84" s="285" t="s">
        <v>35</v>
      </c>
      <c r="AE84" s="285" t="s">
        <v>35</v>
      </c>
      <c r="AF84" s="285"/>
      <c r="AG84" s="285"/>
      <c r="AH84" s="285" t="s">
        <v>35</v>
      </c>
      <c r="AI84" s="314" t="s">
        <v>35</v>
      </c>
      <c r="AJ84" s="285" t="s">
        <v>35</v>
      </c>
      <c r="AK84" s="285" t="s">
        <v>35</v>
      </c>
      <c r="AL84" s="285"/>
      <c r="AM84" s="285"/>
      <c r="AN84" s="285" t="s">
        <v>35</v>
      </c>
      <c r="AO84" s="314" t="s">
        <v>35</v>
      </c>
      <c r="AQ84" s="322"/>
      <c r="AR84" s="3"/>
      <c r="BB84" s="322"/>
      <c r="BC84" s="3"/>
      <c r="BM84" s="322"/>
      <c r="BN84" s="3"/>
    </row>
    <row r="85" spans="2:66" x14ac:dyDescent="0.35">
      <c r="B85" s="255">
        <v>26</v>
      </c>
      <c r="C85" s="256" t="str">
        <f t="shared" si="86"/>
        <v>Total UAVs (24 to 25)</v>
      </c>
      <c r="D85" s="280"/>
      <c r="E85" s="281"/>
      <c r="F85" s="281"/>
      <c r="G85" s="281"/>
      <c r="H85" s="281"/>
      <c r="I85" s="281"/>
      <c r="J85" s="281"/>
      <c r="K85" s="159" t="s">
        <v>34</v>
      </c>
      <c r="L85" s="316" t="s">
        <v>35</v>
      </c>
      <c r="M85" s="97" t="s">
        <v>293</v>
      </c>
      <c r="N85" s="97"/>
      <c r="O85" s="97"/>
      <c r="P85" s="317" t="s">
        <v>35</v>
      </c>
      <c r="Q85" s="282" t="s">
        <v>35</v>
      </c>
      <c r="R85" s="316" t="s">
        <v>35</v>
      </c>
      <c r="S85" t="s">
        <v>290</v>
      </c>
      <c r="V85" s="317" t="s">
        <v>35</v>
      </c>
      <c r="W85" s="282" t="s">
        <v>35</v>
      </c>
      <c r="X85" s="316" t="s">
        <v>35</v>
      </c>
      <c r="Y85" t="s">
        <v>369</v>
      </c>
      <c r="AB85" s="317" t="s">
        <v>35</v>
      </c>
      <c r="AC85" s="282" t="s">
        <v>35</v>
      </c>
      <c r="AD85" s="285" t="s">
        <v>35</v>
      </c>
      <c r="AE85" s="285" t="s">
        <v>35</v>
      </c>
      <c r="AF85" s="285"/>
      <c r="AG85" s="285"/>
      <c r="AH85" s="285" t="s">
        <v>35</v>
      </c>
      <c r="AI85" s="314" t="s">
        <v>35</v>
      </c>
      <c r="AJ85" s="285" t="s">
        <v>35</v>
      </c>
      <c r="AK85" s="285" t="s">
        <v>35</v>
      </c>
      <c r="AL85" s="285"/>
      <c r="AM85" s="285"/>
      <c r="AN85" s="285" t="s">
        <v>35</v>
      </c>
      <c r="AO85" s="314" t="s">
        <v>35</v>
      </c>
      <c r="AQ85" s="322"/>
      <c r="AR85" s="3"/>
      <c r="BB85" s="322"/>
      <c r="BC85" s="3"/>
      <c r="BM85" s="322"/>
      <c r="BN85" s="3"/>
    </row>
    <row r="86" spans="2:66" x14ac:dyDescent="0.35">
      <c r="B86" s="255">
        <v>27</v>
      </c>
      <c r="C86" s="256" t="str">
        <f t="shared" si="86"/>
        <v>Naval ships, Black Sea only</v>
      </c>
      <c r="D86" s="312" t="s">
        <v>289</v>
      </c>
      <c r="E86" s="97" t="s">
        <v>290</v>
      </c>
      <c r="F86" s="97"/>
      <c r="G86" t="s">
        <v>35</v>
      </c>
      <c r="H86" t="s">
        <v>35</v>
      </c>
      <c r="I86" t="s">
        <v>35</v>
      </c>
      <c r="J86" t="s">
        <v>35</v>
      </c>
      <c r="K86" s="159" t="s">
        <v>34</v>
      </c>
      <c r="L86" s="312" t="s">
        <v>292</v>
      </c>
      <c r="M86" s="97" t="s">
        <v>293</v>
      </c>
      <c r="N86" s="97"/>
      <c r="O86" s="97"/>
      <c r="P86" s="313" t="s">
        <v>294</v>
      </c>
      <c r="Q86" s="282" t="s">
        <v>35</v>
      </c>
      <c r="R86" s="312" t="s">
        <v>292</v>
      </c>
      <c r="S86" t="s">
        <v>290</v>
      </c>
      <c r="V86" s="313" t="s">
        <v>294</v>
      </c>
      <c r="W86" s="282" t="s">
        <v>35</v>
      </c>
      <c r="X86" s="312" t="s">
        <v>292</v>
      </c>
      <c r="Y86" t="s">
        <v>369</v>
      </c>
      <c r="AB86" s="313" t="s">
        <v>294</v>
      </c>
      <c r="AC86" s="282" t="s">
        <v>35</v>
      </c>
      <c r="AD86" s="285" t="s">
        <v>35</v>
      </c>
      <c r="AE86" s="285" t="s">
        <v>35</v>
      </c>
      <c r="AF86" s="285"/>
      <c r="AG86" s="285"/>
      <c r="AH86" s="285" t="s">
        <v>35</v>
      </c>
      <c r="AI86" s="314" t="s">
        <v>35</v>
      </c>
      <c r="AJ86" s="285" t="s">
        <v>35</v>
      </c>
      <c r="AK86" s="285" t="s">
        <v>35</v>
      </c>
      <c r="AL86" s="285"/>
      <c r="AM86" s="285"/>
      <c r="AN86" s="285" t="s">
        <v>35</v>
      </c>
      <c r="AO86" s="314" t="s">
        <v>35</v>
      </c>
      <c r="AQ86" s="322"/>
      <c r="AR86" s="3"/>
      <c r="BB86" s="322"/>
      <c r="BC86" s="3"/>
      <c r="BM86" s="322"/>
      <c r="BN86" s="3"/>
    </row>
    <row r="87" spans="2:66" x14ac:dyDescent="0.35">
      <c r="B87" s="255">
        <v>28</v>
      </c>
      <c r="C87" s="256" t="str">
        <f t="shared" si="86"/>
        <v>Submarines, Black Sea only</v>
      </c>
      <c r="D87" s="312" t="s">
        <v>1361</v>
      </c>
      <c r="E87" s="97" t="s">
        <v>290</v>
      </c>
      <c r="F87" s="97"/>
      <c r="G87" t="s">
        <v>35</v>
      </c>
      <c r="H87" t="s">
        <v>35</v>
      </c>
      <c r="I87" t="s">
        <v>35</v>
      </c>
      <c r="J87" t="s">
        <v>35</v>
      </c>
      <c r="K87" s="159" t="s">
        <v>34</v>
      </c>
      <c r="L87" s="312"/>
      <c r="M87" s="97" t="s">
        <v>293</v>
      </c>
      <c r="N87" s="97"/>
      <c r="O87" s="97"/>
      <c r="P87" s="313"/>
      <c r="Q87" s="282" t="s">
        <v>34</v>
      </c>
      <c r="R87" s="312"/>
      <c r="S87" t="s">
        <v>290</v>
      </c>
      <c r="V87" s="313"/>
      <c r="W87" s="282" t="s">
        <v>34</v>
      </c>
      <c r="X87" s="312"/>
      <c r="Y87" t="s">
        <v>369</v>
      </c>
      <c r="AB87" s="313"/>
      <c r="AC87" s="282" t="s">
        <v>34</v>
      </c>
      <c r="AD87" s="285" t="s">
        <v>35</v>
      </c>
      <c r="AE87" s="285" t="s">
        <v>35</v>
      </c>
      <c r="AF87" s="285"/>
      <c r="AG87" s="285"/>
      <c r="AH87" s="285" t="s">
        <v>35</v>
      </c>
      <c r="AI87" s="314" t="s">
        <v>35</v>
      </c>
      <c r="AJ87" s="285" t="s">
        <v>35</v>
      </c>
      <c r="AK87" s="285" t="s">
        <v>35</v>
      </c>
      <c r="AL87" s="285"/>
      <c r="AM87" s="285"/>
      <c r="AN87" s="285" t="s">
        <v>35</v>
      </c>
      <c r="AO87" s="314" t="s">
        <v>35</v>
      </c>
      <c r="AQ87" s="322"/>
      <c r="AR87" s="3"/>
      <c r="BB87" s="322"/>
      <c r="BC87" s="3"/>
      <c r="BM87" s="322"/>
      <c r="BN87" s="3"/>
    </row>
    <row r="88" spans="2:66" x14ac:dyDescent="0.35">
      <c r="B88" s="255">
        <v>29</v>
      </c>
      <c r="C88" s="256" t="str">
        <f t="shared" si="86"/>
        <v>Trucks, Vehicles and Jeeps</v>
      </c>
      <c r="D88" s="280"/>
      <c r="E88" s="281"/>
      <c r="F88" s="281"/>
      <c r="H88" s="281"/>
      <c r="I88" s="281"/>
      <c r="J88" s="281"/>
      <c r="K88" s="159" t="s">
        <v>34</v>
      </c>
      <c r="L88" s="312" t="s">
        <v>292</v>
      </c>
      <c r="M88" s="97" t="s">
        <v>293</v>
      </c>
      <c r="N88" s="97"/>
      <c r="O88" s="97"/>
      <c r="P88" s="313" t="s">
        <v>294</v>
      </c>
      <c r="Q88" s="282" t="s">
        <v>35</v>
      </c>
      <c r="R88" s="312" t="s">
        <v>292</v>
      </c>
      <c r="S88" s="97" t="s">
        <v>290</v>
      </c>
      <c r="T88" s="97"/>
      <c r="U88" s="97"/>
      <c r="V88" s="313" t="s">
        <v>294</v>
      </c>
      <c r="W88" s="282" t="s">
        <v>35</v>
      </c>
      <c r="X88" s="312" t="s">
        <v>292</v>
      </c>
      <c r="Y88" s="395" t="s">
        <v>369</v>
      </c>
      <c r="Z88" s="97"/>
      <c r="AA88" s="97"/>
      <c r="AB88" s="313" t="s">
        <v>294</v>
      </c>
      <c r="AC88" s="282" t="s">
        <v>35</v>
      </c>
      <c r="AD88" s="285" t="s">
        <v>35</v>
      </c>
      <c r="AE88" s="285" t="s">
        <v>35</v>
      </c>
      <c r="AF88" s="285"/>
      <c r="AG88" s="285"/>
      <c r="AH88" s="285" t="s">
        <v>35</v>
      </c>
      <c r="AI88" s="314" t="s">
        <v>35</v>
      </c>
      <c r="AJ88" s="285" t="s">
        <v>35</v>
      </c>
      <c r="AK88" s="285" t="s">
        <v>35</v>
      </c>
      <c r="AL88" s="285"/>
      <c r="AM88" s="285"/>
      <c r="AN88" s="285" t="s">
        <v>35</v>
      </c>
      <c r="AO88" s="314" t="s">
        <v>35</v>
      </c>
      <c r="AQ88" s="322"/>
      <c r="AR88" s="3"/>
      <c r="BB88" s="322"/>
      <c r="BC88" s="3"/>
      <c r="BM88" s="322"/>
      <c r="BN88" s="3"/>
    </row>
    <row r="89" spans="2:66" x14ac:dyDescent="0.35">
      <c r="B89" s="255">
        <v>30</v>
      </c>
      <c r="C89" s="256" t="str">
        <f t="shared" si="86"/>
        <v>Total equipment losses (not 26, 29)</v>
      </c>
      <c r="D89" s="292"/>
      <c r="E89" s="293"/>
      <c r="F89" s="293"/>
      <c r="G89" s="293" t="s">
        <v>35</v>
      </c>
      <c r="H89" s="293" t="s">
        <v>35</v>
      </c>
      <c r="I89" s="293" t="s">
        <v>35</v>
      </c>
      <c r="J89" s="293" t="s">
        <v>35</v>
      </c>
      <c r="K89" s="159" t="s">
        <v>34</v>
      </c>
      <c r="L89" s="280" t="s">
        <v>35</v>
      </c>
      <c r="M89" s="281" t="s">
        <v>35</v>
      </c>
      <c r="N89" s="281"/>
      <c r="O89" s="281"/>
      <c r="P89" s="281" t="s">
        <v>35</v>
      </c>
      <c r="Q89" s="282" t="s">
        <v>35</v>
      </c>
      <c r="R89" s="280" t="s">
        <v>35</v>
      </c>
      <c r="S89" s="281" t="s">
        <v>35</v>
      </c>
      <c r="T89" s="281"/>
      <c r="U89" s="281"/>
      <c r="V89" s="281" t="s">
        <v>35</v>
      </c>
      <c r="W89" s="282" t="s">
        <v>35</v>
      </c>
      <c r="X89" s="280" t="s">
        <v>35</v>
      </c>
      <c r="Y89" s="281" t="s">
        <v>35</v>
      </c>
      <c r="Z89" s="281"/>
      <c r="AA89" s="281"/>
      <c r="AB89" s="281" t="s">
        <v>35</v>
      </c>
      <c r="AC89" s="282" t="s">
        <v>35</v>
      </c>
      <c r="AD89" s="285" t="s">
        <v>35</v>
      </c>
      <c r="AE89" s="285" t="s">
        <v>35</v>
      </c>
      <c r="AF89" s="285"/>
      <c r="AG89" s="285"/>
      <c r="AH89" s="285" t="s">
        <v>35</v>
      </c>
      <c r="AI89" s="314" t="s">
        <v>35</v>
      </c>
      <c r="AJ89" s="285" t="s">
        <v>35</v>
      </c>
      <c r="AK89" s="285" t="s">
        <v>35</v>
      </c>
      <c r="AL89" s="285"/>
      <c r="AM89" s="285"/>
      <c r="AN89" s="285" t="s">
        <v>35</v>
      </c>
      <c r="AO89" s="314" t="s">
        <v>35</v>
      </c>
      <c r="AQ89" s="322"/>
      <c r="AR89" s="3"/>
      <c r="BB89" s="322"/>
      <c r="BC89" s="3"/>
      <c r="BM89" s="322"/>
      <c r="BN89" s="3"/>
    </row>
    <row r="90" spans="2:66" x14ac:dyDescent="0.35">
      <c r="B90" s="255">
        <v>31</v>
      </c>
      <c r="C90" s="256" t="str">
        <f t="shared" si="86"/>
        <v>of which destroyed</v>
      </c>
      <c r="D90" s="51"/>
      <c r="K90" s="159" t="s">
        <v>34</v>
      </c>
      <c r="L90" s="312" t="s">
        <v>292</v>
      </c>
      <c r="M90" t="s">
        <v>34</v>
      </c>
      <c r="P90" s="313" t="s">
        <v>294</v>
      </c>
      <c r="Q90" s="282" t="s">
        <v>35</v>
      </c>
      <c r="R90" s="312" t="s">
        <v>292</v>
      </c>
      <c r="S90" t="s">
        <v>34</v>
      </c>
      <c r="V90" s="313" t="s">
        <v>294</v>
      </c>
      <c r="W90" s="282" t="s">
        <v>35</v>
      </c>
      <c r="X90" s="312" t="s">
        <v>292</v>
      </c>
      <c r="Y90" t="s">
        <v>34</v>
      </c>
      <c r="AB90" s="313" t="s">
        <v>294</v>
      </c>
      <c r="AC90" s="282" t="s">
        <v>35</v>
      </c>
      <c r="AD90" s="285" t="s">
        <v>35</v>
      </c>
      <c r="AE90" s="285" t="s">
        <v>35</v>
      </c>
      <c r="AF90" s="285"/>
      <c r="AG90" s="285"/>
      <c r="AH90" s="285" t="s">
        <v>35</v>
      </c>
      <c r="AI90" s="314" t="s">
        <v>35</v>
      </c>
      <c r="AJ90" s="285" t="s">
        <v>35</v>
      </c>
      <c r="AK90" s="285" t="s">
        <v>35</v>
      </c>
      <c r="AL90" s="285"/>
      <c r="AM90" s="285"/>
      <c r="AN90" s="285" t="s">
        <v>35</v>
      </c>
      <c r="AO90" s="314" t="s">
        <v>35</v>
      </c>
      <c r="AQ90" s="322"/>
      <c r="AR90" s="3"/>
      <c r="BB90" s="322"/>
      <c r="BC90" s="3"/>
      <c r="BM90" s="322"/>
      <c r="BN90" s="3"/>
    </row>
    <row r="91" spans="2:66" x14ac:dyDescent="0.35">
      <c r="B91" s="255">
        <v>32</v>
      </c>
      <c r="C91" s="256" t="str">
        <f t="shared" si="86"/>
        <v>of which damaged</v>
      </c>
      <c r="D91" s="51"/>
      <c r="K91" s="159" t="s">
        <v>34</v>
      </c>
      <c r="L91" s="312" t="s">
        <v>292</v>
      </c>
      <c r="M91" t="s">
        <v>34</v>
      </c>
      <c r="P91" s="313" t="s">
        <v>294</v>
      </c>
      <c r="Q91" s="282" t="s">
        <v>35</v>
      </c>
      <c r="R91" s="312" t="s">
        <v>292</v>
      </c>
      <c r="S91" t="s">
        <v>34</v>
      </c>
      <c r="V91" s="313" t="s">
        <v>294</v>
      </c>
      <c r="W91" s="282" t="s">
        <v>35</v>
      </c>
      <c r="X91" s="312" t="s">
        <v>292</v>
      </c>
      <c r="Y91" t="s">
        <v>34</v>
      </c>
      <c r="AB91" s="313" t="s">
        <v>294</v>
      </c>
      <c r="AC91" s="282" t="s">
        <v>35</v>
      </c>
      <c r="AD91" s="285" t="s">
        <v>35</v>
      </c>
      <c r="AE91" s="285" t="s">
        <v>35</v>
      </c>
      <c r="AF91" s="285"/>
      <c r="AG91" s="285"/>
      <c r="AH91" s="285" t="s">
        <v>35</v>
      </c>
      <c r="AI91" s="314" t="s">
        <v>35</v>
      </c>
      <c r="AJ91" s="285" t="s">
        <v>35</v>
      </c>
      <c r="AK91" s="285" t="s">
        <v>35</v>
      </c>
      <c r="AL91" s="285"/>
      <c r="AM91" s="285"/>
      <c r="AN91" s="285" t="s">
        <v>35</v>
      </c>
      <c r="AO91" s="314" t="s">
        <v>35</v>
      </c>
      <c r="AQ91" s="322"/>
      <c r="AR91" s="3"/>
      <c r="BB91" s="322"/>
      <c r="BC91" s="3"/>
      <c r="BM91" s="322"/>
      <c r="BN91" s="3"/>
    </row>
    <row r="92" spans="2:66" x14ac:dyDescent="0.35">
      <c r="B92" s="255">
        <v>33</v>
      </c>
      <c r="C92" s="256" t="str">
        <f t="shared" si="86"/>
        <v xml:space="preserve">of which abandoned </v>
      </c>
      <c r="D92" s="51"/>
      <c r="K92" s="159" t="s">
        <v>34</v>
      </c>
      <c r="L92" s="312" t="s">
        <v>292</v>
      </c>
      <c r="M92" t="s">
        <v>34</v>
      </c>
      <c r="P92" s="313" t="s">
        <v>294</v>
      </c>
      <c r="Q92" s="282" t="s">
        <v>35</v>
      </c>
      <c r="R92" s="312" t="s">
        <v>292</v>
      </c>
      <c r="S92" t="s">
        <v>34</v>
      </c>
      <c r="V92" s="313" t="s">
        <v>294</v>
      </c>
      <c r="W92" s="282" t="s">
        <v>35</v>
      </c>
      <c r="X92" s="312" t="s">
        <v>292</v>
      </c>
      <c r="Y92" t="s">
        <v>34</v>
      </c>
      <c r="AB92" s="313" t="s">
        <v>294</v>
      </c>
      <c r="AC92" s="282" t="s">
        <v>35</v>
      </c>
      <c r="AD92" s="285" t="s">
        <v>35</v>
      </c>
      <c r="AE92" s="285" t="s">
        <v>35</v>
      </c>
      <c r="AF92" s="285"/>
      <c r="AG92" s="285"/>
      <c r="AH92" s="285" t="s">
        <v>35</v>
      </c>
      <c r="AI92" s="314" t="s">
        <v>35</v>
      </c>
      <c r="AJ92" s="285" t="s">
        <v>35</v>
      </c>
      <c r="AK92" s="285" t="s">
        <v>35</v>
      </c>
      <c r="AL92" s="285"/>
      <c r="AM92" s="285"/>
      <c r="AN92" s="285" t="s">
        <v>35</v>
      </c>
      <c r="AO92" s="314" t="s">
        <v>35</v>
      </c>
      <c r="AQ92" s="322"/>
      <c r="AR92" s="3"/>
      <c r="BB92" s="322"/>
      <c r="BC92" s="3"/>
      <c r="BM92" s="322"/>
      <c r="BN92" s="3"/>
    </row>
    <row r="93" spans="2:66" x14ac:dyDescent="0.35">
      <c r="B93" s="255">
        <v>34</v>
      </c>
      <c r="C93" s="256" t="str">
        <f t="shared" si="86"/>
        <v>of which captured</v>
      </c>
      <c r="D93" s="51"/>
      <c r="K93" s="159" t="s">
        <v>34</v>
      </c>
      <c r="L93" s="312" t="s">
        <v>292</v>
      </c>
      <c r="M93" t="s">
        <v>34</v>
      </c>
      <c r="P93" s="313" t="s">
        <v>294</v>
      </c>
      <c r="Q93" s="282" t="s">
        <v>35</v>
      </c>
      <c r="R93" s="312" t="s">
        <v>292</v>
      </c>
      <c r="S93" t="s">
        <v>34</v>
      </c>
      <c r="V93" s="313" t="s">
        <v>294</v>
      </c>
      <c r="W93" s="282" t="s">
        <v>35</v>
      </c>
      <c r="X93" s="312" t="s">
        <v>292</v>
      </c>
      <c r="Y93" t="s">
        <v>34</v>
      </c>
      <c r="AB93" s="313" t="s">
        <v>294</v>
      </c>
      <c r="AC93" s="282" t="s">
        <v>35</v>
      </c>
      <c r="AD93" s="285" t="s">
        <v>35</v>
      </c>
      <c r="AE93" s="285" t="s">
        <v>35</v>
      </c>
      <c r="AF93" s="285"/>
      <c r="AG93" s="285"/>
      <c r="AH93" s="285" t="s">
        <v>35</v>
      </c>
      <c r="AI93" s="314" t="s">
        <v>35</v>
      </c>
      <c r="AJ93" s="285" t="s">
        <v>35</v>
      </c>
      <c r="AK93" s="285" t="s">
        <v>35</v>
      </c>
      <c r="AL93" s="285"/>
      <c r="AM93" s="285"/>
      <c r="AN93" s="285" t="s">
        <v>35</v>
      </c>
      <c r="AO93" s="314" t="s">
        <v>35</v>
      </c>
      <c r="AQ93" s="322"/>
      <c r="AR93" s="3"/>
      <c r="BB93" s="322"/>
      <c r="BC93" s="3"/>
      <c r="BM93" s="322"/>
      <c r="BN93" s="3"/>
    </row>
    <row r="94" spans="2:66" x14ac:dyDescent="0.35">
      <c r="B94" s="255">
        <v>35</v>
      </c>
      <c r="C94" s="256" t="str">
        <f t="shared" si="86"/>
        <v>Killed personnel unconfirmed</v>
      </c>
      <c r="D94" s="295"/>
      <c r="E94" s="296"/>
      <c r="F94" s="296"/>
      <c r="G94" s="403" t="s">
        <v>374</v>
      </c>
      <c r="H94" s="296" t="s">
        <v>34</v>
      </c>
      <c r="I94" s="296"/>
      <c r="J94" s="296" t="s">
        <v>378</v>
      </c>
      <c r="K94" s="159" t="s">
        <v>34</v>
      </c>
      <c r="L94" s="51"/>
      <c r="M94" t="s">
        <v>293</v>
      </c>
      <c r="P94" s="297" t="s">
        <v>35</v>
      </c>
      <c r="Q94" s="294" t="s">
        <v>35</v>
      </c>
      <c r="R94" s="51"/>
      <c r="S94" s="97" t="s">
        <v>290</v>
      </c>
      <c r="T94" s="97"/>
      <c r="U94" s="97"/>
      <c r="V94" s="297" t="s">
        <v>35</v>
      </c>
      <c r="W94" s="294" t="s">
        <v>35</v>
      </c>
      <c r="X94" s="51"/>
      <c r="Y94" s="395" t="s">
        <v>369</v>
      </c>
      <c r="Z94" s="97"/>
      <c r="AA94" s="97"/>
      <c r="AB94" s="297" t="s">
        <v>35</v>
      </c>
      <c r="AC94" s="294" t="s">
        <v>35</v>
      </c>
      <c r="AD94" s="285" t="s">
        <v>35</v>
      </c>
      <c r="AE94" s="285" t="s">
        <v>35</v>
      </c>
      <c r="AF94" s="285"/>
      <c r="AG94" s="285"/>
      <c r="AH94" s="285" t="s">
        <v>35</v>
      </c>
      <c r="AI94" s="314" t="s">
        <v>35</v>
      </c>
      <c r="AJ94" s="285" t="s">
        <v>35</v>
      </c>
      <c r="AK94" s="285" t="s">
        <v>35</v>
      </c>
      <c r="AL94" s="285"/>
      <c r="AM94" s="285"/>
      <c r="AN94" s="285" t="s">
        <v>35</v>
      </c>
      <c r="AO94" s="314" t="s">
        <v>35</v>
      </c>
      <c r="AQ94" s="322"/>
      <c r="AR94" s="3"/>
      <c r="BB94" s="322"/>
      <c r="BC94" s="3"/>
      <c r="BM94" s="322"/>
      <c r="BN94" s="3"/>
    </row>
    <row r="95" spans="2:66" ht="15" thickBot="1" x14ac:dyDescent="0.4">
      <c r="B95" s="268">
        <v>36</v>
      </c>
      <c r="C95" s="269" t="str">
        <f t="shared" si="86"/>
        <v>Wounded personnel 3*killed</v>
      </c>
      <c r="D95" s="298"/>
      <c r="E95" s="299"/>
      <c r="F95" s="299"/>
      <c r="G95" s="299"/>
      <c r="H95" s="299"/>
      <c r="I95" s="299"/>
      <c r="J95" s="299"/>
      <c r="K95" s="299" t="s">
        <v>34</v>
      </c>
      <c r="L95" s="17"/>
      <c r="M95" s="300" t="s">
        <v>35</v>
      </c>
      <c r="N95" s="300"/>
      <c r="O95" s="300"/>
      <c r="P95" s="300" t="s">
        <v>35</v>
      </c>
      <c r="Q95" s="301" t="s">
        <v>35</v>
      </c>
      <c r="R95" s="17"/>
      <c r="S95" s="300" t="s">
        <v>35</v>
      </c>
      <c r="T95" s="300"/>
      <c r="U95" s="300"/>
      <c r="V95" s="300" t="s">
        <v>35</v>
      </c>
      <c r="W95" s="301" t="s">
        <v>35</v>
      </c>
      <c r="X95" s="17"/>
      <c r="Y95" s="300" t="s">
        <v>35</v>
      </c>
      <c r="Z95" s="300"/>
      <c r="AA95" s="300"/>
      <c r="AB95" s="300" t="s">
        <v>35</v>
      </c>
      <c r="AC95" s="301" t="s">
        <v>35</v>
      </c>
      <c r="AD95" s="318" t="s">
        <v>35</v>
      </c>
      <c r="AE95" s="318" t="s">
        <v>35</v>
      </c>
      <c r="AF95" s="318"/>
      <c r="AG95" s="318"/>
      <c r="AH95" s="318" t="s">
        <v>35</v>
      </c>
      <c r="AI95" s="319" t="s">
        <v>35</v>
      </c>
      <c r="AJ95" s="318" t="s">
        <v>35</v>
      </c>
      <c r="AK95" s="318" t="s">
        <v>35</v>
      </c>
      <c r="AL95" s="318"/>
      <c r="AM95" s="318"/>
      <c r="AN95" s="318" t="s">
        <v>35</v>
      </c>
      <c r="AO95" s="319" t="s">
        <v>35</v>
      </c>
      <c r="AQ95" s="322"/>
      <c r="AR95" s="3"/>
      <c r="BB95" s="322"/>
      <c r="BC95" s="3"/>
      <c r="BM95" s="322"/>
      <c r="BN95" s="3"/>
    </row>
    <row r="96" spans="2:66" ht="15" thickTop="1" x14ac:dyDescent="0.35"/>
  </sheetData>
  <phoneticPr fontId="8" type="noConversion"/>
  <hyperlinks>
    <hyperlink ref="K59" r:id="rId1" xr:uid="{B9B57CCE-2875-4768-8156-0089A234DCFB}"/>
    <hyperlink ref="M68" r:id="rId2" xr:uid="{E87F7286-546C-4F38-AA24-63ACFA46EFCC}"/>
    <hyperlink ref="M81" r:id="rId3" xr:uid="{575A91C1-C1D9-4118-B983-F6182EF1FF6D}"/>
    <hyperlink ref="M85" r:id="rId4" xr:uid="{D68CBC53-6D33-4144-A8CA-6261BED34E38}"/>
    <hyperlink ref="M88" r:id="rId5" xr:uid="{E19A5AF1-371C-4ABE-B513-7ED6880ECEC4}"/>
    <hyperlink ref="D59" r:id="rId6" xr:uid="{ACA723BF-D62E-4825-97D0-DF32401F02E2}"/>
    <hyperlink ref="D67" r:id="rId7" xr:uid="{28A63A6A-7F72-4635-81FD-A8F646AFBC56}"/>
    <hyperlink ref="D74" r:id="rId8" xr:uid="{408303E7-B8AE-46EB-9564-74ADDDA1ABA7}"/>
    <hyperlink ref="D81" r:id="rId9" xr:uid="{69AF64A2-50E7-43B1-851E-207D2CC3C952}"/>
    <hyperlink ref="D82" r:id="rId10" xr:uid="{3C60B25A-D847-4657-832E-D1036425D18C}"/>
    <hyperlink ref="D86" r:id="rId11" xr:uid="{79A726DB-03DB-48FB-816E-C90BBC908610}"/>
    <hyperlink ref="M82" r:id="rId12" xr:uid="{3417522B-219E-4E63-B807-5BC3B27F389E}"/>
    <hyperlink ref="M86" r:id="rId13" xr:uid="{7114F660-726E-4DE4-B4BB-2808D5D48A06}"/>
    <hyperlink ref="M87" r:id="rId14" xr:uid="{6CF916A4-753C-41CB-9E37-2247BA77F0F4}"/>
    <hyperlink ref="E74" r:id="rId15" xr:uid="{4E67DC99-F10A-4A79-8D1B-FBD5D8CBFDD4}"/>
    <hyperlink ref="E80" r:id="rId16" xr:uid="{FF2420AA-C512-4924-88F4-9B6B1E41370D}"/>
    <hyperlink ref="E81" r:id="rId17" xr:uid="{CE901201-C4E0-446D-ABC7-BB4D60F6E3AC}"/>
    <hyperlink ref="E82" r:id="rId18" xr:uid="{3B7A51D9-2DD3-477C-903B-AC4CA6F01009}"/>
    <hyperlink ref="E86" r:id="rId19" xr:uid="{5091066F-9D08-4C57-8552-FEB82F562437}"/>
    <hyperlink ref="E87" r:id="rId20" xr:uid="{A6166CF9-FAEF-460C-98EF-D63E0A6E8C45}"/>
    <hyperlink ref="L61" r:id="rId21" xr:uid="{0E328F2E-0B77-4FCB-91C4-B4A75FE2F068}"/>
    <hyperlink ref="L60" r:id="rId22" xr:uid="{7064D59A-F8CA-4F21-87E9-9A982A7FC417}"/>
    <hyperlink ref="P60" r:id="rId23" xr:uid="{56AF8D65-BDC2-47AA-998B-FE252EC2A7C2}"/>
    <hyperlink ref="M80" r:id="rId24" xr:uid="{8D949DA2-970E-426D-970A-BDE0B100E5D6}"/>
    <hyperlink ref="R61" r:id="rId25" xr:uid="{D5E5672B-B4C8-407A-8107-77BCB8D612C9}"/>
    <hyperlink ref="R60" r:id="rId26" xr:uid="{8ABA3F06-7CA6-470B-8E8C-EFE0B686C8BA}"/>
    <hyperlink ref="S88" r:id="rId27" xr:uid="{277CCF04-6C43-42F3-B5CD-50906A0D6E6D}"/>
    <hyperlink ref="S94" r:id="rId28" xr:uid="{60DBA349-9CED-4D72-B963-ECABA91D8E8D}"/>
    <hyperlink ref="V60" r:id="rId29" xr:uid="{A6E0D4EE-01F7-408B-9145-947250FD67E3}"/>
    <hyperlink ref="R59" r:id="rId30" xr:uid="{22AD3E53-A5F9-4A2D-B364-574D3B665D1B}"/>
    <hyperlink ref="V59" r:id="rId31" xr:uid="{FF992564-50AC-4FFD-B9F5-DFB1366A42F7}"/>
    <hyperlink ref="S67" r:id="rId32" xr:uid="{DCD8087D-63DD-455A-8846-6018FE73CC2B}"/>
    <hyperlink ref="X61" r:id="rId33" xr:uid="{4CAFE875-096A-427C-AED4-DF0E205C215E}"/>
    <hyperlink ref="X60" r:id="rId34" xr:uid="{B4DE287F-4197-4327-8757-8548E8A149E4}"/>
    <hyperlink ref="AB60" r:id="rId35" xr:uid="{D3107472-294E-4BAA-8517-A223F95791D4}"/>
    <hyperlink ref="X59" r:id="rId36" xr:uid="{244EA625-B8DF-4F85-8E1D-E241549BCCCB}"/>
    <hyperlink ref="AB59" r:id="rId37" xr:uid="{91F6FABA-8EAA-42E3-9C81-C05C2126BF79}"/>
    <hyperlink ref="Y88" r:id="rId38" xr:uid="{E53E3F2A-55AF-4E2D-9438-ACB6C2E33B6A}"/>
    <hyperlink ref="Y94" r:id="rId39" xr:uid="{5B1ECAD8-3755-4829-A66C-69BC16F9AD02}"/>
    <hyperlink ref="E59" r:id="rId40" xr:uid="{F63E8BA6-A0B4-42A3-856E-215B624C3620}"/>
    <hyperlink ref="M59" r:id="rId41" xr:uid="{648FF766-4C48-4C6A-9EE6-C64F81C8B0B5}"/>
    <hyperlink ref="Y59" r:id="rId42" xr:uid="{D9B15782-87B0-472C-9E06-F21A8927458F}"/>
    <hyperlink ref="G94" r:id="rId43" xr:uid="{5AB5F265-A1DC-4495-A071-980A3726D356}"/>
    <hyperlink ref="K81" r:id="rId44" xr:uid="{E3A48E29-49B2-4464-A2AF-33E29A00FC0D}"/>
  </hyperlinks>
  <pageMargins left="0.7" right="0.7" top="0.75" bottom="0.75" header="0.3" footer="0.3"/>
  <pageSetup paperSize="9" orientation="portrait" verticalDpi="0" r:id="rId4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1"/>
  <sheetViews>
    <sheetView zoomScale="120" zoomScaleNormal="120" workbookViewId="0"/>
  </sheetViews>
  <sheetFormatPr defaultRowHeight="14.5" x14ac:dyDescent="0.35"/>
  <cols>
    <col min="1" max="1" width="15.453125" customWidth="1"/>
    <col min="2" max="2" width="26.6328125" customWidth="1"/>
    <col min="3" max="3" width="24.1796875" customWidth="1"/>
    <col min="4" max="4" width="10.453125" customWidth="1"/>
    <col min="5" max="5" width="30.6328125" customWidth="1"/>
    <col min="6" max="6" width="24.90625" customWidth="1"/>
    <col min="7" max="7" width="16" customWidth="1"/>
    <col min="8" max="8" width="11.1796875" customWidth="1"/>
    <col min="9" max="9" width="11.26953125" customWidth="1"/>
    <col min="10" max="10" width="12.453125" customWidth="1"/>
    <col min="11" max="11" width="8.81640625" bestFit="1" customWidth="1"/>
  </cols>
  <sheetData>
    <row r="1" spans="1:13" ht="28.5" x14ac:dyDescent="0.65">
      <c r="A1" s="1" t="str">
        <f>KeyArmiesStats!A1</f>
        <v>AQ Islamists advance to Hama, Putin replaces his top Syrian general &amp; much more #69/96</v>
      </c>
    </row>
    <row r="2" spans="1:13" x14ac:dyDescent="0.35">
      <c r="A2" s="434" t="s">
        <v>842</v>
      </c>
    </row>
    <row r="3" spans="1:13" x14ac:dyDescent="0.35">
      <c r="A3" s="456" t="s">
        <v>743</v>
      </c>
      <c r="B3" s="457"/>
      <c r="H3" t="s">
        <v>26</v>
      </c>
      <c r="J3" t="s">
        <v>27</v>
      </c>
      <c r="L3" t="s">
        <v>30</v>
      </c>
      <c r="M3" s="4" t="s">
        <v>31</v>
      </c>
    </row>
    <row r="4" spans="1:13" x14ac:dyDescent="0.35">
      <c r="H4">
        <f>(11+10)/12</f>
        <v>1.75</v>
      </c>
      <c r="J4" t="s">
        <v>28</v>
      </c>
      <c r="K4">
        <v>0.93</v>
      </c>
      <c r="L4" t="s">
        <v>29</v>
      </c>
      <c r="M4" t="s">
        <v>32</v>
      </c>
    </row>
    <row r="5" spans="1:13" ht="24" thickBot="1" x14ac:dyDescent="0.6">
      <c r="B5" s="449" t="s">
        <v>75</v>
      </c>
      <c r="C5" s="449"/>
      <c r="D5" s="449"/>
      <c r="E5" s="448"/>
      <c r="F5" s="448"/>
      <c r="G5" s="448"/>
      <c r="H5" s="448"/>
      <c r="I5" s="448"/>
      <c r="J5" s="448"/>
      <c r="K5" s="448"/>
    </row>
    <row r="6" spans="1:13" ht="15" thickTop="1" x14ac:dyDescent="0.35">
      <c r="B6" s="5"/>
      <c r="C6" s="6" t="s">
        <v>22</v>
      </c>
      <c r="D6" s="6" t="s">
        <v>8</v>
      </c>
      <c r="E6" s="6" t="s">
        <v>64</v>
      </c>
      <c r="F6" s="6" t="s">
        <v>22</v>
      </c>
      <c r="G6" s="6" t="s">
        <v>66</v>
      </c>
      <c r="H6" s="6" t="s">
        <v>8</v>
      </c>
      <c r="I6" s="6" t="s">
        <v>8</v>
      </c>
      <c r="J6" s="15" t="s">
        <v>23</v>
      </c>
      <c r="K6" s="39" t="s">
        <v>69</v>
      </c>
    </row>
    <row r="7" spans="1:13" ht="15" thickBot="1" x14ac:dyDescent="0.4">
      <c r="B7" s="17"/>
      <c r="C7" s="18" t="s">
        <v>63</v>
      </c>
      <c r="D7" s="18" t="s">
        <v>74</v>
      </c>
      <c r="E7" s="18" t="s">
        <v>15</v>
      </c>
      <c r="F7" s="18" t="s">
        <v>65</v>
      </c>
      <c r="G7" s="18" t="s">
        <v>20</v>
      </c>
      <c r="H7" s="18" t="s">
        <v>67</v>
      </c>
      <c r="I7" s="18" t="s">
        <v>72</v>
      </c>
      <c r="J7" s="13" t="s">
        <v>55</v>
      </c>
      <c r="K7" s="40" t="s">
        <v>33</v>
      </c>
    </row>
    <row r="8" spans="1:13" ht="15" thickTop="1" x14ac:dyDescent="0.35">
      <c r="B8" s="65" t="s">
        <v>41</v>
      </c>
      <c r="C8" s="42" t="s">
        <v>34</v>
      </c>
      <c r="D8" s="42"/>
      <c r="E8" s="8">
        <v>84.9</v>
      </c>
      <c r="F8" s="8">
        <v>0</v>
      </c>
      <c r="G8" s="8">
        <f>E8+F8</f>
        <v>84.9</v>
      </c>
      <c r="H8" s="8">
        <f>G8/H$4</f>
        <v>48.51428571428572</v>
      </c>
      <c r="I8" s="8">
        <f t="shared" ref="I8:I31" si="0">H8*(1/K$4)</f>
        <v>52.165898617511523</v>
      </c>
      <c r="J8" s="16">
        <v>19350</v>
      </c>
      <c r="K8" s="66">
        <f t="shared" ref="K8:K13" si="1">I8/J8</f>
        <v>2.6959120732564096E-3</v>
      </c>
    </row>
    <row r="9" spans="1:13" x14ac:dyDescent="0.35">
      <c r="B9" s="7" t="s">
        <v>56</v>
      </c>
      <c r="C9" s="9">
        <f>SUM(C13:C26)</f>
        <v>44.000000000000007</v>
      </c>
      <c r="D9" s="9">
        <f>(C9*(1/K$4))/H$4</f>
        <v>27.035330261136718</v>
      </c>
      <c r="E9" s="8">
        <f>SUM(E13:E26)</f>
        <v>77.979999999999961</v>
      </c>
      <c r="F9" s="8">
        <f>SUM(F13:F26)</f>
        <v>43.680000000000007</v>
      </c>
      <c r="G9" s="8">
        <f t="shared" ref="G9:G26" si="2">E9+F9</f>
        <v>121.65999999999997</v>
      </c>
      <c r="H9" s="8">
        <f t="shared" ref="H9:H27" si="3">G9/H$4</f>
        <v>69.519999999999982</v>
      </c>
      <c r="I9" s="8">
        <f t="shared" si="0"/>
        <v>74.75268817204298</v>
      </c>
      <c r="J9" s="16">
        <f>SUM(J13:J26)</f>
        <v>23029</v>
      </c>
      <c r="K9" s="41">
        <f t="shared" si="1"/>
        <v>3.2460240640949664E-3</v>
      </c>
    </row>
    <row r="10" spans="1:13" x14ac:dyDescent="0.35">
      <c r="B10" s="10" t="s">
        <v>71</v>
      </c>
      <c r="C10" s="12">
        <f>SUM(C8:C9)</f>
        <v>44.000000000000007</v>
      </c>
      <c r="D10" s="12">
        <f t="shared" ref="D10:D27" si="4">(C10*(1/K$4))/H$4</f>
        <v>27.035330261136718</v>
      </c>
      <c r="E10" s="11">
        <f>SUM(E8:E9)</f>
        <v>162.87999999999997</v>
      </c>
      <c r="F10" s="11">
        <f>SUM(F8:F9)</f>
        <v>43.680000000000007</v>
      </c>
      <c r="G10" s="11">
        <f t="shared" si="2"/>
        <v>206.55999999999997</v>
      </c>
      <c r="H10" s="11">
        <f>G10/H$4</f>
        <v>118.0342857142857</v>
      </c>
      <c r="I10" s="11">
        <f t="shared" si="0"/>
        <v>126.91858678955451</v>
      </c>
      <c r="J10" s="16">
        <f>SUM(J8:J9)</f>
        <v>42379</v>
      </c>
      <c r="K10" s="41">
        <f t="shared" si="1"/>
        <v>2.9948461924432976E-3</v>
      </c>
    </row>
    <row r="11" spans="1:13" x14ac:dyDescent="0.35">
      <c r="B11" s="10" t="s">
        <v>77</v>
      </c>
      <c r="C11" s="12">
        <v>43.9</v>
      </c>
      <c r="D11" s="12">
        <f t="shared" si="4"/>
        <v>26.973886328725037</v>
      </c>
      <c r="E11" s="11">
        <v>71.400000000000006</v>
      </c>
      <c r="F11" s="11">
        <v>0</v>
      </c>
      <c r="G11" s="11">
        <f t="shared" si="2"/>
        <v>71.400000000000006</v>
      </c>
      <c r="H11" s="11">
        <f t="shared" si="3"/>
        <v>40.800000000000004</v>
      </c>
      <c r="I11" s="11">
        <f t="shared" si="0"/>
        <v>43.870967741935488</v>
      </c>
      <c r="J11" s="16">
        <v>25440</v>
      </c>
      <c r="K11" s="41">
        <f t="shared" si="1"/>
        <v>1.7244877257050113E-3</v>
      </c>
    </row>
    <row r="12" spans="1:13" x14ac:dyDescent="0.35">
      <c r="B12" s="10" t="s">
        <v>73</v>
      </c>
      <c r="C12" s="43">
        <f>SUM(C10:C11)</f>
        <v>87.9</v>
      </c>
      <c r="D12" s="43">
        <f t="shared" si="4"/>
        <v>54.009216589861751</v>
      </c>
      <c r="E12" s="43">
        <f t="shared" ref="E12:G12" si="5">SUM(E10:E11)</f>
        <v>234.27999999999997</v>
      </c>
      <c r="F12" s="43">
        <f t="shared" si="5"/>
        <v>43.680000000000007</v>
      </c>
      <c r="G12" s="43">
        <f t="shared" si="5"/>
        <v>277.95999999999998</v>
      </c>
      <c r="H12" s="46">
        <f t="shared" si="3"/>
        <v>158.8342857142857</v>
      </c>
      <c r="I12" s="46">
        <f t="shared" si="0"/>
        <v>170.78955453148998</v>
      </c>
      <c r="J12" s="44">
        <f>SUM(J10:J11)</f>
        <v>67819</v>
      </c>
      <c r="K12" s="45">
        <f t="shared" si="1"/>
        <v>2.5183142560564146E-3</v>
      </c>
    </row>
    <row r="13" spans="1:13" x14ac:dyDescent="0.35">
      <c r="B13" s="65" t="s">
        <v>1</v>
      </c>
      <c r="C13" s="9">
        <v>17.100000000000001</v>
      </c>
      <c r="D13" s="9">
        <f t="shared" si="4"/>
        <v>10.506912442396313</v>
      </c>
      <c r="E13" s="8">
        <v>21</v>
      </c>
      <c r="F13" s="8">
        <v>13.9</v>
      </c>
      <c r="G13" s="8">
        <f t="shared" si="2"/>
        <v>34.9</v>
      </c>
      <c r="H13" s="8">
        <f t="shared" si="3"/>
        <v>19.942857142857143</v>
      </c>
      <c r="I13" s="8">
        <f t="shared" si="0"/>
        <v>21.443932411674346</v>
      </c>
      <c r="J13" s="16">
        <v>4082</v>
      </c>
      <c r="K13" s="66">
        <f t="shared" si="1"/>
        <v>5.2532906447021917E-3</v>
      </c>
    </row>
    <row r="14" spans="1:13" x14ac:dyDescent="0.35">
      <c r="B14" s="65" t="s">
        <v>78</v>
      </c>
      <c r="C14" s="9">
        <v>6.6</v>
      </c>
      <c r="D14" s="9">
        <f t="shared" si="4"/>
        <v>4.0552995391705062</v>
      </c>
      <c r="E14" s="8">
        <v>13.3</v>
      </c>
      <c r="F14" s="8">
        <v>1.04</v>
      </c>
      <c r="G14" s="8">
        <f t="shared" si="2"/>
        <v>14.34</v>
      </c>
      <c r="H14" s="8">
        <f t="shared" si="3"/>
        <v>8.194285714285714</v>
      </c>
      <c r="I14" s="8">
        <f t="shared" si="0"/>
        <v>8.8110599078340996</v>
      </c>
      <c r="J14" s="16">
        <v>3089</v>
      </c>
      <c r="K14" s="66">
        <f t="shared" ref="K14:K29" si="6">I14/J14</f>
        <v>2.8523988047374879E-3</v>
      </c>
    </row>
    <row r="15" spans="1:13" x14ac:dyDescent="0.35">
      <c r="B15" s="65" t="s">
        <v>4</v>
      </c>
      <c r="C15" s="9">
        <v>3.6</v>
      </c>
      <c r="D15" s="9">
        <f t="shared" si="4"/>
        <v>2.2119815668202762</v>
      </c>
      <c r="E15" s="8">
        <v>7.3</v>
      </c>
      <c r="F15" s="8">
        <v>0.73</v>
      </c>
      <c r="G15" s="8">
        <f t="shared" si="2"/>
        <v>8.0299999999999994</v>
      </c>
      <c r="H15" s="8">
        <f>G15/H$4</f>
        <v>4.5885714285714281</v>
      </c>
      <c r="I15" s="8">
        <f t="shared" si="0"/>
        <v>4.933947772657449</v>
      </c>
      <c r="J15" s="16">
        <v>579</v>
      </c>
      <c r="K15" s="66">
        <f t="shared" si="6"/>
        <v>8.5214987437952482E-3</v>
      </c>
    </row>
    <row r="16" spans="1:13" x14ac:dyDescent="0.35">
      <c r="B16" s="7" t="s">
        <v>11</v>
      </c>
      <c r="C16" s="9">
        <v>0</v>
      </c>
      <c r="D16" s="9">
        <f t="shared" si="4"/>
        <v>0</v>
      </c>
      <c r="E16" s="8">
        <v>6.8</v>
      </c>
      <c r="F16" s="8">
        <v>0</v>
      </c>
      <c r="G16" s="8">
        <f t="shared" si="2"/>
        <v>6.8</v>
      </c>
      <c r="H16" s="8">
        <f t="shared" si="3"/>
        <v>3.8857142857142857</v>
      </c>
      <c r="I16" s="8">
        <f t="shared" si="0"/>
        <v>4.1781874039938556</v>
      </c>
      <c r="J16" s="16">
        <v>4232</v>
      </c>
      <c r="K16" s="41">
        <f t="shared" si="6"/>
        <v>9.8728435822161053E-4</v>
      </c>
    </row>
    <row r="17" spans="2:11" x14ac:dyDescent="0.35">
      <c r="B17" s="7" t="s">
        <v>12</v>
      </c>
      <c r="C17" s="9">
        <v>2.1</v>
      </c>
      <c r="D17" s="9">
        <f t="shared" si="4"/>
        <v>1.2903225806451613</v>
      </c>
      <c r="E17" s="8">
        <v>6</v>
      </c>
      <c r="F17" s="8">
        <v>0</v>
      </c>
      <c r="G17" s="8">
        <f t="shared" si="2"/>
        <v>6</v>
      </c>
      <c r="H17" s="8">
        <f t="shared" si="3"/>
        <v>3.4285714285714284</v>
      </c>
      <c r="I17" s="8">
        <f t="shared" si="0"/>
        <v>3.6866359447004604</v>
      </c>
      <c r="J17" s="16">
        <v>2138</v>
      </c>
      <c r="K17" s="41">
        <f t="shared" si="6"/>
        <v>1.7243386083725259E-3</v>
      </c>
    </row>
    <row r="18" spans="2:11" x14ac:dyDescent="0.35">
      <c r="B18" s="65" t="s">
        <v>3</v>
      </c>
      <c r="C18" s="9">
        <v>3</v>
      </c>
      <c r="D18" s="9">
        <f t="shared" si="4"/>
        <v>1.8433179723502302</v>
      </c>
      <c r="E18" s="8">
        <v>4.3</v>
      </c>
      <c r="F18" s="8">
        <v>15.65</v>
      </c>
      <c r="G18" s="8">
        <f t="shared" si="2"/>
        <v>19.95</v>
      </c>
      <c r="H18" s="8">
        <f t="shared" si="3"/>
        <v>11.4</v>
      </c>
      <c r="I18" s="8">
        <f t="shared" si="0"/>
        <v>12.258064516129032</v>
      </c>
      <c r="J18" s="16">
        <v>688</v>
      </c>
      <c r="K18" s="66">
        <f t="shared" si="6"/>
        <v>1.781695423855964E-2</v>
      </c>
    </row>
    <row r="19" spans="2:11" x14ac:dyDescent="0.35">
      <c r="B19" s="65" t="s">
        <v>19</v>
      </c>
      <c r="C19" s="9">
        <v>2.5</v>
      </c>
      <c r="D19" s="9">
        <f t="shared" si="4"/>
        <v>1.5360983102918586</v>
      </c>
      <c r="E19" s="8">
        <v>4.0999999999999996</v>
      </c>
      <c r="F19" s="8">
        <v>1.03</v>
      </c>
      <c r="G19" s="8">
        <f t="shared" si="2"/>
        <v>5.13</v>
      </c>
      <c r="H19" s="8">
        <f t="shared" si="3"/>
        <v>2.9314285714285715</v>
      </c>
      <c r="I19" s="8">
        <f t="shared" si="0"/>
        <v>3.1520737327188937</v>
      </c>
      <c r="J19" s="16">
        <v>1009</v>
      </c>
      <c r="K19" s="66">
        <f t="shared" si="6"/>
        <v>3.1239581097313117E-3</v>
      </c>
    </row>
    <row r="20" spans="2:11" x14ac:dyDescent="0.35">
      <c r="B20" s="65" t="s">
        <v>5</v>
      </c>
      <c r="C20" s="9">
        <v>3.5</v>
      </c>
      <c r="D20" s="9">
        <f t="shared" si="4"/>
        <v>2.150537634408602</v>
      </c>
      <c r="E20" s="8">
        <v>3.9</v>
      </c>
      <c r="F20" s="8">
        <v>0.49</v>
      </c>
      <c r="G20" s="8">
        <f t="shared" si="2"/>
        <v>4.3899999999999997</v>
      </c>
      <c r="H20" s="8">
        <f>G20/H$4</f>
        <v>2.5085714285714285</v>
      </c>
      <c r="I20" s="8">
        <f t="shared" si="0"/>
        <v>2.6973886328725034</v>
      </c>
      <c r="J20" s="16">
        <v>400</v>
      </c>
      <c r="K20" s="66">
        <f t="shared" si="6"/>
        <v>6.7434715821812589E-3</v>
      </c>
    </row>
    <row r="21" spans="2:11" x14ac:dyDescent="0.35">
      <c r="B21" s="65" t="s">
        <v>6</v>
      </c>
      <c r="C21" s="9">
        <v>1.9</v>
      </c>
      <c r="D21" s="9">
        <f t="shared" si="4"/>
        <v>1.1674347158218126</v>
      </c>
      <c r="E21" s="8">
        <v>2.8</v>
      </c>
      <c r="F21" s="8">
        <v>0.59</v>
      </c>
      <c r="G21" s="8">
        <f t="shared" si="2"/>
        <v>3.3899999999999997</v>
      </c>
      <c r="H21" s="8">
        <f t="shared" si="3"/>
        <v>1.9371428571428571</v>
      </c>
      <c r="I21" s="8">
        <f t="shared" si="0"/>
        <v>2.0829493087557602</v>
      </c>
      <c r="J21" s="16">
        <v>591</v>
      </c>
      <c r="K21" s="66">
        <f t="shared" si="6"/>
        <v>3.524448914984366E-3</v>
      </c>
    </row>
    <row r="22" spans="2:11" x14ac:dyDescent="0.35">
      <c r="B22" s="7" t="s">
        <v>13</v>
      </c>
      <c r="C22" s="9">
        <v>0</v>
      </c>
      <c r="D22" s="9">
        <f t="shared" si="4"/>
        <v>0</v>
      </c>
      <c r="E22" s="8">
        <v>2.2999999999999998</v>
      </c>
      <c r="F22" s="8">
        <v>1.5</v>
      </c>
      <c r="G22" s="8">
        <f t="shared" si="2"/>
        <v>3.8</v>
      </c>
      <c r="H22" s="8">
        <f t="shared" si="3"/>
        <v>2.1714285714285713</v>
      </c>
      <c r="I22" s="8">
        <f t="shared" si="0"/>
        <v>2.3348694316436247</v>
      </c>
      <c r="J22" s="16">
        <v>818</v>
      </c>
      <c r="K22" s="41">
        <f t="shared" si="6"/>
        <v>2.8543636083662892E-3</v>
      </c>
    </row>
    <row r="23" spans="2:11" x14ac:dyDescent="0.35">
      <c r="B23" s="7" t="s">
        <v>79</v>
      </c>
      <c r="C23" s="9">
        <v>0.5</v>
      </c>
      <c r="D23" s="9">
        <f t="shared" si="4"/>
        <v>0.3072196620583717</v>
      </c>
      <c r="E23" s="8">
        <v>1.71</v>
      </c>
      <c r="F23" s="8">
        <v>3.03</v>
      </c>
      <c r="G23" s="8">
        <f t="shared" si="2"/>
        <v>4.74</v>
      </c>
      <c r="H23" s="8">
        <f t="shared" si="3"/>
        <v>2.7085714285714286</v>
      </c>
      <c r="I23" s="8">
        <f t="shared" si="0"/>
        <v>2.9124423963133639</v>
      </c>
      <c r="J23" s="16">
        <v>2779</v>
      </c>
      <c r="K23" s="41">
        <f t="shared" si="6"/>
        <v>1.0480181346935458E-3</v>
      </c>
    </row>
    <row r="24" spans="2:11" x14ac:dyDescent="0.35">
      <c r="B24" s="65" t="s">
        <v>16</v>
      </c>
      <c r="C24" s="9">
        <v>1.4</v>
      </c>
      <c r="D24" s="9">
        <f t="shared" si="4"/>
        <v>0.86021505376344076</v>
      </c>
      <c r="E24" s="8">
        <v>1.66</v>
      </c>
      <c r="F24" s="8">
        <v>0.37</v>
      </c>
      <c r="G24" s="8">
        <f t="shared" si="2"/>
        <v>2.0299999999999998</v>
      </c>
      <c r="H24" s="8">
        <f t="shared" si="3"/>
        <v>1.1599999999999999</v>
      </c>
      <c r="I24" s="8">
        <f t="shared" si="0"/>
        <v>1.247311827956989</v>
      </c>
      <c r="J24" s="16">
        <v>283</v>
      </c>
      <c r="K24" s="66">
        <f t="shared" si="6"/>
        <v>4.4074622896006681E-3</v>
      </c>
    </row>
    <row r="25" spans="2:11" x14ac:dyDescent="0.35">
      <c r="B25" s="65" t="s">
        <v>17</v>
      </c>
      <c r="C25" s="9">
        <v>1.1000000000000001</v>
      </c>
      <c r="D25" s="9">
        <f t="shared" si="4"/>
        <v>0.67588325652841785</v>
      </c>
      <c r="E25" s="8">
        <v>1.49</v>
      </c>
      <c r="F25">
        <v>3.85</v>
      </c>
      <c r="G25" s="8">
        <f t="shared" si="2"/>
        <v>5.34</v>
      </c>
      <c r="H25" s="8">
        <f t="shared" si="3"/>
        <v>3.0514285714285712</v>
      </c>
      <c r="I25" s="8">
        <f t="shared" si="0"/>
        <v>3.2811059907834097</v>
      </c>
      <c r="J25" s="16">
        <v>291</v>
      </c>
      <c r="K25" s="66">
        <f t="shared" si="6"/>
        <v>1.1275278318843332E-2</v>
      </c>
    </row>
    <row r="26" spans="2:11" x14ac:dyDescent="0.35">
      <c r="B26" s="7" t="s">
        <v>18</v>
      </c>
      <c r="C26" s="9">
        <v>0.7</v>
      </c>
      <c r="D26" s="9">
        <f t="shared" si="4"/>
        <v>0.43010752688172038</v>
      </c>
      <c r="E26" s="8">
        <v>1.32</v>
      </c>
      <c r="F26" s="8">
        <v>1.5</v>
      </c>
      <c r="G26" s="8">
        <f t="shared" si="2"/>
        <v>2.8200000000000003</v>
      </c>
      <c r="H26" s="8">
        <f t="shared" si="3"/>
        <v>1.6114285714285717</v>
      </c>
      <c r="I26" s="8">
        <f t="shared" si="0"/>
        <v>1.7327188940092166</v>
      </c>
      <c r="J26" s="16">
        <v>2050</v>
      </c>
      <c r="K26" s="41">
        <f t="shared" si="6"/>
        <v>8.452287287849837E-4</v>
      </c>
    </row>
    <row r="27" spans="2:11" ht="15" thickBot="1" x14ac:dyDescent="0.4">
      <c r="B27" s="65" t="s">
        <v>76</v>
      </c>
      <c r="C27" s="73">
        <f>SUM(C8,C13:C15,C18:C21,C24:C25)</f>
        <v>40.700000000000003</v>
      </c>
      <c r="D27" s="73">
        <f t="shared" si="4"/>
        <v>25.007680491551461</v>
      </c>
      <c r="E27" s="73">
        <f>SUM(E8,E13:E15,E18:E21,E24:E25)</f>
        <v>144.75000000000003</v>
      </c>
      <c r="F27" s="73">
        <f>SUM(F8,F13:F15,F18:F21,F24:F25)</f>
        <v>37.650000000000006</v>
      </c>
      <c r="G27" s="73">
        <f>SUM(G8,G13:G15,G18:G21,G24:G25)</f>
        <v>182.39999999999998</v>
      </c>
      <c r="H27" s="74">
        <f t="shared" si="3"/>
        <v>104.22857142857141</v>
      </c>
      <c r="I27" s="75">
        <f t="shared" si="0"/>
        <v>112.07373271889399</v>
      </c>
      <c r="J27" s="73">
        <f>SUM(J8,J13:J15,J18:J21,J24:J25)-SUM(J13,J18,J20,J21,J24,J25)</f>
        <v>24027</v>
      </c>
      <c r="K27" s="76">
        <f t="shared" si="6"/>
        <v>4.6644913105628669E-3</v>
      </c>
    </row>
    <row r="28" spans="2:11" ht="15.5" thickTop="1" thickBot="1" x14ac:dyDescent="0.4">
      <c r="B28" s="21" t="s">
        <v>46</v>
      </c>
      <c r="C28" s="57"/>
      <c r="D28" s="57"/>
      <c r="E28" s="47" t="s">
        <v>34</v>
      </c>
      <c r="F28" s="47" t="s">
        <v>34</v>
      </c>
      <c r="G28" s="47" t="s">
        <v>34</v>
      </c>
      <c r="H28" s="56">
        <f>160*K4</f>
        <v>148.80000000000001</v>
      </c>
      <c r="I28" s="62">
        <f t="shared" si="0"/>
        <v>160</v>
      </c>
      <c r="J28" s="63">
        <v>2240</v>
      </c>
      <c r="K28" s="64">
        <f t="shared" si="6"/>
        <v>7.1428571428571425E-2</v>
      </c>
    </row>
    <row r="29" spans="2:11" ht="15" thickTop="1" x14ac:dyDescent="0.35">
      <c r="B29" s="15" t="s">
        <v>57</v>
      </c>
      <c r="C29" s="48" t="s">
        <v>34</v>
      </c>
      <c r="D29" s="48"/>
      <c r="E29" s="19"/>
      <c r="F29" s="19"/>
      <c r="G29" s="19"/>
      <c r="H29" s="49">
        <f>44*K4</f>
        <v>40.92</v>
      </c>
      <c r="I29" s="8">
        <f t="shared" si="0"/>
        <v>44</v>
      </c>
      <c r="J29" s="59">
        <v>161</v>
      </c>
      <c r="K29" s="41">
        <f t="shared" si="6"/>
        <v>0.27329192546583853</v>
      </c>
    </row>
    <row r="30" spans="2:11" x14ac:dyDescent="0.35">
      <c r="B30" s="7" t="s">
        <v>58</v>
      </c>
      <c r="C30" s="9">
        <f>C12</f>
        <v>87.9</v>
      </c>
      <c r="D30" s="9">
        <f t="shared" ref="D30" si="7">(C30*(1/K$4))/H$4</f>
        <v>54.009216589861751</v>
      </c>
      <c r="H30" s="9">
        <f>C30/H4</f>
        <v>50.228571428571435</v>
      </c>
      <c r="I30" s="8">
        <f t="shared" si="0"/>
        <v>54.009216589861758</v>
      </c>
      <c r="J30" s="51"/>
      <c r="K30" s="25"/>
    </row>
    <row r="31" spans="2:11" ht="15" thickBot="1" x14ac:dyDescent="0.4">
      <c r="B31" s="13" t="s">
        <v>59</v>
      </c>
      <c r="C31" s="14"/>
      <c r="D31" s="14"/>
      <c r="E31" s="14"/>
      <c r="F31" s="14"/>
      <c r="G31" s="14"/>
      <c r="H31" s="55">
        <f>SUM(H29:H30)</f>
        <v>91.148571428571444</v>
      </c>
      <c r="I31" s="61">
        <f t="shared" si="0"/>
        <v>98.009216589861765</v>
      </c>
      <c r="J31" s="17"/>
      <c r="K31" s="28"/>
    </row>
    <row r="32" spans="2:11" ht="15.5" thickTop="1" thickBot="1" x14ac:dyDescent="0.4">
      <c r="B32" s="21" t="s">
        <v>80</v>
      </c>
      <c r="C32" s="22"/>
      <c r="D32" s="22"/>
      <c r="E32" s="22"/>
      <c r="F32" s="22"/>
      <c r="G32" s="22"/>
      <c r="H32" s="22"/>
      <c r="I32" s="56">
        <f>I31-D11</f>
        <v>71.035330261136721</v>
      </c>
      <c r="J32" s="78"/>
      <c r="K32" s="77"/>
    </row>
    <row r="33" spans="2:11" ht="15" thickTop="1" x14ac:dyDescent="0.35"/>
    <row r="35" spans="2:11" ht="15" thickBot="1" x14ac:dyDescent="0.4">
      <c r="B35" s="3" t="s">
        <v>21</v>
      </c>
      <c r="C35" s="3"/>
      <c r="D35" s="3"/>
    </row>
    <row r="36" spans="2:11" ht="15" thickTop="1" x14ac:dyDescent="0.35">
      <c r="B36" s="5"/>
      <c r="C36" s="6" t="str">
        <f>C6</f>
        <v>Jan. 24, 2022 to Oct.31 2023</v>
      </c>
      <c r="D36" s="6" t="str">
        <f t="shared" ref="D36:K36" si="8">D6</f>
        <v>Annualized</v>
      </c>
      <c r="E36" s="6" t="str">
        <f t="shared" si="8"/>
        <v>Jan. 24, 2022 to Oct.31 2023, B. EUR</v>
      </c>
      <c r="F36" s="6" t="str">
        <f t="shared" si="8"/>
        <v>Jan. 24, 2022 to Oct.31 2023</v>
      </c>
      <c r="G36" s="6" t="str">
        <f t="shared" si="8"/>
        <v>B. EUR cost of aid</v>
      </c>
      <c r="H36" s="6" t="str">
        <f t="shared" si="8"/>
        <v>Annualized</v>
      </c>
      <c r="I36" s="6" t="str">
        <f t="shared" si="8"/>
        <v>Annualized</v>
      </c>
      <c r="J36" s="15" t="str">
        <f t="shared" si="8"/>
        <v>Latest annual</v>
      </c>
      <c r="K36" s="39" t="str">
        <f t="shared" si="8"/>
        <v xml:space="preserve">Ann. aid </v>
      </c>
    </row>
    <row r="37" spans="2:11" ht="15" thickBot="1" x14ac:dyDescent="0.4">
      <c r="B37" s="17"/>
      <c r="C37" s="18" t="str">
        <f>C7</f>
        <v>Only military aid, B. EUR</v>
      </c>
      <c r="D37" s="18" t="str">
        <f t="shared" ref="D37:K37" si="9">D7</f>
        <v>mil. B. USD</v>
      </c>
      <c r="E37" s="18" t="str">
        <f t="shared" si="9"/>
        <v>Military, financial &amp; humanitary aid</v>
      </c>
      <c r="F37" s="18" t="str">
        <f t="shared" si="9"/>
        <v>Cost of UKR refugees, B. EUR</v>
      </c>
      <c r="G37" s="18" t="str">
        <f t="shared" si="9"/>
        <v>including refugees</v>
      </c>
      <c r="H37" s="18" t="str">
        <f t="shared" si="9"/>
        <v>Total B. EUR</v>
      </c>
      <c r="I37" s="18" t="str">
        <f t="shared" si="9"/>
        <v>Total B. USD</v>
      </c>
      <c r="J37" s="13" t="str">
        <f t="shared" si="9"/>
        <v>GDP in B. USD</v>
      </c>
      <c r="K37" s="40" t="str">
        <f t="shared" si="9"/>
        <v>in % GDP</v>
      </c>
    </row>
    <row r="38" spans="2:11" ht="15" thickTop="1" x14ac:dyDescent="0.35">
      <c r="B38" s="72" t="s">
        <v>0</v>
      </c>
      <c r="C38" s="6"/>
      <c r="D38" s="6"/>
      <c r="E38" s="23" t="s">
        <v>25</v>
      </c>
      <c r="F38" s="23" t="s">
        <v>25</v>
      </c>
      <c r="G38" s="69" t="s">
        <v>24</v>
      </c>
      <c r="H38" s="69" t="s">
        <v>24</v>
      </c>
      <c r="I38" s="69" t="s">
        <v>24</v>
      </c>
      <c r="J38" s="29" t="s">
        <v>70</v>
      </c>
      <c r="K38" s="24" t="s">
        <v>35</v>
      </c>
    </row>
    <row r="39" spans="2:11" x14ac:dyDescent="0.35">
      <c r="B39" s="7" t="s">
        <v>9</v>
      </c>
      <c r="C39" s="70" t="s">
        <v>24</v>
      </c>
      <c r="D39" s="70"/>
      <c r="E39" s="70" t="s">
        <v>24</v>
      </c>
      <c r="F39" s="70" t="s">
        <v>24</v>
      </c>
      <c r="G39" s="70" t="s">
        <v>24</v>
      </c>
      <c r="H39" s="70" t="s">
        <v>24</v>
      </c>
      <c r="I39" s="70" t="s">
        <v>24</v>
      </c>
      <c r="J39" s="30" t="s">
        <v>35</v>
      </c>
      <c r="K39" s="25" t="s">
        <v>35</v>
      </c>
    </row>
    <row r="40" spans="2:11" x14ac:dyDescent="0.35">
      <c r="B40" s="10" t="s">
        <v>10</v>
      </c>
      <c r="C40" s="71" t="s">
        <v>24</v>
      </c>
      <c r="D40" s="71"/>
      <c r="E40" s="71" t="s">
        <v>24</v>
      </c>
      <c r="F40" s="71" t="s">
        <v>24</v>
      </c>
      <c r="G40" s="71" t="s">
        <v>24</v>
      </c>
      <c r="H40" s="71" t="s">
        <v>24</v>
      </c>
      <c r="I40" s="71" t="s">
        <v>24</v>
      </c>
      <c r="J40" s="35" t="s">
        <v>35</v>
      </c>
      <c r="K40" s="36" t="s">
        <v>35</v>
      </c>
    </row>
    <row r="41" spans="2:11" x14ac:dyDescent="0.35">
      <c r="B41" s="10" t="s">
        <v>7</v>
      </c>
      <c r="C41" s="34" t="s">
        <v>25</v>
      </c>
      <c r="D41" s="34"/>
      <c r="E41" s="37" t="s">
        <v>25</v>
      </c>
      <c r="F41" s="37" t="s">
        <v>25</v>
      </c>
      <c r="G41" s="71" t="s">
        <v>24</v>
      </c>
      <c r="H41" s="71" t="s">
        <v>24</v>
      </c>
      <c r="I41" s="71" t="s">
        <v>24</v>
      </c>
      <c r="J41" s="38" t="s">
        <v>36</v>
      </c>
      <c r="K41" s="36" t="s">
        <v>35</v>
      </c>
    </row>
    <row r="42" spans="2:11" x14ac:dyDescent="0.35">
      <c r="B42" s="65" t="s">
        <v>1</v>
      </c>
      <c r="C42" s="20" t="s">
        <v>25</v>
      </c>
      <c r="D42" s="20"/>
      <c r="E42" s="26" t="s">
        <v>25</v>
      </c>
      <c r="F42" s="26" t="s">
        <v>25</v>
      </c>
      <c r="G42" s="70" t="s">
        <v>24</v>
      </c>
      <c r="H42" s="70" t="s">
        <v>24</v>
      </c>
      <c r="I42" s="70" t="s">
        <v>24</v>
      </c>
      <c r="J42" s="31" t="s">
        <v>37</v>
      </c>
      <c r="K42" s="25" t="s">
        <v>35</v>
      </c>
    </row>
    <row r="43" spans="2:11" x14ac:dyDescent="0.35">
      <c r="B43" s="65" t="s">
        <v>2</v>
      </c>
      <c r="C43" s="20" t="s">
        <v>25</v>
      </c>
      <c r="D43" s="20"/>
      <c r="E43" s="26" t="s">
        <v>25</v>
      </c>
      <c r="F43" s="26" t="s">
        <v>25</v>
      </c>
      <c r="G43" s="70" t="s">
        <v>24</v>
      </c>
      <c r="H43" s="70" t="s">
        <v>24</v>
      </c>
      <c r="I43" s="70" t="s">
        <v>24</v>
      </c>
      <c r="J43" s="31" t="s">
        <v>38</v>
      </c>
      <c r="K43" s="25" t="s">
        <v>35</v>
      </c>
    </row>
    <row r="44" spans="2:11" x14ac:dyDescent="0.35">
      <c r="B44" s="65" t="s">
        <v>4</v>
      </c>
      <c r="C44" s="20" t="s">
        <v>25</v>
      </c>
      <c r="D44" s="20"/>
      <c r="E44" s="26" t="s">
        <v>25</v>
      </c>
      <c r="F44" s="26" t="s">
        <v>25</v>
      </c>
      <c r="G44" s="70" t="s">
        <v>24</v>
      </c>
      <c r="H44" s="70" t="s">
        <v>24</v>
      </c>
      <c r="I44" s="70" t="s">
        <v>24</v>
      </c>
      <c r="J44" s="31" t="s">
        <v>39</v>
      </c>
      <c r="K44" s="25" t="s">
        <v>35</v>
      </c>
    </row>
    <row r="45" spans="2:11" x14ac:dyDescent="0.35">
      <c r="B45" s="7" t="s">
        <v>11</v>
      </c>
      <c r="C45" s="20" t="s">
        <v>25</v>
      </c>
      <c r="D45" s="20"/>
      <c r="E45" s="26" t="s">
        <v>25</v>
      </c>
      <c r="F45" s="26" t="s">
        <v>25</v>
      </c>
      <c r="G45" s="70" t="s">
        <v>24</v>
      </c>
      <c r="H45" s="70" t="s">
        <v>24</v>
      </c>
      <c r="I45" s="70" t="s">
        <v>24</v>
      </c>
      <c r="J45" s="31" t="s">
        <v>40</v>
      </c>
      <c r="K45" s="25" t="s">
        <v>35</v>
      </c>
    </row>
    <row r="46" spans="2:11" x14ac:dyDescent="0.35">
      <c r="B46" s="7" t="s">
        <v>12</v>
      </c>
      <c r="C46" s="20" t="s">
        <v>25</v>
      </c>
      <c r="D46" s="20"/>
      <c r="E46" s="26" t="s">
        <v>25</v>
      </c>
      <c r="F46" s="26" t="s">
        <v>25</v>
      </c>
      <c r="G46" s="70" t="s">
        <v>24</v>
      </c>
      <c r="H46" s="70" t="s">
        <v>24</v>
      </c>
      <c r="I46" s="70" t="s">
        <v>24</v>
      </c>
      <c r="J46" s="31" t="s">
        <v>42</v>
      </c>
      <c r="K46" s="25" t="s">
        <v>35</v>
      </c>
    </row>
    <row r="47" spans="2:11" x14ac:dyDescent="0.35">
      <c r="B47" s="65" t="s">
        <v>3</v>
      </c>
      <c r="C47" s="20" t="s">
        <v>25</v>
      </c>
      <c r="D47" s="20"/>
      <c r="E47" s="26" t="s">
        <v>25</v>
      </c>
      <c r="F47" s="26" t="s">
        <v>25</v>
      </c>
      <c r="G47" s="70" t="s">
        <v>24</v>
      </c>
      <c r="H47" s="70" t="s">
        <v>24</v>
      </c>
      <c r="I47" s="70" t="s">
        <v>24</v>
      </c>
      <c r="J47" s="31" t="s">
        <v>43</v>
      </c>
      <c r="K47" s="25" t="s">
        <v>35</v>
      </c>
    </row>
    <row r="48" spans="2:11" x14ac:dyDescent="0.35">
      <c r="B48" s="65" t="s">
        <v>19</v>
      </c>
      <c r="C48" s="20" t="s">
        <v>25</v>
      </c>
      <c r="D48" s="20"/>
      <c r="E48" s="26" t="s">
        <v>25</v>
      </c>
      <c r="F48" s="26" t="s">
        <v>25</v>
      </c>
      <c r="G48" s="70" t="s">
        <v>24</v>
      </c>
      <c r="H48" s="70" t="s">
        <v>24</v>
      </c>
      <c r="I48" s="70" t="s">
        <v>24</v>
      </c>
      <c r="J48" s="31" t="s">
        <v>44</v>
      </c>
      <c r="K48" s="25" t="s">
        <v>35</v>
      </c>
    </row>
    <row r="49" spans="2:11" x14ac:dyDescent="0.35">
      <c r="B49" s="65" t="s">
        <v>5</v>
      </c>
      <c r="C49" s="20" t="s">
        <v>25</v>
      </c>
      <c r="D49" s="20"/>
      <c r="E49" s="26" t="s">
        <v>25</v>
      </c>
      <c r="F49" s="26" t="s">
        <v>25</v>
      </c>
      <c r="G49" s="70" t="s">
        <v>24</v>
      </c>
      <c r="H49" s="70" t="s">
        <v>24</v>
      </c>
      <c r="I49" s="70" t="s">
        <v>24</v>
      </c>
      <c r="J49" s="31" t="s">
        <v>45</v>
      </c>
      <c r="K49" s="25" t="s">
        <v>35</v>
      </c>
    </row>
    <row r="50" spans="2:11" x14ac:dyDescent="0.35">
      <c r="B50" s="7" t="s">
        <v>6</v>
      </c>
      <c r="C50" s="20" t="s">
        <v>25</v>
      </c>
      <c r="D50" s="20"/>
      <c r="E50" s="26" t="s">
        <v>25</v>
      </c>
      <c r="F50" s="26" t="s">
        <v>25</v>
      </c>
      <c r="G50" s="70" t="s">
        <v>24</v>
      </c>
      <c r="H50" s="70" t="s">
        <v>24</v>
      </c>
      <c r="I50" s="70" t="s">
        <v>24</v>
      </c>
      <c r="J50" s="31" t="s">
        <v>47</v>
      </c>
      <c r="K50" s="25" t="s">
        <v>35</v>
      </c>
    </row>
    <row r="51" spans="2:11" x14ac:dyDescent="0.35">
      <c r="B51" s="7" t="s">
        <v>13</v>
      </c>
      <c r="C51" s="20" t="s">
        <v>25</v>
      </c>
      <c r="D51" s="20"/>
      <c r="E51" s="26" t="s">
        <v>25</v>
      </c>
      <c r="F51" s="26" t="s">
        <v>25</v>
      </c>
      <c r="G51" s="70" t="s">
        <v>24</v>
      </c>
      <c r="H51" s="70" t="s">
        <v>24</v>
      </c>
      <c r="I51" s="70" t="s">
        <v>24</v>
      </c>
      <c r="J51" s="31" t="s">
        <v>48</v>
      </c>
      <c r="K51" s="25" t="s">
        <v>35</v>
      </c>
    </row>
    <row r="52" spans="2:11" x14ac:dyDescent="0.35">
      <c r="B52" s="7" t="s">
        <v>14</v>
      </c>
      <c r="C52" s="20" t="s">
        <v>25</v>
      </c>
      <c r="D52" s="20"/>
      <c r="E52" s="26" t="s">
        <v>25</v>
      </c>
      <c r="F52" s="26" t="s">
        <v>25</v>
      </c>
      <c r="G52" s="70" t="s">
        <v>24</v>
      </c>
      <c r="H52" s="70" t="s">
        <v>24</v>
      </c>
      <c r="I52" s="70" t="s">
        <v>24</v>
      </c>
      <c r="J52" s="31" t="s">
        <v>49</v>
      </c>
      <c r="K52" s="25" t="s">
        <v>35</v>
      </c>
    </row>
    <row r="53" spans="2:11" x14ac:dyDescent="0.35">
      <c r="B53" s="7" t="s">
        <v>16</v>
      </c>
      <c r="C53" s="20" t="s">
        <v>25</v>
      </c>
      <c r="D53" s="20"/>
      <c r="E53" s="26" t="s">
        <v>25</v>
      </c>
      <c r="F53" s="26" t="s">
        <v>25</v>
      </c>
      <c r="G53" s="70" t="s">
        <v>24</v>
      </c>
      <c r="H53" s="70" t="s">
        <v>24</v>
      </c>
      <c r="I53" s="70" t="s">
        <v>24</v>
      </c>
      <c r="J53" s="31" t="s">
        <v>50</v>
      </c>
      <c r="K53" s="25" t="s">
        <v>35</v>
      </c>
    </row>
    <row r="54" spans="2:11" x14ac:dyDescent="0.35">
      <c r="B54" s="7" t="s">
        <v>17</v>
      </c>
      <c r="C54" s="20" t="s">
        <v>25</v>
      </c>
      <c r="D54" s="20"/>
      <c r="E54" s="26" t="s">
        <v>25</v>
      </c>
      <c r="F54" s="26" t="s">
        <v>25</v>
      </c>
      <c r="G54" s="70" t="s">
        <v>24</v>
      </c>
      <c r="H54" s="70" t="s">
        <v>24</v>
      </c>
      <c r="I54" s="70" t="s">
        <v>24</v>
      </c>
      <c r="J54" s="31" t="s">
        <v>51</v>
      </c>
      <c r="K54" s="25" t="s">
        <v>35</v>
      </c>
    </row>
    <row r="55" spans="2:11" ht="15" thickBot="1" x14ac:dyDescent="0.4">
      <c r="B55" s="13" t="s">
        <v>18</v>
      </c>
      <c r="C55" s="20" t="s">
        <v>25</v>
      </c>
      <c r="D55" s="20"/>
      <c r="E55" s="27" t="s">
        <v>25</v>
      </c>
      <c r="F55" s="27" t="s">
        <v>25</v>
      </c>
      <c r="G55" s="68" t="s">
        <v>24</v>
      </c>
      <c r="H55" s="68" t="s">
        <v>24</v>
      </c>
      <c r="I55" s="68" t="s">
        <v>24</v>
      </c>
      <c r="J55" s="32" t="s">
        <v>52</v>
      </c>
      <c r="K55" s="28" t="s">
        <v>35</v>
      </c>
    </row>
    <row r="56" spans="2:11" ht="15.5" thickTop="1" thickBot="1" x14ac:dyDescent="0.4">
      <c r="B56" s="65" t="s">
        <v>76</v>
      </c>
      <c r="C56" s="68" t="s">
        <v>24</v>
      </c>
      <c r="D56" s="68" t="s">
        <v>24</v>
      </c>
      <c r="E56" s="68" t="s">
        <v>24</v>
      </c>
      <c r="F56" s="68" t="s">
        <v>24</v>
      </c>
      <c r="G56" s="68" t="s">
        <v>24</v>
      </c>
      <c r="H56" s="68" t="s">
        <v>24</v>
      </c>
      <c r="I56" s="68" t="s">
        <v>24</v>
      </c>
      <c r="J56" s="67" t="s">
        <v>35</v>
      </c>
      <c r="K56" s="28" t="s">
        <v>35</v>
      </c>
    </row>
    <row r="57" spans="2:11" ht="15.5" thickTop="1" thickBot="1" x14ac:dyDescent="0.4">
      <c r="B57" s="21" t="s">
        <v>46</v>
      </c>
      <c r="C57" s="33" t="s">
        <v>53</v>
      </c>
      <c r="D57" s="33"/>
      <c r="E57" s="22" t="s">
        <v>34</v>
      </c>
      <c r="F57" s="22"/>
      <c r="G57" s="22"/>
      <c r="H57" s="54" t="s">
        <v>62</v>
      </c>
      <c r="I57" s="54"/>
      <c r="J57" s="60" t="s">
        <v>54</v>
      </c>
      <c r="K57" s="28" t="s">
        <v>35</v>
      </c>
    </row>
    <row r="58" spans="2:11" ht="15" thickTop="1" x14ac:dyDescent="0.35">
      <c r="B58" s="15" t="s">
        <v>57</v>
      </c>
      <c r="C58" s="48"/>
      <c r="D58" s="48"/>
      <c r="E58" s="19"/>
      <c r="F58" s="19"/>
      <c r="G58" s="19"/>
      <c r="H58" s="52" t="s">
        <v>60</v>
      </c>
      <c r="I58" s="52"/>
      <c r="J58" s="29" t="s">
        <v>68</v>
      </c>
      <c r="K58" s="24" t="s">
        <v>35</v>
      </c>
    </row>
    <row r="59" spans="2:11" x14ac:dyDescent="0.35">
      <c r="B59" s="7" t="s">
        <v>58</v>
      </c>
      <c r="C59" s="58" t="s">
        <v>61</v>
      </c>
      <c r="D59" s="58" t="s">
        <v>35</v>
      </c>
      <c r="H59" s="53" t="s">
        <v>35</v>
      </c>
      <c r="I59" s="53"/>
      <c r="J59" s="51" t="s">
        <v>34</v>
      </c>
      <c r="K59" s="25"/>
    </row>
    <row r="60" spans="2:11" ht="15" thickBot="1" x14ac:dyDescent="0.4">
      <c r="B60" s="13" t="s">
        <v>59</v>
      </c>
      <c r="C60" s="14"/>
      <c r="D60" s="14"/>
      <c r="E60" s="14"/>
      <c r="F60" s="14"/>
      <c r="G60" s="14"/>
      <c r="H60" s="50" t="s">
        <v>35</v>
      </c>
      <c r="I60" s="50"/>
      <c r="J60" s="17"/>
      <c r="K60" s="28"/>
    </row>
    <row r="61" spans="2:11" ht="15" thickTop="1" x14ac:dyDescent="0.35"/>
  </sheetData>
  <hyperlinks>
    <hyperlink ref="E38" r:id="rId1" xr:uid="{C53CBA6F-AB57-4D46-B843-83F696AA224C}"/>
    <hyperlink ref="F38" r:id="rId2" xr:uid="{381463F3-93AF-4B73-BAC4-B3DF9AB19950}"/>
    <hyperlink ref="E41" r:id="rId3" xr:uid="{43B80D13-A428-494F-B1AC-1CBFA419E2AB}"/>
    <hyperlink ref="F41" r:id="rId4" xr:uid="{1BA59BEA-87F1-4147-9BDF-89A118EB2C50}"/>
    <hyperlink ref="E42:E55" r:id="rId5" display="https://www.ifw-kiel.de/topics/war-against-ukraine/ukraine-support-tracker/" xr:uid="{CF121361-B350-4C1C-8D2D-AD7066942F6D}"/>
    <hyperlink ref="F42:F55" r:id="rId6" display="https://www.ifw-kiel.de/topics/war-against-ukraine/ukraine-support-tracker/" xr:uid="{6DF7C0F7-C4E5-499D-8DD6-B598BB4799E7}"/>
    <hyperlink ref="F55" r:id="rId7" xr:uid="{2FF52A1B-D3F6-42F3-A4AF-C2960EC559B9}"/>
    <hyperlink ref="M3" r:id="rId8" xr:uid="{380927E2-0A4B-4A00-ABDD-75D91CF6FD06}"/>
    <hyperlink ref="J41" r:id="rId9" xr:uid="{1699FD11-969B-482F-A97D-565F240DA15E}"/>
    <hyperlink ref="J42" r:id="rId10" xr:uid="{71B1E3F3-47D1-4852-8143-FF2C86C07E25}"/>
    <hyperlink ref="J43" r:id="rId11" xr:uid="{EB9E93D5-C319-4E8F-9DA1-530523589AB3}"/>
    <hyperlink ref="J44" r:id="rId12" xr:uid="{5C35BDDB-4E45-4A78-9273-5737121F3F8F}"/>
    <hyperlink ref="J45" r:id="rId13" xr:uid="{72331938-4162-4E7C-B055-6296F78166C9}"/>
    <hyperlink ref="J46" r:id="rId14" xr:uid="{C0519665-F6E4-4C2C-BC2F-4549FCAE1A2F}"/>
    <hyperlink ref="J47" r:id="rId15" xr:uid="{BAE2FAFF-8A15-40D4-BF5A-AC4B2161A512}"/>
    <hyperlink ref="J48" r:id="rId16" xr:uid="{A5EAD438-7758-4367-9FE8-CFF9A33C3018}"/>
    <hyperlink ref="J49" r:id="rId17" xr:uid="{D53E14E4-C9C8-4952-AE1C-A299EA028C6F}"/>
    <hyperlink ref="J50" r:id="rId18" xr:uid="{4B888A37-6862-46F6-B62D-E93879C0DE6E}"/>
    <hyperlink ref="J51" r:id="rId19" xr:uid="{6A33CF34-2919-4255-A2D2-9BAD3B69479A}"/>
    <hyperlink ref="J52" r:id="rId20" xr:uid="{10B604DE-3216-4585-BA77-5723760DA247}"/>
    <hyperlink ref="J53" r:id="rId21" xr:uid="{2897ECC8-5919-4293-9806-85B2810CCDE4}"/>
    <hyperlink ref="J54" r:id="rId22" xr:uid="{877FB08D-61EE-4E83-8553-337637574B99}"/>
    <hyperlink ref="J55" r:id="rId23" xr:uid="{B2D7AB37-7C5C-4F59-9BA6-39A0927CBA24}"/>
    <hyperlink ref="C57" r:id="rId24" xr:uid="{BB5D330E-33EA-4014-A325-DEA59228906C}"/>
    <hyperlink ref="C41" r:id="rId25" xr:uid="{1F85E3F6-6C41-4CC6-A0B6-7EA44DC18307}"/>
    <hyperlink ref="C42:C55" r:id="rId26" display="https://www.ifw-kiel.de/topics/war-against-ukraine/ukraine-support-tracker/" xr:uid="{EC12049E-19F5-492D-8733-0A1DA52CF1B5}"/>
    <hyperlink ref="H58" r:id="rId27" xr:uid="{61FB4EEB-9570-4464-BF6E-731D4B35D860}"/>
    <hyperlink ref="H57" r:id="rId28" xr:uid="{9F1067ED-92FA-4B61-BC6E-50A8D6713DF6}"/>
    <hyperlink ref="J57" r:id="rId29" xr:uid="{3D721CB3-C3A6-4722-8652-2E0D66EBA2DE}"/>
    <hyperlink ref="J58" r:id="rId30" xr:uid="{FEC595D5-0C7E-4F07-9503-11A521888282}"/>
    <hyperlink ref="J38" r:id="rId31" xr:uid="{5D0F0A0F-B341-440B-9DC2-F2C4D7F77320}"/>
  </hyperlinks>
  <pageMargins left="0.7" right="0.7" top="0.75" bottom="0.75" header="0.3" footer="0.3"/>
  <pageSetup paperSize="9" orientation="portrait" horizontalDpi="0" verticalDpi="0"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KeyArmiesStats</vt:lpstr>
      <vt:lpstr>WeaponsSpecs</vt:lpstr>
      <vt:lpstr>WeaponsUse</vt:lpstr>
      <vt:lpstr>UkraineVictoryPlan</vt:lpstr>
      <vt:lpstr>StrongerNATO_Members</vt:lpstr>
      <vt:lpstr>StrongerNATO_Charter</vt:lpstr>
      <vt:lpstr>MissileDroneTech</vt:lpstr>
      <vt:lpstr>UkrWar_KillRatios</vt:lpstr>
      <vt:lpstr>UkrAid24jan2022ToOct312023</vt:lpstr>
      <vt:lpstr>UkrAid24Jan2022To15Jan2024</vt:lpstr>
      <vt:lpstr>PopGDP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Henrik Mathiesen</dc:creator>
  <cp:lastModifiedBy>Henrik Mathiesen</cp:lastModifiedBy>
  <dcterms:created xsi:type="dcterms:W3CDTF">2015-06-05T18:19:34Z</dcterms:created>
  <dcterms:modified xsi:type="dcterms:W3CDTF">2024-12-01T01:07:16Z</dcterms:modified>
</cp:coreProperties>
</file>